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codeName="ЭтаКнига" defaultThemeVersion="124226"/>
  <bookViews>
    <workbookView xWindow="120" yWindow="1080" windowWidth="9720" windowHeight="6360" activeTab="2"/>
  </bookViews>
  <sheets>
    <sheet name="РАСЧЕТ" sheetId="19" r:id="rId1"/>
    <sheet name="ЛОТЫ" sheetId="20" r:id="rId2"/>
    <sheet name="Извещение" sheetId="11" r:id="rId3"/>
    <sheet name="Лист1" sheetId="21" r:id="rId4"/>
  </sheets>
  <definedNames>
    <definedName name="_xlnm._FilterDatabase" localSheetId="2" hidden="1">Извещение!$B$5:$T$24</definedName>
    <definedName name="_xlnm._FilterDatabase" localSheetId="0" hidden="1">РАСЧЕТ!$O$22:$O$210</definedName>
    <definedName name="д1">#REF!</definedName>
    <definedName name="_xlnm.Print_Titles" localSheetId="2">Извещение!$5:$6</definedName>
    <definedName name="ЛУ">#REF!</definedName>
    <definedName name="_xlnm.Print_Area" localSheetId="2">Извещение!$B$1:$X$27</definedName>
    <definedName name="_xlnm.Print_Area" localSheetId="1">ЛОТЫ!$B$1:$H$149</definedName>
    <definedName name="_xlnm.Print_Area" localSheetId="0">РАСЧЕТ!$B$1:$N$210</definedName>
  </definedNames>
  <calcPr calcId="145621" iterate="1"/>
</workbook>
</file>

<file path=xl/calcChain.xml><?xml version="1.0" encoding="utf-8"?>
<calcChain xmlns="http://schemas.openxmlformats.org/spreadsheetml/2006/main">
  <c r="L187" i="19" l="1"/>
  <c r="L30" i="19"/>
  <c r="L22" i="19"/>
  <c r="X14" i="11" l="1"/>
  <c r="P21" i="11" l="1"/>
  <c r="P17" i="11"/>
  <c r="P14" i="11"/>
  <c r="P10" i="11"/>
  <c r="O20" i="11"/>
  <c r="M20" i="11"/>
  <c r="L20" i="11"/>
  <c r="K20" i="11"/>
  <c r="O19" i="11"/>
  <c r="M19" i="11"/>
  <c r="L19" i="11"/>
  <c r="K19" i="11"/>
  <c r="O18" i="11"/>
  <c r="M18" i="11"/>
  <c r="L18" i="11"/>
  <c r="K18" i="11"/>
  <c r="O16" i="11"/>
  <c r="M16" i="11"/>
  <c r="L16" i="11"/>
  <c r="K16" i="11"/>
  <c r="O15" i="11"/>
  <c r="M15" i="11"/>
  <c r="L15" i="11"/>
  <c r="K15" i="11"/>
  <c r="O12" i="11"/>
  <c r="M12" i="11"/>
  <c r="L12" i="11"/>
  <c r="K12" i="11"/>
  <c r="O11" i="11"/>
  <c r="M11" i="11"/>
  <c r="L11" i="11"/>
  <c r="L14" i="11" s="1"/>
  <c r="K11" i="11"/>
  <c r="K14" i="11" s="1"/>
  <c r="M14" i="11" l="1"/>
  <c r="O14" i="11"/>
  <c r="M17" i="11"/>
  <c r="O21" i="11"/>
  <c r="O17" i="11"/>
  <c r="L17" i="11"/>
  <c r="M21" i="11"/>
  <c r="L21" i="11"/>
  <c r="K21" i="11"/>
  <c r="K17" i="11"/>
  <c r="N20" i="11"/>
  <c r="Q20" i="11" s="1"/>
  <c r="N18" i="11"/>
  <c r="N19" i="11"/>
  <c r="Q19" i="11" s="1"/>
  <c r="N15" i="11"/>
  <c r="N16" i="11"/>
  <c r="Q16" i="11" s="1"/>
  <c r="N12" i="11"/>
  <c r="Q12" i="11" s="1"/>
  <c r="N11" i="11"/>
  <c r="N14" i="11" l="1"/>
  <c r="Q15" i="11"/>
  <c r="Q17" i="11" s="1"/>
  <c r="N17" i="11"/>
  <c r="Q18" i="11"/>
  <c r="Q21" i="11" s="1"/>
  <c r="N21" i="11"/>
  <c r="Q11" i="11"/>
  <c r="Q14" i="11" s="1"/>
  <c r="O7" i="11" l="1"/>
  <c r="M7" i="11"/>
  <c r="L7" i="11"/>
  <c r="K7" i="11"/>
  <c r="K8" i="11"/>
  <c r="K9" i="11"/>
  <c r="O8" i="11"/>
  <c r="O9" i="11"/>
  <c r="L8" i="11"/>
  <c r="M8" i="11"/>
  <c r="L9" i="11"/>
  <c r="M9" i="11"/>
  <c r="L10" i="11" l="1"/>
  <c r="L22" i="11" s="1"/>
  <c r="M10" i="11"/>
  <c r="M22" i="11" s="1"/>
  <c r="O10" i="11"/>
  <c r="O22" i="11" s="1"/>
  <c r="G22" i="11"/>
  <c r="K10" i="11"/>
  <c r="K22" i="11" s="1"/>
  <c r="N9" i="11"/>
  <c r="Q9" i="11" s="1"/>
  <c r="N8" i="11"/>
  <c r="Q8" i="11" s="1"/>
  <c r="N7" i="11"/>
  <c r="Q7" i="11" l="1"/>
  <c r="Q10" i="11" s="1"/>
  <c r="Q22" i="11" s="1"/>
  <c r="N10" i="11"/>
  <c r="N22" i="11" s="1"/>
  <c r="M188" i="19"/>
  <c r="K188" i="19"/>
  <c r="J188" i="19"/>
  <c r="I188" i="19"/>
  <c r="N187" i="19"/>
  <c r="I186" i="19"/>
  <c r="M185" i="19"/>
  <c r="M186" i="19" s="1"/>
  <c r="K185" i="19"/>
  <c r="K186" i="19" s="1"/>
  <c r="J185" i="19"/>
  <c r="J186" i="19" s="1"/>
  <c r="M184" i="19"/>
  <c r="K184" i="19"/>
  <c r="J184" i="19"/>
  <c r="I184" i="19"/>
  <c r="L183" i="19"/>
  <c r="N183" i="19" s="1"/>
  <c r="I182" i="19"/>
  <c r="M181" i="19"/>
  <c r="M182" i="19" s="1"/>
  <c r="K181" i="19"/>
  <c r="K182" i="19" s="1"/>
  <c r="J181" i="19"/>
  <c r="J182" i="19" s="1"/>
  <c r="M180" i="19"/>
  <c r="K180" i="19"/>
  <c r="J180" i="19"/>
  <c r="I180" i="19"/>
  <c r="L179" i="19"/>
  <c r="N179" i="19" s="1"/>
  <c r="M135" i="19"/>
  <c r="K135" i="19"/>
  <c r="J135" i="19"/>
  <c r="I135" i="19"/>
  <c r="L134" i="19"/>
  <c r="N134" i="19" s="1"/>
  <c r="I133" i="19"/>
  <c r="M132" i="19"/>
  <c r="M133" i="19" s="1"/>
  <c r="K132" i="19"/>
  <c r="K133" i="19" s="1"/>
  <c r="J132" i="19"/>
  <c r="J133" i="19" s="1"/>
  <c r="M131" i="19"/>
  <c r="K131" i="19"/>
  <c r="J131" i="19"/>
  <c r="I131" i="19"/>
  <c r="L130" i="19"/>
  <c r="N130" i="19" s="1"/>
  <c r="I129" i="19"/>
  <c r="M128" i="19"/>
  <c r="M129" i="19" s="1"/>
  <c r="K128" i="19"/>
  <c r="K129" i="19" s="1"/>
  <c r="J128" i="19"/>
  <c r="J129" i="19" s="1"/>
  <c r="M127" i="19"/>
  <c r="K127" i="19"/>
  <c r="J127" i="19"/>
  <c r="I127" i="19"/>
  <c r="L126" i="19"/>
  <c r="N126" i="19" s="1"/>
  <c r="L82" i="19"/>
  <c r="N82" i="19" s="1"/>
  <c r="I81" i="19"/>
  <c r="M80" i="19"/>
  <c r="M81" i="19" s="1"/>
  <c r="K80" i="19"/>
  <c r="K81" i="19" s="1"/>
  <c r="J80" i="19"/>
  <c r="J81" i="19" s="1"/>
  <c r="L78" i="19"/>
  <c r="N78" i="19" s="1"/>
  <c r="I77" i="19"/>
  <c r="M76" i="19"/>
  <c r="M77" i="19" s="1"/>
  <c r="K76" i="19"/>
  <c r="K77" i="19" s="1"/>
  <c r="J76" i="19"/>
  <c r="J77" i="19" s="1"/>
  <c r="L74" i="19"/>
  <c r="N74" i="19" s="1"/>
  <c r="N30" i="19"/>
  <c r="M28" i="19"/>
  <c r="M29" i="19" s="1"/>
  <c r="K28" i="19"/>
  <c r="K29" i="19" s="1"/>
  <c r="J28" i="19"/>
  <c r="J29" i="19" s="1"/>
  <c r="I29" i="19"/>
  <c r="L26" i="19"/>
  <c r="N26" i="19" s="1"/>
  <c r="M24" i="19"/>
  <c r="M25" i="19" s="1"/>
  <c r="K24" i="19"/>
  <c r="K25" i="19" s="1"/>
  <c r="J24" i="19"/>
  <c r="J25" i="19" s="1"/>
  <c r="I25" i="19"/>
  <c r="N22" i="19"/>
  <c r="L79" i="19" l="1"/>
  <c r="N79" i="19" s="1"/>
  <c r="L184" i="19"/>
  <c r="N184" i="19" s="1"/>
  <c r="R20" i="11" s="1"/>
  <c r="L180" i="19"/>
  <c r="N180" i="19" s="1"/>
  <c r="R19" i="11" s="1"/>
  <c r="L188" i="19"/>
  <c r="N188" i="19" s="1"/>
  <c r="R18" i="11" s="1"/>
  <c r="L131" i="19"/>
  <c r="N131" i="19" s="1"/>
  <c r="R16" i="11" s="1"/>
  <c r="L127" i="19"/>
  <c r="N127" i="19" s="1"/>
  <c r="L135" i="19"/>
  <c r="N135" i="19" s="1"/>
  <c r="R15" i="11" s="1"/>
  <c r="L75" i="19"/>
  <c r="N75" i="19" s="1"/>
  <c r="R12" i="11" s="1"/>
  <c r="L83" i="19"/>
  <c r="N83" i="19" s="1"/>
  <c r="R11" i="11" s="1"/>
  <c r="L186" i="19"/>
  <c r="N186" i="19" s="1"/>
  <c r="K137" i="19"/>
  <c r="K136" i="19" s="1"/>
  <c r="K85" i="19"/>
  <c r="K84" i="19" s="1"/>
  <c r="L28" i="19"/>
  <c r="N28" i="19" s="1"/>
  <c r="L129" i="19"/>
  <c r="N129" i="19" s="1"/>
  <c r="L25" i="19"/>
  <c r="N25" i="19" s="1"/>
  <c r="L77" i="19"/>
  <c r="N77" i="19" s="1"/>
  <c r="K33" i="19"/>
  <c r="K32" i="19" s="1"/>
  <c r="L24" i="19"/>
  <c r="N24" i="19" s="1"/>
  <c r="L29" i="19"/>
  <c r="N29" i="19" s="1"/>
  <c r="L128" i="19"/>
  <c r="N128" i="19" s="1"/>
  <c r="K190" i="19"/>
  <c r="K189" i="19" s="1"/>
  <c r="L133" i="19"/>
  <c r="N133" i="19" s="1"/>
  <c r="L182" i="19"/>
  <c r="N182" i="19" s="1"/>
  <c r="J190" i="19"/>
  <c r="J189" i="19" s="1"/>
  <c r="M190" i="19"/>
  <c r="M189" i="19" s="1"/>
  <c r="L181" i="19"/>
  <c r="N181" i="19" s="1"/>
  <c r="I190" i="19"/>
  <c r="L185" i="19"/>
  <c r="N185" i="19" s="1"/>
  <c r="M137" i="19"/>
  <c r="M136" i="19" s="1"/>
  <c r="J137" i="19"/>
  <c r="J136" i="19" s="1"/>
  <c r="I137" i="19"/>
  <c r="L132" i="19"/>
  <c r="N132" i="19" s="1"/>
  <c r="J85" i="19"/>
  <c r="J84" i="19" s="1"/>
  <c r="L81" i="19"/>
  <c r="N81" i="19" s="1"/>
  <c r="M85" i="19"/>
  <c r="M84" i="19" s="1"/>
  <c r="L76" i="19"/>
  <c r="N76" i="19" s="1"/>
  <c r="I85" i="19"/>
  <c r="L80" i="19"/>
  <c r="N80" i="19" s="1"/>
  <c r="I33" i="19"/>
  <c r="I32" i="19" s="1"/>
  <c r="L31" i="19"/>
  <c r="N31" i="19" s="1"/>
  <c r="L27" i="19"/>
  <c r="N27" i="19" s="1"/>
  <c r="R9" i="11" s="1"/>
  <c r="L23" i="19"/>
  <c r="N23" i="19" s="1"/>
  <c r="M33" i="19"/>
  <c r="M32" i="19" s="1"/>
  <c r="J33" i="19"/>
  <c r="J32" i="19" s="1"/>
  <c r="R14" i="11" l="1"/>
  <c r="R17" i="11"/>
  <c r="R21" i="11"/>
  <c r="R10" i="11"/>
  <c r="L190" i="19"/>
  <c r="N190" i="19" s="1"/>
  <c r="I189" i="19"/>
  <c r="L189" i="19" s="1"/>
  <c r="N189" i="19" s="1"/>
  <c r="L137" i="19"/>
  <c r="N137" i="19" s="1"/>
  <c r="I136" i="19"/>
  <c r="L136" i="19" s="1"/>
  <c r="N136" i="19" s="1"/>
  <c r="L85" i="19"/>
  <c r="N85" i="19" s="1"/>
  <c r="I84" i="19"/>
  <c r="L84" i="19" s="1"/>
  <c r="N84" i="19" s="1"/>
  <c r="L32" i="19"/>
  <c r="N32" i="19" s="1"/>
  <c r="L33" i="19"/>
  <c r="N33" i="19" s="1"/>
  <c r="R22" i="11" l="1"/>
  <c r="Q23" i="19"/>
  <c r="Q22" i="19"/>
  <c r="G133" i="20" l="1"/>
  <c r="G131" i="20"/>
  <c r="G96" i="20"/>
  <c r="G94" i="20"/>
  <c r="G59" i="20"/>
  <c r="G57" i="20"/>
  <c r="G22" i="20" l="1"/>
  <c r="G20" i="20"/>
  <c r="G56" i="20" l="1"/>
  <c r="G55" i="20"/>
  <c r="G130" i="20"/>
  <c r="G129" i="20"/>
  <c r="G93" i="20"/>
  <c r="G92" i="20"/>
  <c r="G18" i="20"/>
  <c r="G19" i="20"/>
  <c r="E141" i="20" l="1"/>
  <c r="E68" i="20"/>
  <c r="G46" i="20"/>
  <c r="E67" i="20"/>
  <c r="G63" i="20"/>
  <c r="G58" i="20"/>
  <c r="G60" i="20"/>
  <c r="G54" i="20"/>
  <c r="E66" i="20" s="1"/>
  <c r="G61" i="20"/>
  <c r="G62" i="20"/>
  <c r="G9" i="20"/>
  <c r="E31" i="20"/>
  <c r="E30" i="20"/>
  <c r="G21" i="20"/>
  <c r="G23" i="20"/>
  <c r="G26" i="20"/>
  <c r="G25" i="20"/>
  <c r="G17" i="20"/>
  <c r="E29" i="20" s="1"/>
  <c r="G24" i="20"/>
  <c r="E105" i="20"/>
  <c r="G83" i="20"/>
  <c r="E104" i="20"/>
  <c r="G97" i="20"/>
  <c r="G98" i="20"/>
  <c r="G95" i="20"/>
  <c r="G99" i="20"/>
  <c r="G100" i="20"/>
  <c r="G91" i="20"/>
  <c r="E103" i="20" s="1"/>
  <c r="G137" i="20"/>
  <c r="G136" i="20"/>
  <c r="G134" i="20"/>
  <c r="G135" i="20"/>
  <c r="G128" i="20"/>
  <c r="G132" i="20"/>
  <c r="E140" i="20" l="1"/>
  <c r="E142" i="20"/>
  <c r="G120" i="20"/>
  <c r="E143" i="20"/>
  <c r="E106" i="20"/>
  <c r="E107" i="20" s="1"/>
  <c r="E69" i="20"/>
  <c r="E70" i="20" s="1"/>
  <c r="E32" i="20"/>
  <c r="E33" i="20" s="1"/>
  <c r="D109" i="20" l="1"/>
  <c r="V17" i="11"/>
  <c r="D35" i="20"/>
  <c r="V7" i="11"/>
  <c r="V8" i="11"/>
  <c r="V9" i="11"/>
  <c r="V10" i="11"/>
  <c r="D72" i="20"/>
  <c r="V14" i="11"/>
  <c r="E144" i="20"/>
  <c r="D73" i="20" l="1"/>
  <c r="W14" i="11"/>
  <c r="S14" i="11" s="1"/>
  <c r="D146" i="20"/>
  <c r="V21" i="11"/>
  <c r="D36" i="20"/>
  <c r="W10" i="11"/>
  <c r="S10" i="11" s="1"/>
  <c r="D110" i="20"/>
  <c r="W17" i="11"/>
  <c r="S17" i="11" s="1"/>
  <c r="D147" i="20" l="1"/>
  <c r="W21" i="11"/>
  <c r="S22" i="11" s="1"/>
</calcChain>
</file>

<file path=xl/sharedStrings.xml><?xml version="1.0" encoding="utf-8"?>
<sst xmlns="http://schemas.openxmlformats.org/spreadsheetml/2006/main" count="581" uniqueCount="176">
  <si>
    <t>№ лота</t>
  </si>
  <si>
    <t>Наименование участкового лесничества</t>
  </si>
  <si>
    <t>Номер  квартала</t>
  </si>
  <si>
    <t>Номер  выдела</t>
  </si>
  <si>
    <t>Номер делянки</t>
  </si>
  <si>
    <t>Площадь, га</t>
  </si>
  <si>
    <t>Хозяйство</t>
  </si>
  <si>
    <t>Способ рубки</t>
  </si>
  <si>
    <t>Порода</t>
  </si>
  <si>
    <t>Деловая древесина куб. метр</t>
  </si>
  <si>
    <t>Дровяная</t>
  </si>
  <si>
    <t>Всего</t>
  </si>
  <si>
    <t>Крупная</t>
  </si>
  <si>
    <t>Средняя</t>
  </si>
  <si>
    <t>Мелкая</t>
  </si>
  <si>
    <t>Итого</t>
  </si>
  <si>
    <t>хворост, неликвид</t>
  </si>
  <si>
    <t>Береза</t>
  </si>
  <si>
    <t>Осина</t>
  </si>
  <si>
    <t>Липа</t>
  </si>
  <si>
    <t>ВСЕГО</t>
  </si>
  <si>
    <t>СР</t>
  </si>
  <si>
    <t>Дуб</t>
  </si>
  <si>
    <t>8Ос1Б1Лп</t>
  </si>
  <si>
    <t>Ольха черная</t>
  </si>
  <si>
    <t>мягколиственное</t>
  </si>
  <si>
    <t>Участковое лесничество</t>
  </si>
  <si>
    <t/>
  </si>
  <si>
    <t>8ОС1Б1ЛП</t>
  </si>
  <si>
    <t xml:space="preserve">мягколиственное </t>
  </si>
  <si>
    <t>га</t>
  </si>
  <si>
    <t>Мероприятия</t>
  </si>
  <si>
    <t>км</t>
  </si>
  <si>
    <t>Очистка от захламленности</t>
  </si>
  <si>
    <t>Создание лесных культур</t>
  </si>
  <si>
    <t>Агротехнический уход</t>
  </si>
  <si>
    <t>Дополнение лесных культур</t>
  </si>
  <si>
    <t>Приложение №3</t>
  </si>
  <si>
    <t>к Договору</t>
  </si>
  <si>
    <t>купли-продажи лесных насаждений</t>
  </si>
  <si>
    <t>РАСЧЕТ</t>
  </si>
  <si>
    <t>платы по договору купли-продажи лесных насаждений</t>
  </si>
  <si>
    <t>___________________</t>
  </si>
  <si>
    <t>"____"_______________20_____г</t>
  </si>
  <si>
    <t xml:space="preserve">Расчет стоимости древесины производился по ставкам платы, утвержденным Постановлением Правительства РФ от 22.05.2007 года №310 "О ставках платы за единицу </t>
  </si>
  <si>
    <t>объема лесных ресурсов и ставках платы за единицу площади лесного участка, находящегося в федеральной собственности" (с изменениями от 30 июня 2007 года)</t>
  </si>
  <si>
    <t>Вид рубки</t>
  </si>
  <si>
    <t>№ квартала</t>
  </si>
  <si>
    <t>№ выдела</t>
  </si>
  <si>
    <t>Площадь,га</t>
  </si>
  <si>
    <t>Деловая древесина</t>
  </si>
  <si>
    <t>Дрова</t>
  </si>
  <si>
    <t>Всего, куб.м</t>
  </si>
  <si>
    <t>крупная</t>
  </si>
  <si>
    <t>средняя</t>
  </si>
  <si>
    <t>мелкая</t>
  </si>
  <si>
    <t>итого</t>
  </si>
  <si>
    <t>сплошная рубка</t>
  </si>
  <si>
    <t>стоимость</t>
  </si>
  <si>
    <t>итого куб.м</t>
  </si>
  <si>
    <t>Реквизиты для оплаты</t>
  </si>
  <si>
    <t>БИК 049205001</t>
  </si>
  <si>
    <t>Счет № 40101810800000010001</t>
  </si>
  <si>
    <t>ИНН 1660098481 КПП 165701001</t>
  </si>
  <si>
    <t>Управление Федерального казначейства по Республике Татарстан</t>
  </si>
  <si>
    <t xml:space="preserve">(Министерство лесного хозяйства Республики Татарстан) </t>
  </si>
  <si>
    <t>КБК-  053 1 12 04011 016000 120</t>
  </si>
  <si>
    <t>ОКТМО – 92646000</t>
  </si>
  <si>
    <t>Продавец</t>
  </si>
  <si>
    <t>Покупатель</t>
  </si>
  <si>
    <t>(фамилия, имя, отчество)</t>
  </si>
  <si>
    <t>(подпись)</t>
  </si>
  <si>
    <t>М.П.</t>
  </si>
  <si>
    <t>№ делянки</t>
  </si>
  <si>
    <t>стоимость, руб</t>
  </si>
  <si>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</si>
  <si>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Исходные данные:</t>
  </si>
  <si>
    <t>Место расположения лесосеки</t>
  </si>
  <si>
    <t>Площадь лесного участка, га.</t>
  </si>
  <si>
    <t xml:space="preserve">Объем древесины, куб.м. </t>
  </si>
  <si>
    <t>стоимость 
за 1 куб.м., руб.</t>
  </si>
  <si>
    <t>Минимальная ставка платы, руб.</t>
  </si>
  <si>
    <t>Состав лесных насаждений</t>
  </si>
  <si>
    <t>возраст</t>
  </si>
  <si>
    <t>способ рубки</t>
  </si>
  <si>
    <t>Сплошная</t>
  </si>
  <si>
    <t>Затраты на 
единицу 
работ</t>
  </si>
  <si>
    <t>Объем работ 
по регламенту</t>
  </si>
  <si>
    <t>Затраты 
всего</t>
  </si>
  <si>
    <t>Выполнение работ по отводу и таксации лесосеки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</si>
  <si>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</si>
  <si>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</si>
  <si>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 xml:space="preserve">Проведение рубок ухода за молодняками 
(осветления, прочистки) </t>
  </si>
  <si>
    <t>Содействие естественному восстановлению</t>
  </si>
  <si>
    <t>Подготовка почвы под лесные культуры</t>
  </si>
  <si>
    <t>Расчет коэффициента:</t>
  </si>
  <si>
    <t>Расчет коэффициентов</t>
  </si>
  <si>
    <t>K1=</t>
  </si>
  <si>
    <t>К2=</t>
  </si>
  <si>
    <t>К3=</t>
  </si>
  <si>
    <t>K4=</t>
  </si>
  <si>
    <t>K=</t>
  </si>
  <si>
    <t>Начальная цена Лота составит, руб.:</t>
  </si>
  <si>
    <t>за 1 куб.м., руб.</t>
  </si>
  <si>
    <t>Назиров А.А.</t>
  </si>
  <si>
    <t>отделение НБ РТ Банка России г. Казань</t>
  </si>
  <si>
    <t>Аукционная цена, руб</t>
  </si>
  <si>
    <t>Таксовая стоимость, руб</t>
  </si>
  <si>
    <t>кадастровый номер участка</t>
  </si>
  <si>
    <t xml:space="preserve">ВЕДОМОСТЬ </t>
  </si>
  <si>
    <t xml:space="preserve">аукционных единиц купли-продажи лесонасаждений  для аукциона (бизнес) </t>
  </si>
  <si>
    <t>Из ведомости исключены все виды ООПТ и резервных лесов, в т.ч. для населения.</t>
  </si>
  <si>
    <t>инженер лесопользования А.Г. Батдалов</t>
  </si>
  <si>
    <t>Руководитель-лесничий</t>
  </si>
  <si>
    <t>Вишнево-Полянское/11/12/Осина</t>
  </si>
  <si>
    <t>Вишнево-Полянское/11/12/Береза</t>
  </si>
  <si>
    <t>Вишнево-Полянское/11/12/Липа</t>
  </si>
  <si>
    <t>Вишнево-Полянское/11/12/Итого</t>
  </si>
  <si>
    <t>Вишнево-Полянское/12/21/Осина</t>
  </si>
  <si>
    <t>Вишнево-Полянское/12/21/Береза</t>
  </si>
  <si>
    <t>Вишнево-Полянское/12/21/Итого</t>
  </si>
  <si>
    <t>Вишнево-Полянское/24/8/Осина</t>
  </si>
  <si>
    <t>Вишнево-Полянское/24/8/Береза</t>
  </si>
  <si>
    <t>Вишнево-Полянское/24/8/Липа</t>
  </si>
  <si>
    <t>Вишнево-Полянское/24/8/Итого</t>
  </si>
  <si>
    <t>Восходское/54/12/Осина</t>
  </si>
  <si>
    <t>Восходское/54/12/Береза</t>
  </si>
  <si>
    <t>Восходское/54/12/Липа</t>
  </si>
  <si>
    <t>Восходское/54/12/Итого</t>
  </si>
  <si>
    <t>/</t>
  </si>
  <si>
    <t>Вишнево-Полянское/11/12/стоимость</t>
  </si>
  <si>
    <t>Вишнево-Полянское/11/12/Дуб</t>
  </si>
  <si>
    <t>Вишнево-Полянское/11/12/Ольха черная</t>
  </si>
  <si>
    <t>Вишнево-Полянское/11/12/итого куб.м</t>
  </si>
  <si>
    <t>Вишнево-Полянское/11/12/стоимость, руб</t>
  </si>
  <si>
    <t>Вишнево-Полянское/12/21/стоимость</t>
  </si>
  <si>
    <t>Вишнево-Полянское/12/21/Дуб</t>
  </si>
  <si>
    <t>Вишнево-Полянское/12/21/Липа</t>
  </si>
  <si>
    <t>Вишнево-Полянское/12/21/Ольха черная</t>
  </si>
  <si>
    <t>Вишнево-Полянское/12/21/итого куб.м</t>
  </si>
  <si>
    <t>Вишнево-Полянское/12/21/стоимость, руб</t>
  </si>
  <si>
    <t>Вишнево-Полянское/24/8/стоимость</t>
  </si>
  <si>
    <t>Вишнево-Полянское/24/8/Дуб</t>
  </si>
  <si>
    <t>Вишнево-Полянское/24/8/Ольха черная</t>
  </si>
  <si>
    <t>Вишнево-Полянское/24/8/итого куб.м</t>
  </si>
  <si>
    <t>Вишнево-Полянское/24/8/стоимость, руб</t>
  </si>
  <si>
    <t>Восходское/54/12/стоимость</t>
  </si>
  <si>
    <t>Восходское/54/12/Дуб</t>
  </si>
  <si>
    <t>Восходское/54/12/Ольха черная</t>
  </si>
  <si>
    <t>Восходское/54/12/итого куб.м</t>
  </si>
  <si>
    <t>Восходское/54/12/стоимость, руб</t>
  </si>
  <si>
    <t>Казанкинское</t>
  </si>
  <si>
    <t>Светлогорское</t>
  </si>
  <si>
    <t>Шешминское</t>
  </si>
  <si>
    <t>ГКУ "Черемшанское лесничество"</t>
  </si>
  <si>
    <t>Казанкинское участковое лесничество</t>
  </si>
  <si>
    <t>кв. 36 выд. 40 делянка 1</t>
  </si>
  <si>
    <t>кв. 36 выд. 40 делянка 2</t>
  </si>
  <si>
    <t>Светлогорское участковое лесничество</t>
  </si>
  <si>
    <t>9Ос1Лп</t>
  </si>
  <si>
    <t>кв. 85 выд. 3 делянка 1</t>
  </si>
  <si>
    <t>Шешминское участковое лесничество</t>
  </si>
  <si>
    <t>16:41:000000:585</t>
  </si>
  <si>
    <t>липа</t>
  </si>
  <si>
    <t>16:41:000000:645</t>
  </si>
  <si>
    <t>16:41:000000:428</t>
  </si>
  <si>
    <t>с учетом коэффициента 1,51 на 2017 год (постановление Правительства РФ от 14.12.2016 № 1350)</t>
  </si>
  <si>
    <t>ставки 2017 г.</t>
  </si>
  <si>
    <t>с учетом коэффициента 1,51 на 2017 год (постановление Правительства РФ от 14.12.2016г № 1350)</t>
  </si>
  <si>
    <t>кв. 25 выд. 22 делянка 1</t>
  </si>
  <si>
    <t>Делянки обсчитаны по ставкам 2017 года</t>
  </si>
  <si>
    <t>Р.М.Мутыгуллин</t>
  </si>
  <si>
    <t>ЛОТ № 20</t>
  </si>
  <si>
    <t>ЛОТ № 21</t>
  </si>
  <si>
    <t>ЛОТ № 22</t>
  </si>
  <si>
    <t>ЛОТ №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</si>
</sst>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"/>
    <numFmt numFmtId="165" formatCode="#,##0.0"/>
    <numFmt numFmtId="166" formatCode="#,##0.00_р_."/>
  </numFmts>
  <fonts count="23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4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/>
    <xf numFmtId="0" fontId="6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4" fontId="12" fillId="2" borderId="1" xfId="0" applyNumberFormat="1" applyFont="1" applyFill="1" applyBorder="1" applyAlignment="1">
      <alignment horizontal="center" vertical="center"/>
    </xf>
    <xf numFmtId="4" fontId="5" fillId="3" borderId="0" xfId="0" applyNumberFormat="1" applyFont="1" applyFill="1" applyBorder="1" applyAlignment="1">
      <alignment horizontal="center" vertical="center"/>
    </xf>
    <xf numFmtId="0" fontId="17" fillId="3" borderId="14" xfId="0" applyFont="1" applyFill="1" applyBorder="1" applyAlignment="1">
      <alignment horizontal="center" vertical="center" wrapText="1"/>
    </xf>
    <xf numFmtId="0" fontId="17" fillId="3" borderId="30" xfId="0" applyFont="1" applyFill="1" applyBorder="1" applyAlignment="1">
      <alignment horizontal="center" vertical="center" wrapText="1"/>
    </xf>
    <xf numFmtId="43" fontId="9" fillId="3" borderId="0" xfId="0" applyNumberFormat="1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/>
    </xf>
    <xf numFmtId="0" fontId="7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9" fillId="3" borderId="25" xfId="0" applyFont="1" applyFill="1" applyBorder="1" applyAlignment="1">
      <alignment horizontal="center" vertical="center"/>
    </xf>
    <xf numFmtId="4" fontId="6" fillId="3" borderId="0" xfId="0" applyNumberFormat="1" applyFont="1" applyFill="1" applyBorder="1" applyAlignment="1">
      <alignment horizontal="center" vertical="center"/>
    </xf>
    <xf numFmtId="0" fontId="9" fillId="3" borderId="27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center" vertical="center"/>
    </xf>
    <xf numFmtId="4" fontId="6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horizontal="center" vertical="center" wrapText="1"/>
    </xf>
    <xf numFmtId="0" fontId="20" fillId="3" borderId="0" xfId="0" applyFont="1" applyFill="1" applyBorder="1" applyAlignment="1">
      <alignment horizontal="center" vertical="center"/>
    </xf>
    <xf numFmtId="2" fontId="5" fillId="3" borderId="0" xfId="0" applyNumberFormat="1" applyFont="1" applyFill="1" applyBorder="1" applyAlignment="1">
      <alignment horizontal="center" vertical="center"/>
    </xf>
    <xf numFmtId="0" fontId="20" fillId="3" borderId="6" xfId="0" applyFont="1" applyFill="1" applyBorder="1" applyAlignment="1">
      <alignment horizontal="center" vertical="center"/>
    </xf>
    <xf numFmtId="2" fontId="5" fillId="3" borderId="6" xfId="0" applyNumberFormat="1" applyFont="1" applyFill="1" applyBorder="1" applyAlignment="1">
      <alignment horizontal="center" vertical="center"/>
    </xf>
    <xf numFmtId="0" fontId="7" fillId="3" borderId="33" xfId="0" applyFont="1" applyFill="1" applyBorder="1" applyAlignment="1">
      <alignment horizontal="center" vertical="center"/>
    </xf>
    <xf numFmtId="2" fontId="7" fillId="3" borderId="33" xfId="0" applyNumberFormat="1" applyFont="1" applyFill="1" applyBorder="1" applyAlignment="1">
      <alignment horizontal="center" vertical="center"/>
    </xf>
    <xf numFmtId="2" fontId="7" fillId="3" borderId="0" xfId="0" applyNumberFormat="1" applyFont="1" applyFill="1" applyAlignment="1">
      <alignment horizontal="center" vertical="center"/>
    </xf>
    <xf numFmtId="4" fontId="5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/>
    </xf>
    <xf numFmtId="0" fontId="14" fillId="3" borderId="0" xfId="0" applyFont="1" applyFill="1" applyBorder="1" applyAlignment="1">
      <alignment horizontal="center"/>
    </xf>
    <xf numFmtId="0" fontId="19" fillId="2" borderId="14" xfId="0" applyFont="1" applyFill="1" applyBorder="1" applyAlignment="1">
      <alignment horizontal="center" vertical="center" wrapText="1"/>
    </xf>
    <xf numFmtId="4" fontId="9" fillId="3" borderId="14" xfId="0" applyNumberFormat="1" applyFont="1" applyFill="1" applyBorder="1" applyAlignment="1">
      <alignment horizontal="center" vertical="center" wrapText="1"/>
    </xf>
    <xf numFmtId="2" fontId="19" fillId="3" borderId="16" xfId="0" applyNumberFormat="1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4" fontId="9" fillId="3" borderId="8" xfId="0" applyNumberFormat="1" applyFont="1" applyFill="1" applyBorder="1" applyAlignment="1">
      <alignment horizontal="center" vertical="center" wrapText="1"/>
    </xf>
    <xf numFmtId="2" fontId="19" fillId="3" borderId="9" xfId="0" applyNumberFormat="1" applyFont="1" applyFill="1" applyBorder="1" applyAlignment="1">
      <alignment horizontal="center" vertical="center" wrapText="1"/>
    </xf>
    <xf numFmtId="0" fontId="19" fillId="2" borderId="11" xfId="0" applyFont="1" applyFill="1" applyBorder="1" applyAlignment="1">
      <alignment horizontal="center" vertical="center" wrapText="1"/>
    </xf>
    <xf numFmtId="4" fontId="9" fillId="3" borderId="11" xfId="0" applyNumberFormat="1" applyFont="1" applyFill="1" applyBorder="1" applyAlignment="1">
      <alignment horizontal="center" vertical="center" wrapText="1"/>
    </xf>
    <xf numFmtId="2" fontId="19" fillId="3" borderId="17" xfId="0" applyNumberFormat="1" applyFont="1" applyFill="1" applyBorder="1" applyAlignment="1">
      <alignment horizontal="center" vertical="center" wrapText="1"/>
    </xf>
    <xf numFmtId="0" fontId="19" fillId="2" borderId="32" xfId="0" applyFont="1" applyFill="1" applyBorder="1" applyAlignment="1">
      <alignment horizontal="center" vertical="center" wrapText="1"/>
    </xf>
    <xf numFmtId="4" fontId="9" fillId="3" borderId="32" xfId="0" applyNumberFormat="1" applyFont="1" applyFill="1" applyBorder="1" applyAlignment="1">
      <alignment horizontal="center" vertical="center" wrapText="1"/>
    </xf>
    <xf numFmtId="2" fontId="19" fillId="3" borderId="30" xfId="0" applyNumberFormat="1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2" fontId="19" fillId="3" borderId="19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2" fontId="19" fillId="3" borderId="12" xfId="0" applyNumberFormat="1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4" fontId="19" fillId="2" borderId="14" xfId="0" applyNumberFormat="1" applyFont="1" applyFill="1" applyBorder="1" applyAlignment="1">
      <alignment horizontal="center" vertical="center" wrapText="1"/>
    </xf>
    <xf numFmtId="4" fontId="1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14" fillId="3" borderId="0" xfId="0" applyFont="1" applyFill="1" applyAlignment="1">
      <alignment horizontal="center" vertical="center"/>
    </xf>
    <xf numFmtId="0" fontId="21" fillId="3" borderId="0" xfId="0" applyFont="1" applyFill="1" applyBorder="1" applyAlignment="1">
      <alignment horizontal="center" vertical="center"/>
    </xf>
    <xf numFmtId="43" fontId="14" fillId="3" borderId="0" xfId="0" applyNumberFormat="1" applyFont="1" applyFill="1" applyBorder="1" applyAlignment="1">
      <alignment horizontal="center" vertical="center" wrapText="1"/>
    </xf>
    <xf numFmtId="2" fontId="14" fillId="3" borderId="0" xfId="0" applyNumberFormat="1" applyFont="1" applyFill="1" applyAlignment="1">
      <alignment horizontal="center" vertical="center"/>
    </xf>
    <xf numFmtId="4" fontId="14" fillId="3" borderId="6" xfId="0" applyNumberFormat="1" applyFont="1" applyFill="1" applyBorder="1" applyAlignment="1">
      <alignment horizontal="center"/>
    </xf>
    <xf numFmtId="1" fontId="16" fillId="2" borderId="1" xfId="0" applyNumberFormat="1" applyFont="1" applyFill="1" applyBorder="1" applyAlignment="1">
      <alignment horizontal="center" vertical="center"/>
    </xf>
    <xf numFmtId="164" fontId="19" fillId="2" borderId="8" xfId="0" applyNumberFormat="1" applyFont="1" applyFill="1" applyBorder="1" applyAlignment="1">
      <alignment horizontal="center" vertical="center" wrapText="1"/>
    </xf>
    <xf numFmtId="164" fontId="19" fillId="2" borderId="11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164" fontId="2" fillId="0" borderId="0" xfId="0" applyNumberFormat="1" applyFont="1" applyFill="1" applyBorder="1" applyAlignment="1" applyProtection="1">
      <alignment horizontal="center" vertical="center"/>
      <protection hidden="1"/>
    </xf>
    <xf numFmtId="164" fontId="2" fillId="0" borderId="0" xfId="0" applyNumberFormat="1" applyFont="1" applyFill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1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6" fontId="1" fillId="0" borderId="1" xfId="0" applyNumberFormat="1" applyFont="1" applyFill="1" applyBorder="1" applyAlignment="1" applyProtection="1">
      <alignment horizontal="center" vertical="center"/>
      <protection hidden="1"/>
    </xf>
    <xf numFmtId="1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164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center"/>
      <protection hidden="1"/>
    </xf>
    <xf numFmtId="1" fontId="1" fillId="0" borderId="0" xfId="0" applyNumberFormat="1" applyFont="1" applyFill="1" applyBorder="1" applyAlignment="1" applyProtection="1">
      <alignment horizontal="center"/>
      <protection hidden="1"/>
    </xf>
    <xf numFmtId="2" fontId="1" fillId="0" borderId="0" xfId="0" applyNumberFormat="1" applyFont="1" applyFill="1" applyBorder="1" applyAlignment="1" applyProtection="1">
      <alignment horizontal="left"/>
      <protection hidden="1"/>
    </xf>
    <xf numFmtId="166" fontId="1" fillId="0" borderId="0" xfId="0" applyNumberFormat="1" applyFont="1" applyFill="1" applyBorder="1" applyAlignment="1" applyProtection="1">
      <alignment horizontal="center"/>
      <protection hidden="1"/>
    </xf>
    <xf numFmtId="2" fontId="1" fillId="0" borderId="6" xfId="0" applyNumberFormat="1" applyFont="1" applyFill="1" applyBorder="1" applyAlignment="1" applyProtection="1">
      <alignment horizontal="left"/>
      <protection hidden="1"/>
    </xf>
    <xf numFmtId="1" fontId="1" fillId="0" borderId="6" xfId="0" applyNumberFormat="1" applyFont="1" applyFill="1" applyBorder="1" applyAlignment="1" applyProtection="1">
      <alignment horizontal="center"/>
      <protection hidden="1"/>
    </xf>
    <xf numFmtId="2" fontId="1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center" vertical="center" wrapText="1"/>
      <protection hidden="1"/>
    </xf>
    <xf numFmtId="164" fontId="1" fillId="0" borderId="0" xfId="0" applyNumberFormat="1" applyFont="1" applyFill="1" applyAlignment="1" applyProtection="1">
      <alignment horizontal="center" vertical="center"/>
      <protection hidden="1"/>
    </xf>
    <xf numFmtId="0" fontId="1" fillId="0" borderId="0" xfId="0" applyFont="1" applyFill="1" applyProtection="1">
      <protection hidden="1"/>
    </xf>
    <xf numFmtId="0" fontId="0" fillId="0" borderId="0" xfId="0" applyProtection="1">
      <protection hidden="1"/>
    </xf>
    <xf numFmtId="4" fontId="2" fillId="0" borderId="1" xfId="0" applyNumberFormat="1" applyFont="1" applyFill="1" applyBorder="1" applyAlignment="1" applyProtection="1">
      <alignment horizontal="right" vertical="center"/>
      <protection hidden="1"/>
    </xf>
    <xf numFmtId="0" fontId="2" fillId="0" borderId="1" xfId="0" applyFont="1" applyFill="1" applyBorder="1" applyAlignment="1" applyProtection="1">
      <alignment horizontal="right" vertical="center"/>
      <protection hidden="1"/>
    </xf>
    <xf numFmtId="165" fontId="2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1" xfId="0" applyFont="1" applyFill="1" applyBorder="1" applyAlignment="1" applyProtection="1">
      <alignment horizontal="left" vertical="center"/>
      <protection hidden="1"/>
    </xf>
    <xf numFmtId="0" fontId="2" fillId="0" borderId="1" xfId="0" applyFont="1" applyFill="1" applyBorder="1" applyAlignment="1" applyProtection="1">
      <alignment horizontal="left" vertical="center"/>
      <protection hidden="1"/>
    </xf>
    <xf numFmtId="1" fontId="2" fillId="0" borderId="0" xfId="0" applyNumberFormat="1" applyFont="1" applyFill="1" applyBorder="1" applyProtection="1">
      <protection hidden="1"/>
    </xf>
    <xf numFmtId="2" fontId="2" fillId="0" borderId="0" xfId="0" applyNumberFormat="1" applyFont="1" applyFill="1" applyBorder="1" applyProtection="1">
      <protection hidden="1"/>
    </xf>
    <xf numFmtId="0" fontId="0" fillId="0" borderId="0" xfId="0" applyFill="1" applyProtection="1">
      <protection hidden="1"/>
    </xf>
    <xf numFmtId="0" fontId="1" fillId="0" borderId="0" xfId="0" applyFont="1" applyFill="1" applyBorder="1" applyProtection="1"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1" fillId="0" borderId="0" xfId="0" applyFont="1" applyFill="1" applyAlignment="1" applyProtection="1">
      <alignment horizontal="right"/>
      <protection hidden="1"/>
    </xf>
    <xf numFmtId="0" fontId="1" fillId="0" borderId="0" xfId="0" applyFont="1" applyFill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 vertical="center"/>
      <protection hidden="1"/>
    </xf>
    <xf numFmtId="0" fontId="1" fillId="0" borderId="1" xfId="0" applyFont="1" applyFill="1" applyBorder="1" applyAlignment="1" applyProtection="1">
      <alignment horizontal="right" vertical="center" wrapText="1"/>
      <protection hidden="1"/>
    </xf>
    <xf numFmtId="2" fontId="1" fillId="0" borderId="1" xfId="0" applyNumberFormat="1" applyFont="1" applyFill="1" applyBorder="1" applyAlignment="1" applyProtection="1">
      <alignment horizontal="right" vertical="center"/>
      <protection hidden="1"/>
    </xf>
    <xf numFmtId="1" fontId="1" fillId="0" borderId="1" xfId="0" applyNumberFormat="1" applyFont="1" applyFill="1" applyBorder="1" applyAlignment="1" applyProtection="1">
      <alignment horizontal="center" vertical="center"/>
      <protection hidden="1"/>
    </xf>
    <xf numFmtId="165" fontId="1" fillId="0" borderId="1" xfId="0" applyNumberFormat="1" applyFont="1" applyFill="1" applyBorder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left"/>
      <protection hidden="1"/>
    </xf>
    <xf numFmtId="4" fontId="1" fillId="0" borderId="1" xfId="0" applyNumberFormat="1" applyFont="1" applyFill="1" applyBorder="1" applyProtection="1">
      <protection hidden="1"/>
    </xf>
    <xf numFmtId="4" fontId="1" fillId="0" borderId="1" xfId="0" applyNumberFormat="1" applyFont="1" applyFill="1" applyBorder="1" applyAlignment="1" applyProtection="1">
      <alignment horizontal="right" vertical="center"/>
      <protection hidden="1"/>
    </xf>
    <xf numFmtId="0" fontId="2" fillId="0" borderId="0" xfId="0" applyFont="1" applyFill="1" applyBorder="1" applyProtection="1">
      <protection hidden="1"/>
    </xf>
    <xf numFmtId="164" fontId="2" fillId="0" borderId="0" xfId="0" applyNumberFormat="1" applyFont="1" applyFill="1" applyBorder="1" applyProtection="1">
      <protection hidden="1"/>
    </xf>
    <xf numFmtId="0" fontId="2" fillId="0" borderId="0" xfId="0" applyFont="1" applyFill="1" applyAlignment="1" applyProtection="1">
      <alignment horizontal="left"/>
      <protection hidden="1"/>
    </xf>
    <xf numFmtId="0" fontId="1" fillId="0" borderId="0" xfId="0" applyFont="1" applyFill="1" applyAlignment="1" applyProtection="1">
      <alignment horizontal="left"/>
      <protection hidden="1"/>
    </xf>
    <xf numFmtId="0" fontId="1" fillId="0" borderId="6" xfId="0" applyFont="1" applyFill="1" applyBorder="1" applyProtection="1">
      <protection hidden="1"/>
    </xf>
    <xf numFmtId="3" fontId="0" fillId="0" borderId="0" xfId="0" applyNumberFormat="1"/>
    <xf numFmtId="4" fontId="0" fillId="0" borderId="0" xfId="0" applyNumberFormat="1"/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12" fillId="2" borderId="4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1" fillId="0" borderId="1" xfId="0" applyNumberFormat="1" applyFont="1" applyFill="1" applyBorder="1" applyAlignment="1" applyProtection="1">
      <alignment horizontal="right" vertical="center"/>
      <protection hidden="1"/>
    </xf>
    <xf numFmtId="165" fontId="1" fillId="0" borderId="1" xfId="0" applyNumberFormat="1" applyFont="1" applyFill="1" applyBorder="1" applyProtection="1">
      <protection hidden="1"/>
    </xf>
    <xf numFmtId="165" fontId="12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1" xfId="0" applyFont="1" applyFill="1" applyBorder="1" applyAlignment="1" applyProtection="1">
      <alignment horizontal="center"/>
      <protection hidden="1"/>
    </xf>
    <xf numFmtId="0" fontId="1" fillId="0" borderId="2" xfId="0" applyFont="1" applyFill="1" applyBorder="1" applyAlignment="1" applyProtection="1">
      <alignment horizontal="center" vertical="top" wrapText="1"/>
      <protection hidden="1"/>
    </xf>
    <xf numFmtId="0" fontId="1" fillId="0" borderId="4" xfId="0" applyFont="1" applyFill="1" applyBorder="1" applyAlignment="1" applyProtection="1">
      <alignment horizontal="center" vertical="top" wrapText="1"/>
      <protection hidden="1"/>
    </xf>
    <xf numFmtId="0" fontId="1" fillId="0" borderId="0" xfId="0" applyFont="1" applyFill="1" applyAlignment="1" applyProtection="1">
      <alignment horizontal="left"/>
      <protection hidden="1"/>
    </xf>
    <xf numFmtId="0" fontId="1" fillId="0" borderId="0" xfId="0" applyFont="1" applyFill="1" applyAlignment="1" applyProtection="1">
      <alignment horizontal="center"/>
      <protection hidden="1"/>
    </xf>
    <xf numFmtId="0" fontId="1" fillId="0" borderId="2" xfId="0" applyFont="1" applyFill="1" applyBorder="1" applyAlignment="1" applyProtection="1">
      <alignment horizontal="center" vertical="center" wrapText="1"/>
      <protection hidden="1"/>
    </xf>
    <xf numFmtId="0" fontId="1" fillId="0" borderId="4" xfId="0" applyFont="1" applyFill="1" applyBorder="1" applyAlignment="1" applyProtection="1">
      <alignment horizontal="center" vertical="center" wrapText="1"/>
      <protection hidden="1"/>
    </xf>
    <xf numFmtId="0" fontId="1" fillId="0" borderId="2" xfId="0" applyFont="1" applyFill="1" applyBorder="1" applyAlignment="1" applyProtection="1">
      <alignment horizontal="center" vertical="center"/>
      <protection hidden="1"/>
    </xf>
    <xf numFmtId="0" fontId="1" fillId="0" borderId="4" xfId="0" applyFont="1" applyFill="1" applyBorder="1" applyAlignment="1" applyProtection="1">
      <alignment horizontal="center" vertical="center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 vertical="top"/>
      <protection hidden="1"/>
    </xf>
    <xf numFmtId="0" fontId="2" fillId="0" borderId="0" xfId="0" applyFont="1" applyFill="1" applyAlignment="1" applyProtection="1">
      <alignment horizontal="left"/>
      <protection hidden="1"/>
    </xf>
    <xf numFmtId="0" fontId="1" fillId="0" borderId="20" xfId="0" applyFont="1" applyFill="1" applyBorder="1" applyAlignment="1" applyProtection="1">
      <alignment horizontal="center" vertical="center" wrapText="1"/>
      <protection hidden="1"/>
    </xf>
    <xf numFmtId="0" fontId="1" fillId="0" borderId="21" xfId="0" applyFont="1" applyFill="1" applyBorder="1" applyAlignment="1" applyProtection="1">
      <alignment horizontal="center" vertical="center" wrapText="1"/>
      <protection hidden="1"/>
    </xf>
    <xf numFmtId="0" fontId="1" fillId="0" borderId="22" xfId="0" applyFont="1" applyFill="1" applyBorder="1" applyAlignment="1" applyProtection="1">
      <alignment horizontal="center" vertical="center" wrapText="1"/>
      <protection hidden="1"/>
    </xf>
    <xf numFmtId="0" fontId="1" fillId="0" borderId="23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Border="1" applyAlignment="1" applyProtection="1">
      <alignment horizontal="center" vertical="center" wrapText="1"/>
      <protection hidden="1"/>
    </xf>
    <xf numFmtId="0" fontId="1" fillId="0" borderId="24" xfId="0" applyFont="1" applyFill="1" applyBorder="1" applyAlignment="1" applyProtection="1">
      <alignment horizontal="center" vertical="center" wrapText="1"/>
      <protection hidden="1"/>
    </xf>
    <xf numFmtId="0" fontId="1" fillId="0" borderId="25" xfId="0" applyFont="1" applyFill="1" applyBorder="1" applyAlignment="1" applyProtection="1">
      <alignment horizontal="center" vertical="center" wrapText="1"/>
      <protection hidden="1"/>
    </xf>
    <xf numFmtId="0" fontId="1" fillId="0" borderId="6" xfId="0" applyFont="1" applyFill="1" applyBorder="1" applyAlignment="1" applyProtection="1">
      <alignment horizontal="center" vertical="center" wrapText="1"/>
      <protection hidden="1"/>
    </xf>
    <xf numFmtId="0" fontId="1" fillId="0" borderId="26" xfId="0" applyFont="1" applyFill="1" applyBorder="1" applyAlignment="1" applyProtection="1">
      <alignment horizontal="center" vertical="center" wrapText="1"/>
      <protection hidden="1"/>
    </xf>
    <xf numFmtId="2" fontId="5" fillId="3" borderId="2" xfId="0" applyNumberFormat="1" applyFont="1" applyFill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center" vertical="center"/>
    </xf>
    <xf numFmtId="0" fontId="17" fillId="3" borderId="13" xfId="0" applyFont="1" applyFill="1" applyBorder="1" applyAlignment="1">
      <alignment horizontal="center" vertical="center"/>
    </xf>
    <xf numFmtId="0" fontId="17" fillId="3" borderId="15" xfId="0" applyFont="1" applyFill="1" applyBorder="1" applyAlignment="1">
      <alignment horizontal="center" vertical="center"/>
    </xf>
    <xf numFmtId="0" fontId="17" fillId="3" borderId="28" xfId="0" applyFont="1" applyFill="1" applyBorder="1" applyAlignment="1">
      <alignment horizontal="center" vertical="center" wrapText="1"/>
    </xf>
    <xf numFmtId="0" fontId="17" fillId="3" borderId="29" xfId="0" applyFont="1" applyFill="1" applyBorder="1" applyAlignment="1">
      <alignment horizontal="center" vertical="center" wrapText="1"/>
    </xf>
    <xf numFmtId="0" fontId="18" fillId="3" borderId="13" xfId="0" applyFont="1" applyFill="1" applyBorder="1" applyAlignment="1">
      <alignment horizontal="left" vertical="center" wrapText="1"/>
    </xf>
    <xf numFmtId="0" fontId="18" fillId="3" borderId="14" xfId="0" applyFont="1" applyFill="1" applyBorder="1" applyAlignment="1">
      <alignment horizontal="left" vertical="center" wrapText="1"/>
    </xf>
    <xf numFmtId="0" fontId="4" fillId="3" borderId="0" xfId="0" applyFont="1" applyFill="1" applyAlignment="1">
      <alignment horizontal="center" wrapText="1"/>
    </xf>
    <xf numFmtId="0" fontId="5" fillId="3" borderId="0" xfId="0" applyFont="1" applyFill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10" fillId="2" borderId="27" xfId="0" applyFont="1" applyFill="1" applyBorder="1" applyAlignment="1">
      <alignment horizontal="center" vertical="center" wrapText="1"/>
    </xf>
    <xf numFmtId="0" fontId="10" fillId="2" borderId="3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2" fillId="3" borderId="0" xfId="0" applyFont="1" applyFill="1" applyBorder="1" applyAlignment="1">
      <alignment horizontal="center" vertical="center" textRotation="90" wrapText="1"/>
    </xf>
    <xf numFmtId="0" fontId="18" fillId="3" borderId="7" xfId="0" applyFont="1" applyFill="1" applyBorder="1" applyAlignment="1">
      <alignment horizontal="left" vertical="center" wrapText="1"/>
    </xf>
    <xf numFmtId="0" fontId="18" fillId="3" borderId="8" xfId="0" applyFont="1" applyFill="1" applyBorder="1" applyAlignment="1">
      <alignment horizontal="left" vertical="center" wrapText="1"/>
    </xf>
    <xf numFmtId="0" fontId="18" fillId="3" borderId="10" xfId="0" applyFont="1" applyFill="1" applyBorder="1" applyAlignment="1">
      <alignment horizontal="left" vertical="center" wrapText="1"/>
    </xf>
    <xf numFmtId="0" fontId="18" fillId="3" borderId="11" xfId="0" applyFont="1" applyFill="1" applyBorder="1" applyAlignment="1">
      <alignment horizontal="left" vertical="center" wrapText="1"/>
    </xf>
    <xf numFmtId="0" fontId="18" fillId="3" borderId="31" xfId="0" applyFont="1" applyFill="1" applyBorder="1" applyAlignment="1">
      <alignment horizontal="left" vertical="center" wrapText="1"/>
    </xf>
    <xf numFmtId="0" fontId="18" fillId="3" borderId="32" xfId="0" applyFont="1" applyFill="1" applyBorder="1" applyAlignment="1">
      <alignment horizontal="left" vertical="center" wrapText="1"/>
    </xf>
    <xf numFmtId="4" fontId="13" fillId="3" borderId="21" xfId="0" applyNumberFormat="1" applyFont="1" applyFill="1" applyBorder="1" applyAlignment="1">
      <alignment horizontal="center" vertical="center" wrapText="1"/>
    </xf>
    <xf numFmtId="4" fontId="13" fillId="3" borderId="22" xfId="0" applyNumberFormat="1" applyFont="1" applyFill="1" applyBorder="1" applyAlignment="1">
      <alignment horizontal="center" vertical="center" wrapText="1"/>
    </xf>
    <xf numFmtId="4" fontId="13" fillId="3" borderId="6" xfId="0" applyNumberFormat="1" applyFont="1" applyFill="1" applyBorder="1" applyAlignment="1">
      <alignment horizontal="center" vertical="center" wrapText="1"/>
    </xf>
    <xf numFmtId="4" fontId="13" fillId="3" borderId="26" xfId="0" applyNumberFormat="1" applyFont="1" applyFill="1" applyBorder="1" applyAlignment="1">
      <alignment horizontal="center" vertical="center" wrapText="1"/>
    </xf>
    <xf numFmtId="4" fontId="8" fillId="3" borderId="0" xfId="0" applyNumberFormat="1" applyFont="1" applyFill="1" applyAlignment="1">
      <alignment horizontal="center"/>
    </xf>
    <xf numFmtId="4" fontId="5" fillId="3" borderId="0" xfId="0" applyNumberFormat="1" applyFont="1" applyFill="1" applyBorder="1" applyAlignment="1">
      <alignment horizontal="center"/>
    </xf>
    <xf numFmtId="0" fontId="18" fillId="3" borderId="18" xfId="0" applyFont="1" applyFill="1" applyBorder="1" applyAlignment="1">
      <alignment horizontal="left" vertical="center" wrapText="1"/>
    </xf>
    <xf numFmtId="0" fontId="18" fillId="3" borderId="1" xfId="0" applyFont="1" applyFill="1" applyBorder="1" applyAlignment="1">
      <alignment horizontal="left" vertical="center" wrapText="1"/>
    </xf>
    <xf numFmtId="0" fontId="20" fillId="3" borderId="0" xfId="0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1" fontId="1" fillId="0" borderId="0" xfId="0" applyNumberFormat="1" applyFont="1" applyFill="1" applyBorder="1" applyAlignment="1" applyProtection="1">
      <alignment horizontal="left" wrapText="1"/>
      <protection hidden="1"/>
    </xf>
    <xf numFmtId="0" fontId="1" fillId="0" borderId="0" xfId="0" applyFont="1" applyFill="1" applyAlignment="1" applyProtection="1">
      <alignment horizontal="left" wrapText="1"/>
      <protection hidden="1"/>
    </xf>
    <xf numFmtId="2" fontId="1" fillId="0" borderId="0" xfId="0" applyNumberFormat="1" applyFont="1" applyFill="1" applyBorder="1" applyAlignment="1" applyProtection="1">
      <alignment horizontal="center"/>
      <protection hidden="1"/>
    </xf>
    <xf numFmtId="1" fontId="1" fillId="0" borderId="0" xfId="0" applyNumberFormat="1" applyFont="1" applyFill="1" applyBorder="1" applyAlignment="1" applyProtection="1">
      <alignment horizontal="right"/>
      <protection hidden="1"/>
    </xf>
    <xf numFmtId="0" fontId="1" fillId="0" borderId="0" xfId="0" applyFont="1" applyFill="1" applyAlignment="1" applyProtection="1">
      <alignment horizontal="right"/>
      <protection hidden="1"/>
    </xf>
    <xf numFmtId="1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4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2:Y209"/>
  <sheetViews>
    <sheetView zoomScale="85" zoomScaleNormal="85" zoomScaleSheetLayoutView="85" zoomScalePageLayoutView="70" workbookViewId="0">
      <selection activeCell="I137" sqref="I137"/>
    </sheetView>
  </sheetViews>
  <sheetFormatPr defaultRowHeight="12.75" x14ac:dyDescent="0.2"/>
  <cols>
    <col min="2" max="2" width="21.28515625" style="95" customWidth="1"/>
    <col min="3" max="3" width="16.5703125" style="95" customWidth="1"/>
    <col min="4" max="4" width="9.28515625" style="95" customWidth="1"/>
    <col min="5" max="6" width="9.140625" style="95"/>
    <col min="7" max="7" width="10.7109375" style="95" customWidth="1"/>
    <col min="8" max="8" width="15" style="95" customWidth="1"/>
    <col min="9" max="13" width="11.140625" style="95" bestFit="1" customWidth="1"/>
    <col min="14" max="14" width="12" style="95" customWidth="1"/>
    <col min="15" max="15" width="36.28515625" style="87" hidden="1" customWidth="1"/>
    <col min="16" max="17" width="0" style="87" hidden="1" customWidth="1"/>
    <col min="18" max="25" width="9.140625" style="87"/>
  </cols>
  <sheetData>
    <row r="2" spans="2:14" x14ac:dyDescent="0.2">
      <c r="B2" s="86"/>
      <c r="C2" s="86"/>
      <c r="D2" s="86"/>
      <c r="E2" s="86"/>
      <c r="F2" s="86"/>
      <c r="G2" s="86"/>
      <c r="H2" s="86"/>
      <c r="I2" s="86"/>
      <c r="J2" s="86"/>
      <c r="K2" s="86"/>
      <c r="M2" s="86"/>
      <c r="N2" s="98" t="s">
        <v>37</v>
      </c>
    </row>
    <row r="3" spans="2:14" x14ac:dyDescent="0.2">
      <c r="B3" s="86"/>
      <c r="C3" s="86"/>
      <c r="D3" s="86"/>
      <c r="E3" s="86"/>
      <c r="F3" s="86"/>
      <c r="G3" s="86"/>
      <c r="H3" s="86"/>
      <c r="I3" s="86"/>
      <c r="J3" s="86"/>
      <c r="K3" s="86"/>
      <c r="M3" s="86"/>
      <c r="N3" s="98" t="s">
        <v>38</v>
      </c>
    </row>
    <row r="4" spans="2:14" ht="12.75" customHeight="1" x14ac:dyDescent="0.2">
      <c r="B4" s="86"/>
      <c r="C4" s="86"/>
      <c r="D4" s="86"/>
      <c r="E4" s="86"/>
      <c r="F4" s="86"/>
      <c r="G4" s="86"/>
      <c r="H4" s="86"/>
      <c r="I4" s="86"/>
      <c r="J4" s="86"/>
      <c r="K4" s="86"/>
      <c r="M4" s="86"/>
      <c r="N4" s="98" t="s">
        <v>39</v>
      </c>
    </row>
    <row r="5" spans="2:14" ht="12.75" customHeight="1" x14ac:dyDescent="0.2"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</row>
    <row r="6" spans="2:14" ht="12.75" customHeight="1" x14ac:dyDescent="0.2">
      <c r="B6" s="86"/>
      <c r="C6" s="127" t="s">
        <v>40</v>
      </c>
      <c r="D6" s="127"/>
      <c r="E6" s="127"/>
      <c r="F6" s="127"/>
      <c r="G6" s="127"/>
      <c r="H6" s="127"/>
      <c r="I6" s="127"/>
      <c r="J6" s="127"/>
      <c r="K6" s="127"/>
      <c r="L6" s="127"/>
      <c r="M6" s="86"/>
      <c r="N6" s="86"/>
    </row>
    <row r="7" spans="2:14" ht="12.75" customHeight="1" x14ac:dyDescent="0.2">
      <c r="B7" s="86"/>
      <c r="C7" s="127" t="s">
        <v>41</v>
      </c>
      <c r="D7" s="127"/>
      <c r="E7" s="127"/>
      <c r="F7" s="127"/>
      <c r="G7" s="127"/>
      <c r="H7" s="127"/>
      <c r="I7" s="127"/>
      <c r="J7" s="127"/>
      <c r="K7" s="127"/>
      <c r="L7" s="127"/>
      <c r="M7" s="86"/>
      <c r="N7" s="86"/>
    </row>
    <row r="8" spans="2:14" ht="12.75" customHeight="1" x14ac:dyDescent="0.2">
      <c r="B8" s="86" t="s">
        <v>42</v>
      </c>
      <c r="C8" s="99"/>
      <c r="D8" s="99"/>
      <c r="E8" s="99"/>
      <c r="F8" s="99"/>
      <c r="G8" s="99"/>
      <c r="H8" s="99"/>
      <c r="I8" s="99"/>
      <c r="J8" s="99"/>
      <c r="K8" s="99"/>
      <c r="L8" s="127" t="s">
        <v>43</v>
      </c>
      <c r="M8" s="127"/>
      <c r="N8" s="127"/>
    </row>
    <row r="9" spans="2:14" ht="12.75" customHeight="1" x14ac:dyDescent="0.2">
      <c r="B9" s="86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</row>
    <row r="10" spans="2:14" ht="12.75" customHeight="1" x14ac:dyDescent="0.2">
      <c r="B10" s="86" t="s">
        <v>44</v>
      </c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</row>
    <row r="11" spans="2:14" ht="12.75" customHeight="1" x14ac:dyDescent="0.2">
      <c r="B11" s="86" t="s">
        <v>45</v>
      </c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</row>
    <row r="12" spans="2:14" x14ac:dyDescent="0.2">
      <c r="B12" s="86" t="s">
        <v>166</v>
      </c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</row>
    <row r="13" spans="2:14" x14ac:dyDescent="0.2">
      <c r="B13" s="86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</row>
    <row r="14" spans="2:14" x14ac:dyDescent="0.2">
      <c r="B14" s="86"/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</row>
    <row r="15" spans="2:14" ht="13.15" customHeight="1" x14ac:dyDescent="0.2">
      <c r="B15" s="128" t="s">
        <v>26</v>
      </c>
      <c r="C15" s="130" t="s">
        <v>46</v>
      </c>
      <c r="D15" s="132" t="s">
        <v>47</v>
      </c>
      <c r="E15" s="132" t="s">
        <v>48</v>
      </c>
      <c r="F15" s="132" t="s">
        <v>73</v>
      </c>
      <c r="G15" s="132" t="s">
        <v>49</v>
      </c>
      <c r="H15" s="132" t="s">
        <v>8</v>
      </c>
      <c r="I15" s="133" t="s">
        <v>50</v>
      </c>
      <c r="J15" s="133"/>
      <c r="K15" s="133"/>
      <c r="L15" s="133"/>
      <c r="M15" s="134" t="s">
        <v>51</v>
      </c>
      <c r="N15" s="124" t="s">
        <v>52</v>
      </c>
    </row>
    <row r="16" spans="2:14" ht="24.6" customHeight="1" x14ac:dyDescent="0.2">
      <c r="B16" s="129"/>
      <c r="C16" s="131"/>
      <c r="D16" s="132"/>
      <c r="E16" s="132"/>
      <c r="F16" s="132"/>
      <c r="G16" s="132"/>
      <c r="H16" s="132"/>
      <c r="I16" s="100" t="s">
        <v>53</v>
      </c>
      <c r="J16" s="100" t="s">
        <v>54</v>
      </c>
      <c r="K16" s="100" t="s">
        <v>55</v>
      </c>
      <c r="L16" s="100" t="s">
        <v>56</v>
      </c>
      <c r="M16" s="134"/>
      <c r="N16" s="125"/>
    </row>
    <row r="17" spans="2:17" ht="13.15" customHeight="1" x14ac:dyDescent="0.2">
      <c r="B17" s="136" t="s">
        <v>167</v>
      </c>
      <c r="C17" s="137"/>
      <c r="D17" s="137"/>
      <c r="E17" s="137"/>
      <c r="F17" s="137"/>
      <c r="G17" s="138"/>
      <c r="H17" s="101" t="s">
        <v>17</v>
      </c>
      <c r="I17" s="102">
        <v>120.15</v>
      </c>
      <c r="J17" s="102">
        <v>85.62</v>
      </c>
      <c r="K17" s="102">
        <v>43.38</v>
      </c>
      <c r="L17" s="102"/>
      <c r="M17" s="102">
        <v>6.85</v>
      </c>
      <c r="N17" s="102"/>
    </row>
    <row r="18" spans="2:17" x14ac:dyDescent="0.2">
      <c r="B18" s="139"/>
      <c r="C18" s="140"/>
      <c r="D18" s="140"/>
      <c r="E18" s="140"/>
      <c r="F18" s="140"/>
      <c r="G18" s="141"/>
      <c r="H18" s="101" t="s">
        <v>22</v>
      </c>
      <c r="I18" s="102">
        <v>898.69</v>
      </c>
      <c r="J18" s="102">
        <v>642.13</v>
      </c>
      <c r="K18" s="102">
        <v>323.07</v>
      </c>
      <c r="L18" s="102"/>
      <c r="M18" s="102">
        <v>27.97</v>
      </c>
      <c r="N18" s="102"/>
    </row>
    <row r="19" spans="2:17" x14ac:dyDescent="0.2">
      <c r="B19" s="139"/>
      <c r="C19" s="140"/>
      <c r="D19" s="140"/>
      <c r="E19" s="140"/>
      <c r="F19" s="140"/>
      <c r="G19" s="141"/>
      <c r="H19" s="101" t="s">
        <v>19</v>
      </c>
      <c r="I19" s="102">
        <v>71.349999999999994</v>
      </c>
      <c r="J19" s="102">
        <v>51.94</v>
      </c>
      <c r="K19" s="102">
        <v>26.54</v>
      </c>
      <c r="L19" s="102"/>
      <c r="M19" s="102">
        <v>1.43</v>
      </c>
      <c r="N19" s="102"/>
    </row>
    <row r="20" spans="2:17" x14ac:dyDescent="0.2">
      <c r="B20" s="139"/>
      <c r="C20" s="140"/>
      <c r="D20" s="140"/>
      <c r="E20" s="140"/>
      <c r="F20" s="140"/>
      <c r="G20" s="141"/>
      <c r="H20" s="101" t="s">
        <v>24</v>
      </c>
      <c r="I20" s="102">
        <v>71.349999999999994</v>
      </c>
      <c r="J20" s="102">
        <v>51.94</v>
      </c>
      <c r="K20" s="102">
        <v>26.54</v>
      </c>
      <c r="L20" s="102"/>
      <c r="M20" s="102">
        <v>1.43</v>
      </c>
      <c r="N20" s="102"/>
    </row>
    <row r="21" spans="2:17" x14ac:dyDescent="0.2">
      <c r="B21" s="142"/>
      <c r="C21" s="143"/>
      <c r="D21" s="143"/>
      <c r="E21" s="143"/>
      <c r="F21" s="143"/>
      <c r="G21" s="144"/>
      <c r="H21" s="101" t="s">
        <v>18</v>
      </c>
      <c r="I21" s="102">
        <v>22.83</v>
      </c>
      <c r="J21" s="102">
        <v>17.41</v>
      </c>
      <c r="K21" s="102">
        <v>8.85</v>
      </c>
      <c r="L21" s="102"/>
      <c r="M21" s="102">
        <v>0.56999999999999995</v>
      </c>
      <c r="N21" s="102"/>
    </row>
    <row r="22" spans="2:17" x14ac:dyDescent="0.2">
      <c r="B22" s="103" t="s">
        <v>151</v>
      </c>
      <c r="C22" s="100" t="s">
        <v>57</v>
      </c>
      <c r="D22" s="103">
        <v>36</v>
      </c>
      <c r="E22" s="103">
        <v>40</v>
      </c>
      <c r="F22" s="103">
        <v>1</v>
      </c>
      <c r="G22" s="104">
        <v>3</v>
      </c>
      <c r="H22" s="105" t="s">
        <v>17</v>
      </c>
      <c r="I22" s="119">
        <v>1.55</v>
      </c>
      <c r="J22" s="119">
        <v>16.22</v>
      </c>
      <c r="K22" s="119">
        <v>13.39</v>
      </c>
      <c r="L22" s="90">
        <f>IFERROR(SUM(I22,J22,K22),"")</f>
        <v>31.16</v>
      </c>
      <c r="M22" s="118">
        <v>15.89</v>
      </c>
      <c r="N22" s="90">
        <f>IFERROR(SUM(L22,M22),"")</f>
        <v>47.05</v>
      </c>
      <c r="O22" s="87" t="s">
        <v>115</v>
      </c>
      <c r="Q22" s="87">
        <f ca="1">SUMIF(H:H,"итого куб.м",N:N)</f>
        <v>1738.8500000000001</v>
      </c>
    </row>
    <row r="23" spans="2:17" x14ac:dyDescent="0.2">
      <c r="B23" s="100"/>
      <c r="C23" s="100"/>
      <c r="D23" s="100"/>
      <c r="E23" s="100"/>
      <c r="F23" s="100"/>
      <c r="G23" s="100"/>
      <c r="H23" s="89" t="s">
        <v>58</v>
      </c>
      <c r="I23" s="90">
        <v>186.2</v>
      </c>
      <c r="J23" s="90">
        <v>1388.7</v>
      </c>
      <c r="K23" s="90">
        <v>580.79999999999995</v>
      </c>
      <c r="L23" s="90">
        <f>IFERROR(SUM(I23,J23,K23),"")</f>
        <v>2155.6999999999998</v>
      </c>
      <c r="M23" s="90">
        <v>108.8</v>
      </c>
      <c r="N23" s="90">
        <f>IFERROR(SUM(L23,M23),"")</f>
        <v>2264.5</v>
      </c>
      <c r="O23" s="87" t="s">
        <v>130</v>
      </c>
      <c r="Q23" s="87">
        <f>SUMIF(H:H,H33,N:N)</f>
        <v>23904.959499999997</v>
      </c>
    </row>
    <row r="24" spans="2:17" x14ac:dyDescent="0.2">
      <c r="B24" s="100"/>
      <c r="C24" s="100"/>
      <c r="D24" s="100"/>
      <c r="E24" s="100"/>
      <c r="F24" s="100"/>
      <c r="G24" s="100"/>
      <c r="H24" s="105" t="s">
        <v>22</v>
      </c>
      <c r="I24" s="106"/>
      <c r="J24" s="106" t="str">
        <f>IFERROR(INDEX(Извещение!$J$7:$T$21,MATCH(CONCATENATE(РАСЧЕТ!B22,"/",РАСЧЕТ!D22,"/",РАСЧЕТ!E22,"/",F22,"/",H24),Извещение!#REF!,0),3),"")</f>
        <v/>
      </c>
      <c r="K24" s="106" t="str">
        <f>IFERROR(INDEX(Извещение!$J$7:$T$21,MATCH(CONCATENATE(РАСЧЕТ!B22,"/",РАСЧЕТ!D22,"/",РАСЧЕТ!E22,"/",F22,"/",H24),Извещение!#REF!,0),4),"")</f>
        <v/>
      </c>
      <c r="L24" s="88">
        <f t="shared" ref="L24:L33" si="0">IFERROR(SUM(I24,J24,K24),"")</f>
        <v>0</v>
      </c>
      <c r="M24" s="107" t="str">
        <f>IFERROR(INDEX(Извещение!$J$7:$T$21,MATCH(CONCATENATE(РАСЧЕТ!B22,"/",РАСЧЕТ!D22,"/",РАСЧЕТ!E22,"/",F22,"/",H24),Извещение!#REF!,0),6),"")</f>
        <v/>
      </c>
      <c r="N24" s="88">
        <f t="shared" ref="N24" si="1">IFERROR(SUM(L24,M24),"")</f>
        <v>0</v>
      </c>
      <c r="O24" s="87" t="s">
        <v>131</v>
      </c>
    </row>
    <row r="25" spans="2:17" x14ac:dyDescent="0.2">
      <c r="B25" s="100"/>
      <c r="C25" s="100"/>
      <c r="D25" s="100"/>
      <c r="E25" s="100"/>
      <c r="F25" s="100"/>
      <c r="G25" s="100"/>
      <c r="H25" s="89" t="s">
        <v>58</v>
      </c>
      <c r="I25" s="90">
        <f>IFERROR(I24*I18,"")</f>
        <v>0</v>
      </c>
      <c r="J25" s="90" t="str">
        <f t="shared" ref="J25:K25" si="2">IFERROR(J24*J18,"")</f>
        <v/>
      </c>
      <c r="K25" s="90" t="str">
        <f t="shared" si="2"/>
        <v/>
      </c>
      <c r="L25" s="90">
        <f t="shared" si="0"/>
        <v>0</v>
      </c>
      <c r="M25" s="90" t="str">
        <f t="shared" ref="M25" si="3">IFERROR(M24*M18,"")</f>
        <v/>
      </c>
      <c r="N25" s="90">
        <f>IFERROR(SUM(L25,M25),"")</f>
        <v>0</v>
      </c>
      <c r="O25" s="87" t="s">
        <v>130</v>
      </c>
    </row>
    <row r="26" spans="2:17" x14ac:dyDescent="0.2">
      <c r="B26" s="100"/>
      <c r="C26" s="100"/>
      <c r="D26" s="100"/>
      <c r="E26" s="100"/>
      <c r="F26" s="100"/>
      <c r="G26" s="100"/>
      <c r="H26" s="91" t="s">
        <v>19</v>
      </c>
      <c r="I26" s="118">
        <v>2.66</v>
      </c>
      <c r="J26" s="118">
        <v>40.82</v>
      </c>
      <c r="K26" s="118">
        <v>9.01</v>
      </c>
      <c r="L26" s="90">
        <f t="shared" si="0"/>
        <v>52.49</v>
      </c>
      <c r="M26" s="118">
        <v>54.71</v>
      </c>
      <c r="N26" s="90">
        <f t="shared" ref="N26" si="4">IFERROR(SUM(L26,M26),"")</f>
        <v>107.2</v>
      </c>
      <c r="O26" s="87" t="s">
        <v>116</v>
      </c>
    </row>
    <row r="27" spans="2:17" x14ac:dyDescent="0.2">
      <c r="B27" s="100"/>
      <c r="C27" s="100"/>
      <c r="D27" s="100"/>
      <c r="E27" s="100"/>
      <c r="F27" s="100"/>
      <c r="G27" s="100"/>
      <c r="H27" s="89" t="s">
        <v>58</v>
      </c>
      <c r="I27" s="90">
        <v>189.78</v>
      </c>
      <c r="J27" s="90">
        <v>2120.23</v>
      </c>
      <c r="K27" s="90">
        <v>239.14</v>
      </c>
      <c r="L27" s="90">
        <f t="shared" si="0"/>
        <v>2549.15</v>
      </c>
      <c r="M27" s="90">
        <v>78.069999999999993</v>
      </c>
      <c r="N27" s="90">
        <f>IFERROR(SUM(L27,M27),"")</f>
        <v>2627.2200000000003</v>
      </c>
      <c r="O27" s="87" t="s">
        <v>130</v>
      </c>
    </row>
    <row r="28" spans="2:17" x14ac:dyDescent="0.2">
      <c r="B28" s="100"/>
      <c r="C28" s="100"/>
      <c r="D28" s="100"/>
      <c r="E28" s="100"/>
      <c r="F28" s="100"/>
      <c r="G28" s="100"/>
      <c r="H28" s="91" t="s">
        <v>24</v>
      </c>
      <c r="I28" s="107"/>
      <c r="J28" s="107" t="str">
        <f>IFERROR(INDEX(Извещение!$J$7:$T$21,MATCH(CONCATENATE(РАСЧЕТ!B22,"/",РАСЧЕТ!D22,"/",РАСЧЕТ!E22,"/",F22,"/",H28),Извещение!#REF!,0),3),"")</f>
        <v/>
      </c>
      <c r="K28" s="107" t="str">
        <f>IFERROR(INDEX(Извещение!$J$7:$T$21,MATCH(CONCATENATE(РАСЧЕТ!B22,"/",РАСЧЕТ!D22,"/",РАСЧЕТ!E22,"/",F22,"/",H28),Извещение!#REF!,0),4),"")</f>
        <v/>
      </c>
      <c r="L28" s="88">
        <f t="shared" si="0"/>
        <v>0</v>
      </c>
      <c r="M28" s="107" t="str">
        <f>IFERROR(INDEX(Извещение!$J$7:$T$21,MATCH(CONCATENATE(РАСЧЕТ!B22,"/",РАСЧЕТ!D22,"/",РАСЧЕТ!E22,"/",F22,"/",H28),Извещение!#REF!,0),6),"")</f>
        <v/>
      </c>
      <c r="N28" s="88">
        <f t="shared" ref="N28" si="5">IFERROR(SUM(L28,M28),"")</f>
        <v>0</v>
      </c>
      <c r="O28" s="87" t="s">
        <v>132</v>
      </c>
    </row>
    <row r="29" spans="2:17" x14ac:dyDescent="0.2">
      <c r="B29" s="100"/>
      <c r="C29" s="100"/>
      <c r="D29" s="100"/>
      <c r="E29" s="100"/>
      <c r="F29" s="100"/>
      <c r="G29" s="100"/>
      <c r="H29" s="89" t="s">
        <v>58</v>
      </c>
      <c r="I29" s="90">
        <f>IFERROR(I28*I20,"")</f>
        <v>0</v>
      </c>
      <c r="J29" s="90" t="str">
        <f>IFERROR(J28*J20,"")</f>
        <v/>
      </c>
      <c r="K29" s="90" t="str">
        <f>IFERROR(K28*K20,"")</f>
        <v/>
      </c>
      <c r="L29" s="90">
        <f t="shared" si="0"/>
        <v>0</v>
      </c>
      <c r="M29" s="90" t="str">
        <f>IFERROR(M28*M20,"")</f>
        <v/>
      </c>
      <c r="N29" s="90">
        <f>IFERROR(SUM(L29,M29),"")</f>
        <v>0</v>
      </c>
      <c r="O29" s="87" t="s">
        <v>130</v>
      </c>
    </row>
    <row r="30" spans="2:17" x14ac:dyDescent="0.2">
      <c r="B30" s="100"/>
      <c r="C30" s="100"/>
      <c r="D30" s="100"/>
      <c r="E30" s="100"/>
      <c r="F30" s="100"/>
      <c r="G30" s="100"/>
      <c r="H30" s="91" t="s">
        <v>18</v>
      </c>
      <c r="I30" s="118">
        <v>20.440000000000001</v>
      </c>
      <c r="J30" s="118">
        <v>211.23</v>
      </c>
      <c r="K30" s="118">
        <v>28.43</v>
      </c>
      <c r="L30" s="90">
        <f t="shared" si="0"/>
        <v>260.09999999999997</v>
      </c>
      <c r="M30" s="118">
        <v>167.13</v>
      </c>
      <c r="N30" s="90">
        <f t="shared" ref="N30" si="6">IFERROR(SUM(L30,M30),"")</f>
        <v>427.22999999999996</v>
      </c>
      <c r="O30" s="87" t="s">
        <v>114</v>
      </c>
    </row>
    <row r="31" spans="2:17" x14ac:dyDescent="0.2">
      <c r="B31" s="100"/>
      <c r="C31" s="100"/>
      <c r="D31" s="100"/>
      <c r="E31" s="100"/>
      <c r="F31" s="100"/>
      <c r="G31" s="100"/>
      <c r="H31" s="89" t="s">
        <v>58</v>
      </c>
      <c r="I31" s="90">
        <v>466.67</v>
      </c>
      <c r="J31" s="90">
        <v>3677.26</v>
      </c>
      <c r="K31" s="90">
        <v>251.52</v>
      </c>
      <c r="L31" s="90">
        <f t="shared" si="0"/>
        <v>4395.4500000000007</v>
      </c>
      <c r="M31" s="90">
        <v>95.39</v>
      </c>
      <c r="N31" s="90">
        <f>IFERROR(SUM(L31,M31),"")</f>
        <v>4490.8400000000011</v>
      </c>
      <c r="O31" s="87" t="s">
        <v>130</v>
      </c>
    </row>
    <row r="32" spans="2:17" x14ac:dyDescent="0.2">
      <c r="B32" s="100"/>
      <c r="C32" s="100"/>
      <c r="D32" s="100"/>
      <c r="E32" s="100"/>
      <c r="F32" s="100"/>
      <c r="G32" s="100"/>
      <c r="H32" s="92" t="s">
        <v>59</v>
      </c>
      <c r="I32" s="90">
        <f ca="1">SUM(I22:OFFSET(I32,-1,0))-I33</f>
        <v>24.649999999999864</v>
      </c>
      <c r="J32" s="90">
        <f ca="1">SUM(J22:OFFSET(J32,-1,0))-J33</f>
        <v>268.27000000000044</v>
      </c>
      <c r="K32" s="90">
        <f ca="1">SUM(K22:OFFSET(K32,-1,0))-K33</f>
        <v>50.829999999999927</v>
      </c>
      <c r="L32" s="90">
        <f t="shared" ca="1" si="0"/>
        <v>343.75000000000023</v>
      </c>
      <c r="M32" s="90">
        <f ca="1">SUM(M22:OFFSET(M32,-1,0))-M33</f>
        <v>237.73000000000002</v>
      </c>
      <c r="N32" s="90">
        <f t="shared" ref="N32" ca="1" si="7">IFERROR(SUM(L32,M32),"")</f>
        <v>581.48000000000025</v>
      </c>
      <c r="O32" s="87" t="s">
        <v>133</v>
      </c>
    </row>
    <row r="33" spans="2:25" x14ac:dyDescent="0.2">
      <c r="B33" s="100"/>
      <c r="C33" s="100"/>
      <c r="D33" s="100"/>
      <c r="E33" s="100"/>
      <c r="F33" s="100"/>
      <c r="G33" s="100"/>
      <c r="H33" s="92" t="s">
        <v>74</v>
      </c>
      <c r="I33" s="90">
        <f>SUMIF(H22:H31,"стоимость",I22:I31)</f>
        <v>842.65000000000009</v>
      </c>
      <c r="J33" s="90">
        <f>SUMIF(H22:H31,"стоимость",J22:J31)</f>
        <v>7186.1900000000005</v>
      </c>
      <c r="K33" s="90">
        <f>SUMIF(H22:H31,"стоимость",K22:K31)</f>
        <v>1071.46</v>
      </c>
      <c r="L33" s="90">
        <f t="shared" si="0"/>
        <v>9100.2999999999993</v>
      </c>
      <c r="M33" s="90">
        <f>SUMIF(H22:H31,"стоимость",M22:M31)</f>
        <v>282.26</v>
      </c>
      <c r="N33" s="90">
        <f>IFERROR(SUM(L33,M33),"")</f>
        <v>9382.56</v>
      </c>
      <c r="O33" s="87" t="s">
        <v>134</v>
      </c>
    </row>
    <row r="34" spans="2:25" x14ac:dyDescent="0.2">
      <c r="B34" s="108"/>
      <c r="C34" s="108"/>
      <c r="D34" s="108"/>
      <c r="E34" s="108"/>
      <c r="F34" s="108"/>
      <c r="G34" s="109"/>
      <c r="H34" s="93"/>
      <c r="I34" s="93"/>
      <c r="J34" s="93"/>
      <c r="K34" s="93"/>
      <c r="L34" s="94"/>
      <c r="M34" s="93"/>
      <c r="N34" s="93"/>
    </row>
    <row r="35" spans="2:25" x14ac:dyDescent="0.2">
      <c r="B35" s="135" t="s">
        <v>60</v>
      </c>
      <c r="C35" s="135"/>
      <c r="D35" s="135"/>
      <c r="E35" s="135"/>
      <c r="F35" s="110"/>
      <c r="G35" s="86"/>
      <c r="H35" s="86"/>
      <c r="I35" s="86"/>
      <c r="J35" s="93"/>
      <c r="K35" s="93"/>
      <c r="L35" s="94"/>
      <c r="M35" s="93"/>
      <c r="N35" s="93"/>
    </row>
    <row r="36" spans="2:25" s="2" customFormat="1" x14ac:dyDescent="0.2">
      <c r="B36" s="126" t="s">
        <v>105</v>
      </c>
      <c r="C36" s="126"/>
      <c r="D36" s="126"/>
      <c r="E36" s="126"/>
      <c r="F36" s="126"/>
      <c r="G36" s="126"/>
      <c r="H36" s="126"/>
      <c r="I36" s="126"/>
      <c r="J36" s="93"/>
      <c r="K36" s="93"/>
      <c r="L36" s="94"/>
      <c r="M36" s="93"/>
      <c r="N36" s="93"/>
      <c r="O36" s="87"/>
      <c r="P36" s="95"/>
      <c r="Q36" s="95"/>
      <c r="R36" s="95"/>
      <c r="S36" s="95"/>
      <c r="T36" s="95"/>
      <c r="U36" s="95"/>
      <c r="V36" s="95"/>
      <c r="W36" s="95"/>
      <c r="X36" s="95"/>
      <c r="Y36" s="95"/>
    </row>
    <row r="37" spans="2:25" x14ac:dyDescent="0.2">
      <c r="B37" s="126" t="s">
        <v>61</v>
      </c>
      <c r="C37" s="126"/>
      <c r="D37" s="126"/>
      <c r="E37" s="126"/>
      <c r="F37" s="126"/>
      <c r="G37" s="126"/>
      <c r="H37" s="126"/>
      <c r="I37" s="126"/>
      <c r="J37" s="93"/>
      <c r="K37" s="93"/>
      <c r="L37" s="94"/>
      <c r="M37" s="93"/>
      <c r="N37" s="93"/>
    </row>
    <row r="38" spans="2:25" x14ac:dyDescent="0.2">
      <c r="B38" s="126" t="s">
        <v>62</v>
      </c>
      <c r="C38" s="126"/>
      <c r="D38" s="126"/>
      <c r="E38" s="126"/>
      <c r="F38" s="126"/>
      <c r="G38" s="126"/>
      <c r="H38" s="126"/>
      <c r="I38" s="126"/>
      <c r="J38" s="93"/>
      <c r="K38" s="93"/>
      <c r="L38" s="94"/>
      <c r="M38" s="93"/>
      <c r="N38" s="93"/>
    </row>
    <row r="39" spans="2:25" x14ac:dyDescent="0.2">
      <c r="B39" s="126" t="s">
        <v>63</v>
      </c>
      <c r="C39" s="126"/>
      <c r="D39" s="126"/>
      <c r="E39" s="126"/>
      <c r="F39" s="126"/>
      <c r="G39" s="126"/>
      <c r="H39" s="126"/>
      <c r="I39" s="126"/>
      <c r="J39" s="93"/>
      <c r="K39" s="93"/>
      <c r="L39" s="94"/>
      <c r="M39" s="93"/>
      <c r="N39" s="93"/>
    </row>
    <row r="40" spans="2:25" x14ac:dyDescent="0.2">
      <c r="B40" s="126" t="s">
        <v>64</v>
      </c>
      <c r="C40" s="126"/>
      <c r="D40" s="126"/>
      <c r="E40" s="126"/>
      <c r="F40" s="126"/>
      <c r="G40" s="126"/>
      <c r="H40" s="126"/>
      <c r="I40" s="126"/>
      <c r="J40" s="86"/>
      <c r="K40" s="86"/>
      <c r="L40" s="86"/>
      <c r="M40" s="86"/>
      <c r="N40" s="86"/>
    </row>
    <row r="41" spans="2:25" x14ac:dyDescent="0.2">
      <c r="B41" s="126" t="s">
        <v>65</v>
      </c>
      <c r="C41" s="126"/>
      <c r="D41" s="126"/>
      <c r="E41" s="126"/>
      <c r="F41" s="126"/>
      <c r="G41" s="126"/>
      <c r="H41" s="126"/>
      <c r="I41" s="126"/>
      <c r="J41" s="86"/>
      <c r="K41" s="86"/>
      <c r="L41" s="86"/>
      <c r="M41" s="86"/>
      <c r="N41" s="86"/>
    </row>
    <row r="42" spans="2:25" x14ac:dyDescent="0.2">
      <c r="B42" s="126" t="s">
        <v>66</v>
      </c>
      <c r="C42" s="126"/>
      <c r="D42" s="126"/>
      <c r="E42" s="126"/>
      <c r="F42" s="126"/>
      <c r="G42" s="126"/>
      <c r="H42" s="126"/>
      <c r="I42" s="126"/>
      <c r="J42" s="86"/>
      <c r="K42" s="86"/>
      <c r="L42" s="86"/>
      <c r="M42" s="86"/>
      <c r="N42" s="86"/>
    </row>
    <row r="43" spans="2:25" x14ac:dyDescent="0.2">
      <c r="B43" s="126" t="s">
        <v>67</v>
      </c>
      <c r="C43" s="126"/>
      <c r="D43" s="126"/>
      <c r="E43" s="126"/>
      <c r="F43" s="126"/>
      <c r="G43" s="126"/>
      <c r="H43" s="126"/>
      <c r="I43" s="126"/>
      <c r="J43" s="86"/>
      <c r="K43" s="86"/>
      <c r="L43" s="86"/>
      <c r="M43" s="86"/>
      <c r="N43" s="86"/>
    </row>
    <row r="44" spans="2:25" x14ac:dyDescent="0.2">
      <c r="B44" s="111"/>
      <c r="C44" s="111"/>
      <c r="D44" s="111"/>
      <c r="E44" s="111"/>
      <c r="F44" s="111"/>
      <c r="G44" s="111"/>
      <c r="H44" s="111"/>
      <c r="I44" s="111"/>
      <c r="J44" s="86"/>
      <c r="K44" s="86"/>
      <c r="L44" s="86"/>
      <c r="M44" s="86"/>
      <c r="N44" s="86"/>
    </row>
    <row r="45" spans="2:25" x14ac:dyDescent="0.2">
      <c r="B45" s="86" t="s">
        <v>68</v>
      </c>
      <c r="C45" s="86"/>
      <c r="D45" s="86"/>
      <c r="E45" s="86"/>
      <c r="F45" s="86"/>
      <c r="G45" s="86"/>
      <c r="H45" s="86"/>
      <c r="I45" s="86"/>
      <c r="J45" s="86" t="s">
        <v>69</v>
      </c>
      <c r="K45" s="86"/>
      <c r="L45" s="86"/>
      <c r="M45" s="86"/>
      <c r="N45" s="86"/>
    </row>
    <row r="46" spans="2:25" x14ac:dyDescent="0.2">
      <c r="B46" s="112" t="s">
        <v>104</v>
      </c>
      <c r="C46" s="112"/>
      <c r="D46" s="86"/>
      <c r="E46" s="86"/>
      <c r="F46" s="86"/>
      <c r="G46" s="86"/>
      <c r="H46" s="86"/>
      <c r="I46" s="86"/>
      <c r="J46" s="112"/>
      <c r="K46" s="112"/>
      <c r="L46" s="112"/>
      <c r="M46" s="86"/>
      <c r="N46" s="86"/>
    </row>
    <row r="47" spans="2:25" x14ac:dyDescent="0.2">
      <c r="B47" s="96" t="s">
        <v>70</v>
      </c>
      <c r="C47" s="86"/>
      <c r="D47" s="86"/>
      <c r="E47" s="86"/>
      <c r="F47" s="86"/>
      <c r="G47" s="86"/>
      <c r="H47" s="86"/>
      <c r="I47" s="86"/>
      <c r="J47" s="86" t="s">
        <v>70</v>
      </c>
      <c r="K47" s="86"/>
      <c r="L47" s="86"/>
      <c r="M47" s="86"/>
      <c r="N47" s="86"/>
    </row>
    <row r="48" spans="2:25" x14ac:dyDescent="0.2">
      <c r="B48" s="86"/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6"/>
    </row>
    <row r="49" spans="2:14" x14ac:dyDescent="0.2">
      <c r="B49" s="112"/>
      <c r="C49" s="112"/>
      <c r="D49" s="86"/>
      <c r="E49" s="86"/>
      <c r="F49" s="86"/>
      <c r="G49" s="86"/>
      <c r="H49" s="86"/>
      <c r="I49" s="86"/>
      <c r="J49" s="112"/>
      <c r="K49" s="112"/>
      <c r="L49" s="112"/>
      <c r="M49" s="86"/>
      <c r="N49" s="86"/>
    </row>
    <row r="50" spans="2:14" x14ac:dyDescent="0.2">
      <c r="B50" s="97" t="s">
        <v>71</v>
      </c>
      <c r="C50" s="86"/>
      <c r="D50" s="86"/>
      <c r="E50" s="86"/>
      <c r="F50" s="86"/>
      <c r="G50" s="86"/>
      <c r="H50" s="86"/>
      <c r="I50" s="86"/>
      <c r="J50" s="123" t="s">
        <v>71</v>
      </c>
      <c r="K50" s="123"/>
      <c r="L50" s="123"/>
      <c r="M50" s="86"/>
      <c r="N50" s="86"/>
    </row>
    <row r="51" spans="2:14" x14ac:dyDescent="0.2">
      <c r="B51" s="86"/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</row>
    <row r="52" spans="2:14" x14ac:dyDescent="0.2">
      <c r="B52" s="111" t="s">
        <v>72</v>
      </c>
      <c r="C52" s="86"/>
      <c r="D52" s="86"/>
      <c r="E52" s="86"/>
      <c r="F52" s="86"/>
      <c r="G52" s="86"/>
      <c r="H52" s="86"/>
      <c r="I52" s="86"/>
      <c r="J52" s="86" t="s">
        <v>72</v>
      </c>
      <c r="K52" s="86"/>
      <c r="L52" s="86"/>
      <c r="M52" s="86"/>
      <c r="N52" s="86"/>
    </row>
    <row r="54" spans="2:14" x14ac:dyDescent="0.2">
      <c r="B54" s="86"/>
      <c r="C54" s="86"/>
      <c r="D54" s="86"/>
      <c r="E54" s="86"/>
      <c r="F54" s="86"/>
      <c r="G54" s="86"/>
      <c r="H54" s="86"/>
      <c r="I54" s="86"/>
      <c r="J54" s="86"/>
      <c r="K54" s="86"/>
      <c r="M54" s="86"/>
      <c r="N54" s="98" t="s">
        <v>37</v>
      </c>
    </row>
    <row r="55" spans="2:14" x14ac:dyDescent="0.2">
      <c r="B55" s="86"/>
      <c r="C55" s="86"/>
      <c r="D55" s="86"/>
      <c r="E55" s="86"/>
      <c r="F55" s="86"/>
      <c r="G55" s="86"/>
      <c r="H55" s="86"/>
      <c r="I55" s="86"/>
      <c r="J55" s="86"/>
      <c r="K55" s="86"/>
      <c r="M55" s="86"/>
      <c r="N55" s="98" t="s">
        <v>38</v>
      </c>
    </row>
    <row r="56" spans="2:14" x14ac:dyDescent="0.2">
      <c r="B56" s="86"/>
      <c r="C56" s="86"/>
      <c r="D56" s="86"/>
      <c r="E56" s="86"/>
      <c r="F56" s="86"/>
      <c r="G56" s="86"/>
      <c r="H56" s="86"/>
      <c r="I56" s="86"/>
      <c r="J56" s="86"/>
      <c r="K56" s="86"/>
      <c r="M56" s="86"/>
      <c r="N56" s="98" t="s">
        <v>39</v>
      </c>
    </row>
    <row r="57" spans="2:14" x14ac:dyDescent="0.2">
      <c r="B57" s="86"/>
      <c r="C57" s="86"/>
      <c r="D57" s="86"/>
      <c r="E57" s="86"/>
      <c r="F57" s="86"/>
      <c r="G57" s="86"/>
      <c r="H57" s="86"/>
      <c r="I57" s="86"/>
      <c r="J57" s="86"/>
      <c r="K57" s="86"/>
      <c r="L57" s="86"/>
      <c r="M57" s="86"/>
      <c r="N57" s="86"/>
    </row>
    <row r="58" spans="2:14" x14ac:dyDescent="0.2">
      <c r="B58" s="86"/>
      <c r="C58" s="127" t="s">
        <v>40</v>
      </c>
      <c r="D58" s="127"/>
      <c r="E58" s="127"/>
      <c r="F58" s="127"/>
      <c r="G58" s="127"/>
      <c r="H58" s="127"/>
      <c r="I58" s="127"/>
      <c r="J58" s="127"/>
      <c r="K58" s="127"/>
      <c r="L58" s="127"/>
      <c r="M58" s="86"/>
      <c r="N58" s="86"/>
    </row>
    <row r="59" spans="2:14" x14ac:dyDescent="0.2">
      <c r="B59" s="86"/>
      <c r="C59" s="127" t="s">
        <v>41</v>
      </c>
      <c r="D59" s="127"/>
      <c r="E59" s="127"/>
      <c r="F59" s="127"/>
      <c r="G59" s="127"/>
      <c r="H59" s="127"/>
      <c r="I59" s="127"/>
      <c r="J59" s="127"/>
      <c r="K59" s="127"/>
      <c r="L59" s="127"/>
      <c r="M59" s="86"/>
      <c r="N59" s="86"/>
    </row>
    <row r="60" spans="2:14" x14ac:dyDescent="0.2">
      <c r="B60" s="86" t="s">
        <v>42</v>
      </c>
      <c r="C60" s="99"/>
      <c r="D60" s="99"/>
      <c r="E60" s="99"/>
      <c r="F60" s="99"/>
      <c r="G60" s="99"/>
      <c r="H60" s="99"/>
      <c r="I60" s="99"/>
      <c r="J60" s="99"/>
      <c r="K60" s="99"/>
      <c r="L60" s="127" t="s">
        <v>43</v>
      </c>
      <c r="M60" s="127"/>
      <c r="N60" s="127"/>
    </row>
    <row r="61" spans="2:14" x14ac:dyDescent="0.2">
      <c r="B61" s="86"/>
      <c r="C61" s="99"/>
      <c r="D61" s="99"/>
      <c r="E61" s="99"/>
      <c r="F61" s="99"/>
      <c r="G61" s="99"/>
      <c r="H61" s="99"/>
      <c r="I61" s="99"/>
      <c r="J61" s="99"/>
      <c r="K61" s="99"/>
      <c r="L61" s="99"/>
      <c r="M61" s="99"/>
      <c r="N61" s="99"/>
    </row>
    <row r="62" spans="2:14" x14ac:dyDescent="0.2">
      <c r="B62" s="86" t="s">
        <v>44</v>
      </c>
      <c r="C62" s="99"/>
      <c r="D62" s="99"/>
      <c r="E62" s="99"/>
      <c r="F62" s="99"/>
      <c r="G62" s="99"/>
      <c r="H62" s="99"/>
      <c r="I62" s="99"/>
      <c r="J62" s="99"/>
      <c r="K62" s="99"/>
      <c r="L62" s="99"/>
      <c r="M62" s="99"/>
      <c r="N62" s="99"/>
    </row>
    <row r="63" spans="2:14" x14ac:dyDescent="0.2">
      <c r="B63" s="86" t="s">
        <v>45</v>
      </c>
      <c r="C63" s="99"/>
      <c r="D63" s="99"/>
      <c r="E63" s="99"/>
      <c r="F63" s="99"/>
      <c r="G63" s="99"/>
      <c r="H63" s="99"/>
      <c r="I63" s="99"/>
      <c r="J63" s="99"/>
      <c r="K63" s="99"/>
      <c r="L63" s="99"/>
      <c r="M63" s="99"/>
      <c r="N63" s="99"/>
    </row>
    <row r="64" spans="2:14" x14ac:dyDescent="0.2">
      <c r="B64" s="86" t="s">
        <v>168</v>
      </c>
      <c r="C64" s="99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</row>
    <row r="65" spans="2:15" x14ac:dyDescent="0.2">
      <c r="B65" s="86"/>
      <c r="C65" s="99"/>
      <c r="D65" s="99"/>
      <c r="E65" s="99"/>
      <c r="F65" s="99"/>
      <c r="G65" s="99"/>
      <c r="H65" s="99"/>
      <c r="I65" s="99"/>
      <c r="J65" s="99"/>
      <c r="K65" s="99"/>
      <c r="L65" s="99"/>
      <c r="M65" s="99"/>
      <c r="N65" s="99"/>
    </row>
    <row r="66" spans="2:15" x14ac:dyDescent="0.2">
      <c r="B66" s="86"/>
      <c r="C66" s="86"/>
      <c r="D66" s="86"/>
      <c r="E66" s="86"/>
      <c r="F66" s="86"/>
      <c r="G66" s="86"/>
      <c r="H66" s="86"/>
      <c r="I66" s="86"/>
      <c r="J66" s="86"/>
      <c r="K66" s="86"/>
      <c r="L66" s="86"/>
      <c r="M66" s="86"/>
      <c r="N66" s="86"/>
    </row>
    <row r="67" spans="2:15" ht="13.15" customHeight="1" x14ac:dyDescent="0.2">
      <c r="B67" s="128" t="s">
        <v>26</v>
      </c>
      <c r="C67" s="130" t="s">
        <v>46</v>
      </c>
      <c r="D67" s="132" t="s">
        <v>47</v>
      </c>
      <c r="E67" s="132" t="s">
        <v>48</v>
      </c>
      <c r="F67" s="132" t="s">
        <v>73</v>
      </c>
      <c r="G67" s="132" t="s">
        <v>49</v>
      </c>
      <c r="H67" s="132" t="s">
        <v>8</v>
      </c>
      <c r="I67" s="133" t="s">
        <v>50</v>
      </c>
      <c r="J67" s="133"/>
      <c r="K67" s="133"/>
      <c r="L67" s="133"/>
      <c r="M67" s="134" t="s">
        <v>51</v>
      </c>
      <c r="N67" s="124" t="s">
        <v>52</v>
      </c>
    </row>
    <row r="68" spans="2:15" x14ac:dyDescent="0.2">
      <c r="B68" s="129"/>
      <c r="C68" s="131"/>
      <c r="D68" s="132"/>
      <c r="E68" s="132"/>
      <c r="F68" s="132"/>
      <c r="G68" s="132"/>
      <c r="H68" s="132"/>
      <c r="I68" s="100" t="s">
        <v>53</v>
      </c>
      <c r="J68" s="100" t="s">
        <v>54</v>
      </c>
      <c r="K68" s="100" t="s">
        <v>55</v>
      </c>
      <c r="L68" s="100" t="s">
        <v>56</v>
      </c>
      <c r="M68" s="134"/>
      <c r="N68" s="125"/>
    </row>
    <row r="69" spans="2:15" x14ac:dyDescent="0.2">
      <c r="B69" s="136" t="s">
        <v>167</v>
      </c>
      <c r="C69" s="137"/>
      <c r="D69" s="137"/>
      <c r="E69" s="137"/>
      <c r="F69" s="137"/>
      <c r="G69" s="138"/>
      <c r="H69" s="101" t="s">
        <v>17</v>
      </c>
      <c r="I69" s="102">
        <v>120.15</v>
      </c>
      <c r="J69" s="102">
        <v>85.62</v>
      </c>
      <c r="K69" s="102">
        <v>43.38</v>
      </c>
      <c r="L69" s="102"/>
      <c r="M69" s="102">
        <v>6.85</v>
      </c>
      <c r="N69" s="102"/>
    </row>
    <row r="70" spans="2:15" x14ac:dyDescent="0.2">
      <c r="B70" s="139"/>
      <c r="C70" s="140"/>
      <c r="D70" s="140"/>
      <c r="E70" s="140"/>
      <c r="F70" s="140"/>
      <c r="G70" s="141"/>
      <c r="H70" s="101" t="s">
        <v>22</v>
      </c>
      <c r="I70" s="102">
        <v>898.69</v>
      </c>
      <c r="J70" s="102">
        <v>642.13</v>
      </c>
      <c r="K70" s="102">
        <v>323.07</v>
      </c>
      <c r="L70" s="102"/>
      <c r="M70" s="102">
        <v>27.97</v>
      </c>
      <c r="N70" s="102"/>
    </row>
    <row r="71" spans="2:15" x14ac:dyDescent="0.2">
      <c r="B71" s="139"/>
      <c r="C71" s="140"/>
      <c r="D71" s="140"/>
      <c r="E71" s="140"/>
      <c r="F71" s="140"/>
      <c r="G71" s="141"/>
      <c r="H71" s="101" t="s">
        <v>19</v>
      </c>
      <c r="I71" s="102">
        <v>71.349999999999994</v>
      </c>
      <c r="J71" s="102">
        <v>51.94</v>
      </c>
      <c r="K71" s="102">
        <v>26.54</v>
      </c>
      <c r="L71" s="102"/>
      <c r="M71" s="102">
        <v>1.43</v>
      </c>
      <c r="N71" s="102"/>
    </row>
    <row r="72" spans="2:15" x14ac:dyDescent="0.2">
      <c r="B72" s="139"/>
      <c r="C72" s="140"/>
      <c r="D72" s="140"/>
      <c r="E72" s="140"/>
      <c r="F72" s="140"/>
      <c r="G72" s="141"/>
      <c r="H72" s="101" t="s">
        <v>24</v>
      </c>
      <c r="I72" s="102">
        <v>71.349999999999994</v>
      </c>
      <c r="J72" s="102">
        <v>51.94</v>
      </c>
      <c r="K72" s="102">
        <v>26.54</v>
      </c>
      <c r="L72" s="102"/>
      <c r="M72" s="102">
        <v>1.43</v>
      </c>
      <c r="N72" s="102"/>
    </row>
    <row r="73" spans="2:15" x14ac:dyDescent="0.2">
      <c r="B73" s="142"/>
      <c r="C73" s="143"/>
      <c r="D73" s="143"/>
      <c r="E73" s="143"/>
      <c r="F73" s="143"/>
      <c r="G73" s="144"/>
      <c r="H73" s="101" t="s">
        <v>18</v>
      </c>
      <c r="I73" s="102">
        <v>22.83</v>
      </c>
      <c r="J73" s="102">
        <v>17.41</v>
      </c>
      <c r="K73" s="102">
        <v>8.85</v>
      </c>
      <c r="L73" s="102"/>
      <c r="M73" s="102">
        <v>0.56999999999999995</v>
      </c>
      <c r="N73" s="102"/>
    </row>
    <row r="74" spans="2:15" x14ac:dyDescent="0.2">
      <c r="B74" s="103" t="s">
        <v>151</v>
      </c>
      <c r="C74" s="100" t="s">
        <v>57</v>
      </c>
      <c r="D74" s="103">
        <v>36</v>
      </c>
      <c r="E74" s="103">
        <v>40</v>
      </c>
      <c r="F74" s="103">
        <v>2</v>
      </c>
      <c r="G74" s="104">
        <v>1.3</v>
      </c>
      <c r="H74" s="105" t="s">
        <v>17</v>
      </c>
      <c r="I74" s="119">
        <v>1.04</v>
      </c>
      <c r="J74" s="119">
        <v>8.14</v>
      </c>
      <c r="K74" s="119">
        <v>7.56</v>
      </c>
      <c r="L74" s="90">
        <f>IFERROR(SUM(I74,J74,K74),"")</f>
        <v>16.739999999999998</v>
      </c>
      <c r="M74" s="118">
        <v>12.99</v>
      </c>
      <c r="N74" s="90">
        <f>IFERROR(SUM(L74,M74),"")</f>
        <v>29.729999999999997</v>
      </c>
      <c r="O74" s="87" t="s">
        <v>119</v>
      </c>
    </row>
    <row r="75" spans="2:15" x14ac:dyDescent="0.2">
      <c r="B75" s="100"/>
      <c r="C75" s="100"/>
      <c r="D75" s="100"/>
      <c r="E75" s="100"/>
      <c r="F75" s="100"/>
      <c r="G75" s="100"/>
      <c r="H75" s="89" t="s">
        <v>58</v>
      </c>
      <c r="I75" s="90">
        <v>124.96</v>
      </c>
      <c r="J75" s="90">
        <v>696.9</v>
      </c>
      <c r="K75" s="90">
        <v>327.95</v>
      </c>
      <c r="L75" s="90">
        <f>IFERROR(SUM(I75,J75,K75),"")</f>
        <v>1149.81</v>
      </c>
      <c r="M75" s="90">
        <v>88.97</v>
      </c>
      <c r="N75" s="90">
        <f>IFERROR(SUM(L75,M75),"")</f>
        <v>1238.78</v>
      </c>
      <c r="O75" s="87" t="s">
        <v>135</v>
      </c>
    </row>
    <row r="76" spans="2:15" x14ac:dyDescent="0.2">
      <c r="B76" s="100"/>
      <c r="C76" s="100"/>
      <c r="D76" s="100"/>
      <c r="E76" s="100"/>
      <c r="F76" s="100"/>
      <c r="G76" s="100"/>
      <c r="H76" s="105" t="s">
        <v>22</v>
      </c>
      <c r="I76" s="106"/>
      <c r="J76" s="106" t="str">
        <f>IFERROR(INDEX(Извещение!$J$7:$T$21,MATCH(CONCATENATE(РАСЧЕТ!B74,"/",РАСЧЕТ!D74,"/",РАСЧЕТ!E74,"/",F74,"/",H76),Извещение!#REF!,0),3),"")</f>
        <v/>
      </c>
      <c r="K76" s="106" t="str">
        <f>IFERROR(INDEX(Извещение!$J$7:$T$21,MATCH(CONCATENATE(РАСЧЕТ!B74,"/",РАСЧЕТ!D74,"/",РАСЧЕТ!E74,"/",F74,"/",H76),Извещение!#REF!,0),4),"")</f>
        <v/>
      </c>
      <c r="L76" s="88">
        <f t="shared" ref="L76:L85" si="8">IFERROR(SUM(I76,J76,K76),"")</f>
        <v>0</v>
      </c>
      <c r="M76" s="107" t="str">
        <f>IFERROR(INDEX(Извещение!$J$7:$T$21,MATCH(CONCATENATE(РАСЧЕТ!B74,"/",РАСЧЕТ!D74,"/",РАСЧЕТ!E74,"/",F74,"/",H76),Извещение!#REF!,0),6),"")</f>
        <v/>
      </c>
      <c r="N76" s="88">
        <f t="shared" ref="N76" si="9">IFERROR(SUM(L76,M76),"")</f>
        <v>0</v>
      </c>
      <c r="O76" s="87" t="s">
        <v>136</v>
      </c>
    </row>
    <row r="77" spans="2:15" x14ac:dyDescent="0.2">
      <c r="B77" s="100"/>
      <c r="C77" s="100"/>
      <c r="D77" s="100"/>
      <c r="E77" s="100"/>
      <c r="F77" s="100"/>
      <c r="G77" s="100"/>
      <c r="H77" s="89" t="s">
        <v>58</v>
      </c>
      <c r="I77" s="90">
        <f>IFERROR(I76*I70,"")</f>
        <v>0</v>
      </c>
      <c r="J77" s="90" t="str">
        <f t="shared" ref="J77:K77" si="10">IFERROR(J76*J70,"")</f>
        <v/>
      </c>
      <c r="K77" s="90" t="str">
        <f t="shared" si="10"/>
        <v/>
      </c>
      <c r="L77" s="90">
        <f t="shared" si="8"/>
        <v>0</v>
      </c>
      <c r="M77" s="90" t="str">
        <f t="shared" ref="M77" si="11">IFERROR(M76*M70,"")</f>
        <v/>
      </c>
      <c r="N77" s="90">
        <f>IFERROR(SUM(L77,M77),"")</f>
        <v>0</v>
      </c>
      <c r="O77" s="87" t="s">
        <v>135</v>
      </c>
    </row>
    <row r="78" spans="2:15" x14ac:dyDescent="0.2">
      <c r="B78" s="100"/>
      <c r="C78" s="100"/>
      <c r="D78" s="100"/>
      <c r="E78" s="100"/>
      <c r="F78" s="100"/>
      <c r="G78" s="100"/>
      <c r="H78" s="91" t="s">
        <v>19</v>
      </c>
      <c r="I78" s="118">
        <v>0.2</v>
      </c>
      <c r="J78" s="118">
        <v>21.15</v>
      </c>
      <c r="K78" s="118">
        <v>6.47</v>
      </c>
      <c r="L78" s="90">
        <f t="shared" si="8"/>
        <v>27.819999999999997</v>
      </c>
      <c r="M78" s="118">
        <v>20.63</v>
      </c>
      <c r="N78" s="90">
        <f t="shared" ref="N78" si="12">IFERROR(SUM(L78,M78),"")</f>
        <v>48.449999999999996</v>
      </c>
      <c r="O78" s="87" t="s">
        <v>137</v>
      </c>
    </row>
    <row r="79" spans="2:15" x14ac:dyDescent="0.2">
      <c r="B79" s="100"/>
      <c r="C79" s="100"/>
      <c r="D79" s="100"/>
      <c r="E79" s="100"/>
      <c r="F79" s="100"/>
      <c r="G79" s="100"/>
      <c r="H79" s="89" t="s">
        <v>58</v>
      </c>
      <c r="I79" s="90">
        <v>14.27</v>
      </c>
      <c r="J79" s="90">
        <v>1098.55</v>
      </c>
      <c r="K79" s="90">
        <v>171.72</v>
      </c>
      <c r="L79" s="90">
        <f t="shared" si="8"/>
        <v>1284.54</v>
      </c>
      <c r="M79" s="90">
        <v>29.44</v>
      </c>
      <c r="N79" s="90">
        <f>IFERROR(SUM(L79,M79),"")</f>
        <v>1313.98</v>
      </c>
      <c r="O79" s="87" t="s">
        <v>135</v>
      </c>
    </row>
    <row r="80" spans="2:15" x14ac:dyDescent="0.2">
      <c r="B80" s="100"/>
      <c r="C80" s="100"/>
      <c r="D80" s="100"/>
      <c r="E80" s="100"/>
      <c r="F80" s="100"/>
      <c r="G80" s="100"/>
      <c r="H80" s="91" t="s">
        <v>24</v>
      </c>
      <c r="I80" s="107"/>
      <c r="J80" s="107" t="str">
        <f>IFERROR(INDEX(Извещение!$J$7:$T$21,MATCH(CONCATENATE(РАСЧЕТ!B74,"/",РАСЧЕТ!D74,"/",РАСЧЕТ!E74,"/",F74,"/",H80),Извещение!#REF!,0),3),"")</f>
        <v/>
      </c>
      <c r="K80" s="107" t="str">
        <f>IFERROR(INDEX(Извещение!$J$7:$T$21,MATCH(CONCATENATE(РАСЧЕТ!B74,"/",РАСЧЕТ!D74,"/",РАСЧЕТ!E74,"/",F74,"/",H80),Извещение!#REF!,0),4),"")</f>
        <v/>
      </c>
      <c r="L80" s="88">
        <f t="shared" si="8"/>
        <v>0</v>
      </c>
      <c r="M80" s="107" t="str">
        <f>IFERROR(INDEX(Извещение!$J$7:$T$21,MATCH(CONCATENATE(РАСЧЕТ!B74,"/",РАСЧЕТ!D74,"/",РАСЧЕТ!E74,"/",F74,"/",H80),Извещение!#REF!,0),6),"")</f>
        <v/>
      </c>
      <c r="N80" s="88">
        <f t="shared" ref="N80" si="13">IFERROR(SUM(L80,M80),"")</f>
        <v>0</v>
      </c>
      <c r="O80" s="87" t="s">
        <v>138</v>
      </c>
    </row>
    <row r="81" spans="2:15" x14ac:dyDescent="0.2">
      <c r="B81" s="100"/>
      <c r="C81" s="100"/>
      <c r="D81" s="100"/>
      <c r="E81" s="100"/>
      <c r="F81" s="100"/>
      <c r="G81" s="100"/>
      <c r="H81" s="89" t="s">
        <v>58</v>
      </c>
      <c r="I81" s="90">
        <f>IFERROR(I80*I72,"")</f>
        <v>0</v>
      </c>
      <c r="J81" s="90" t="str">
        <f>IFERROR(J80*J72,"")</f>
        <v/>
      </c>
      <c r="K81" s="90" t="str">
        <f>IFERROR(K80*K72,"")</f>
        <v/>
      </c>
      <c r="L81" s="90">
        <f t="shared" si="8"/>
        <v>0</v>
      </c>
      <c r="M81" s="90" t="str">
        <f>IFERROR(M80*M72,"")</f>
        <v/>
      </c>
      <c r="N81" s="90">
        <f>IFERROR(SUM(L81,M81),"")</f>
        <v>0</v>
      </c>
      <c r="O81" s="87" t="s">
        <v>135</v>
      </c>
    </row>
    <row r="82" spans="2:15" x14ac:dyDescent="0.2">
      <c r="B82" s="100"/>
      <c r="C82" s="100"/>
      <c r="D82" s="100"/>
      <c r="E82" s="100"/>
      <c r="F82" s="100"/>
      <c r="G82" s="100"/>
      <c r="H82" s="91" t="s">
        <v>18</v>
      </c>
      <c r="I82" s="118">
        <v>5.84</v>
      </c>
      <c r="J82" s="118">
        <v>83.35</v>
      </c>
      <c r="K82" s="118">
        <v>12.78</v>
      </c>
      <c r="L82" s="90">
        <f t="shared" si="8"/>
        <v>101.97</v>
      </c>
      <c r="M82" s="118">
        <v>67.599999999999994</v>
      </c>
      <c r="N82" s="90">
        <f t="shared" ref="N82" si="14">IFERROR(SUM(L82,M82),"")</f>
        <v>169.57</v>
      </c>
      <c r="O82" s="87" t="s">
        <v>118</v>
      </c>
    </row>
    <row r="83" spans="2:15" x14ac:dyDescent="0.2">
      <c r="B83" s="100"/>
      <c r="C83" s="100"/>
      <c r="D83" s="100"/>
      <c r="E83" s="100"/>
      <c r="F83" s="100"/>
      <c r="G83" s="100"/>
      <c r="H83" s="89" t="s">
        <v>58</v>
      </c>
      <c r="I83" s="90">
        <v>133.34</v>
      </c>
      <c r="J83" s="90">
        <v>1451.02</v>
      </c>
      <c r="K83" s="90">
        <v>113.07</v>
      </c>
      <c r="L83" s="90">
        <f t="shared" si="8"/>
        <v>1697.4299999999998</v>
      </c>
      <c r="M83" s="90">
        <v>38.58</v>
      </c>
      <c r="N83" s="90">
        <f>IFERROR(SUM(L83,M83),"")</f>
        <v>1736.0099999999998</v>
      </c>
      <c r="O83" s="87" t="s">
        <v>135</v>
      </c>
    </row>
    <row r="84" spans="2:15" x14ac:dyDescent="0.2">
      <c r="B84" s="100"/>
      <c r="C84" s="100"/>
      <c r="D84" s="100"/>
      <c r="E84" s="100"/>
      <c r="F84" s="100"/>
      <c r="G84" s="100"/>
      <c r="H84" s="92" t="s">
        <v>59</v>
      </c>
      <c r="I84" s="90">
        <f ca="1">SUM(I74:OFFSET(I84,-1,0))-I85</f>
        <v>7.0799999999999841</v>
      </c>
      <c r="J84" s="90">
        <f ca="1">SUM(J74:OFFSET(J84,-1,0))-J85</f>
        <v>112.63999999999987</v>
      </c>
      <c r="K84" s="90">
        <f ca="1">SUM(K74:OFFSET(K84,-1,0))-K85</f>
        <v>26.809999999999945</v>
      </c>
      <c r="L84" s="90">
        <f t="shared" ca="1" si="8"/>
        <v>146.5299999999998</v>
      </c>
      <c r="M84" s="90">
        <f ca="1">SUM(M74:OFFSET(M84,-1,0))-M85</f>
        <v>101.21999999999997</v>
      </c>
      <c r="N84" s="90">
        <f t="shared" ref="N84" ca="1" si="15">IFERROR(SUM(L84,M84),"")</f>
        <v>247.74999999999977</v>
      </c>
      <c r="O84" s="87" t="s">
        <v>139</v>
      </c>
    </row>
    <row r="85" spans="2:15" x14ac:dyDescent="0.2">
      <c r="B85" s="100"/>
      <c r="C85" s="100"/>
      <c r="D85" s="100"/>
      <c r="E85" s="100"/>
      <c r="F85" s="100"/>
      <c r="G85" s="100"/>
      <c r="H85" s="92" t="s">
        <v>74</v>
      </c>
      <c r="I85" s="90">
        <f>SUMIF(H74:H83,"стоимость",I74:I83)</f>
        <v>272.57</v>
      </c>
      <c r="J85" s="90">
        <f>SUMIF(H74:H83,"стоимость",J74:J83)</f>
        <v>3246.47</v>
      </c>
      <c r="K85" s="90">
        <f>SUMIF(H74:H83,"стоимость",K74:K83)</f>
        <v>612.74</v>
      </c>
      <c r="L85" s="90">
        <f t="shared" si="8"/>
        <v>4131.78</v>
      </c>
      <c r="M85" s="90">
        <f>SUMIF(H74:H83,"стоимость",M74:M83)</f>
        <v>156.99</v>
      </c>
      <c r="N85" s="90">
        <f>IFERROR(SUM(L85,M85),"")</f>
        <v>4288.7699999999995</v>
      </c>
      <c r="O85" s="87" t="s">
        <v>140</v>
      </c>
    </row>
    <row r="86" spans="2:15" x14ac:dyDescent="0.2">
      <c r="B86" s="108"/>
      <c r="C86" s="108"/>
      <c r="D86" s="108"/>
      <c r="E86" s="108"/>
      <c r="F86" s="108"/>
      <c r="G86" s="109"/>
      <c r="H86" s="93"/>
      <c r="I86" s="93"/>
      <c r="J86" s="93"/>
      <c r="K86" s="93"/>
      <c r="L86" s="94"/>
      <c r="M86" s="93"/>
      <c r="N86" s="93"/>
    </row>
    <row r="87" spans="2:15" x14ac:dyDescent="0.2">
      <c r="B87" s="135" t="s">
        <v>60</v>
      </c>
      <c r="C87" s="135"/>
      <c r="D87" s="135"/>
      <c r="E87" s="135"/>
      <c r="F87" s="110"/>
      <c r="G87" s="86"/>
      <c r="H87" s="86"/>
      <c r="I87" s="86"/>
      <c r="J87" s="93"/>
      <c r="K87" s="93"/>
      <c r="L87" s="94"/>
      <c r="M87" s="93"/>
      <c r="N87" s="93"/>
    </row>
    <row r="88" spans="2:15" x14ac:dyDescent="0.2">
      <c r="B88" s="126" t="s">
        <v>105</v>
      </c>
      <c r="C88" s="126"/>
      <c r="D88" s="126"/>
      <c r="E88" s="126"/>
      <c r="F88" s="126"/>
      <c r="G88" s="126"/>
      <c r="H88" s="126"/>
      <c r="I88" s="126"/>
      <c r="J88" s="93"/>
      <c r="K88" s="93"/>
      <c r="L88" s="94"/>
      <c r="M88" s="93"/>
      <c r="N88" s="93"/>
    </row>
    <row r="89" spans="2:15" x14ac:dyDescent="0.2">
      <c r="B89" s="126" t="s">
        <v>61</v>
      </c>
      <c r="C89" s="126"/>
      <c r="D89" s="126"/>
      <c r="E89" s="126"/>
      <c r="F89" s="126"/>
      <c r="G89" s="126"/>
      <c r="H89" s="126"/>
      <c r="I89" s="126"/>
      <c r="J89" s="93"/>
      <c r="K89" s="93"/>
      <c r="L89" s="94"/>
      <c r="M89" s="93"/>
      <c r="N89" s="93"/>
    </row>
    <row r="90" spans="2:15" x14ac:dyDescent="0.2">
      <c r="B90" s="126" t="s">
        <v>62</v>
      </c>
      <c r="C90" s="126"/>
      <c r="D90" s="126"/>
      <c r="E90" s="126"/>
      <c r="F90" s="126"/>
      <c r="G90" s="126"/>
      <c r="H90" s="126"/>
      <c r="I90" s="126"/>
      <c r="J90" s="93"/>
      <c r="K90" s="93"/>
      <c r="L90" s="94"/>
      <c r="M90" s="93"/>
      <c r="N90" s="93"/>
    </row>
    <row r="91" spans="2:15" x14ac:dyDescent="0.2">
      <c r="B91" s="126" t="s">
        <v>63</v>
      </c>
      <c r="C91" s="126"/>
      <c r="D91" s="126"/>
      <c r="E91" s="126"/>
      <c r="F91" s="126"/>
      <c r="G91" s="126"/>
      <c r="H91" s="126"/>
      <c r="I91" s="126"/>
      <c r="J91" s="93"/>
      <c r="K91" s="93"/>
      <c r="L91" s="94"/>
      <c r="M91" s="93"/>
      <c r="N91" s="93"/>
    </row>
    <row r="92" spans="2:15" x14ac:dyDescent="0.2">
      <c r="B92" s="126" t="s">
        <v>64</v>
      </c>
      <c r="C92" s="126"/>
      <c r="D92" s="126"/>
      <c r="E92" s="126"/>
      <c r="F92" s="126"/>
      <c r="G92" s="126"/>
      <c r="H92" s="126"/>
      <c r="I92" s="126"/>
      <c r="J92" s="86"/>
      <c r="K92" s="86"/>
      <c r="L92" s="86"/>
      <c r="M92" s="86"/>
      <c r="N92" s="86"/>
    </row>
    <row r="93" spans="2:15" x14ac:dyDescent="0.2">
      <c r="B93" s="126" t="s">
        <v>65</v>
      </c>
      <c r="C93" s="126"/>
      <c r="D93" s="126"/>
      <c r="E93" s="126"/>
      <c r="F93" s="126"/>
      <c r="G93" s="126"/>
      <c r="H93" s="126"/>
      <c r="I93" s="126"/>
      <c r="J93" s="86"/>
      <c r="K93" s="86"/>
      <c r="L93" s="86"/>
      <c r="M93" s="86"/>
      <c r="N93" s="86"/>
    </row>
    <row r="94" spans="2:15" x14ac:dyDescent="0.2">
      <c r="B94" s="126" t="s">
        <v>66</v>
      </c>
      <c r="C94" s="126"/>
      <c r="D94" s="126"/>
      <c r="E94" s="126"/>
      <c r="F94" s="126"/>
      <c r="G94" s="126"/>
      <c r="H94" s="126"/>
      <c r="I94" s="126"/>
      <c r="J94" s="86"/>
      <c r="K94" s="86"/>
      <c r="L94" s="86"/>
      <c r="M94" s="86"/>
      <c r="N94" s="86"/>
    </row>
    <row r="95" spans="2:15" x14ac:dyDescent="0.2">
      <c r="B95" s="126" t="s">
        <v>67</v>
      </c>
      <c r="C95" s="126"/>
      <c r="D95" s="126"/>
      <c r="E95" s="126"/>
      <c r="F95" s="126"/>
      <c r="G95" s="126"/>
      <c r="H95" s="126"/>
      <c r="I95" s="126"/>
      <c r="J95" s="86"/>
      <c r="K95" s="86"/>
      <c r="L95" s="86"/>
      <c r="M95" s="86"/>
      <c r="N95" s="86"/>
    </row>
    <row r="96" spans="2:15" x14ac:dyDescent="0.2">
      <c r="B96" s="111"/>
      <c r="C96" s="111"/>
      <c r="D96" s="111"/>
      <c r="E96" s="111"/>
      <c r="F96" s="111"/>
      <c r="G96" s="111"/>
      <c r="H96" s="111"/>
      <c r="I96" s="111"/>
      <c r="J96" s="86"/>
      <c r="K96" s="86"/>
      <c r="L96" s="86"/>
      <c r="M96" s="86"/>
      <c r="N96" s="86"/>
    </row>
    <row r="97" spans="2:14" x14ac:dyDescent="0.2">
      <c r="B97" s="86" t="s">
        <v>68</v>
      </c>
      <c r="C97" s="86"/>
      <c r="D97" s="86"/>
      <c r="E97" s="86"/>
      <c r="F97" s="86"/>
      <c r="G97" s="86"/>
      <c r="H97" s="86"/>
      <c r="I97" s="86"/>
      <c r="J97" s="86" t="s">
        <v>69</v>
      </c>
      <c r="K97" s="86"/>
      <c r="L97" s="86"/>
      <c r="M97" s="86"/>
      <c r="N97" s="86"/>
    </row>
    <row r="98" spans="2:14" x14ac:dyDescent="0.2">
      <c r="B98" s="112" t="s">
        <v>104</v>
      </c>
      <c r="C98" s="112"/>
      <c r="D98" s="86"/>
      <c r="E98" s="86"/>
      <c r="F98" s="86"/>
      <c r="G98" s="86"/>
      <c r="H98" s="86"/>
      <c r="I98" s="86"/>
      <c r="J98" s="112"/>
      <c r="K98" s="112"/>
      <c r="L98" s="112"/>
      <c r="M98" s="86"/>
      <c r="N98" s="86"/>
    </row>
    <row r="99" spans="2:14" x14ac:dyDescent="0.2">
      <c r="B99" s="96" t="s">
        <v>70</v>
      </c>
      <c r="C99" s="86"/>
      <c r="D99" s="86"/>
      <c r="E99" s="86"/>
      <c r="F99" s="86"/>
      <c r="G99" s="86"/>
      <c r="H99" s="86"/>
      <c r="I99" s="86"/>
      <c r="J99" s="86" t="s">
        <v>70</v>
      </c>
      <c r="K99" s="86"/>
      <c r="L99" s="86"/>
      <c r="M99" s="86"/>
      <c r="N99" s="86"/>
    </row>
    <row r="100" spans="2:14" x14ac:dyDescent="0.2">
      <c r="B100" s="86"/>
      <c r="C100" s="86"/>
      <c r="D100" s="86"/>
      <c r="E100" s="86"/>
      <c r="F100" s="86"/>
      <c r="G100" s="86"/>
      <c r="H100" s="86"/>
      <c r="I100" s="86"/>
      <c r="J100" s="86"/>
      <c r="K100" s="86"/>
      <c r="L100" s="86"/>
      <c r="M100" s="86"/>
      <c r="N100" s="86"/>
    </row>
    <row r="101" spans="2:14" x14ac:dyDescent="0.2">
      <c r="B101" s="112"/>
      <c r="C101" s="112"/>
      <c r="D101" s="86"/>
      <c r="E101" s="86"/>
      <c r="F101" s="86"/>
      <c r="G101" s="86"/>
      <c r="H101" s="86"/>
      <c r="I101" s="86"/>
      <c r="J101" s="112"/>
      <c r="K101" s="112"/>
      <c r="L101" s="112"/>
      <c r="M101" s="86"/>
      <c r="N101" s="86"/>
    </row>
    <row r="102" spans="2:14" x14ac:dyDescent="0.2">
      <c r="B102" s="97" t="s">
        <v>71</v>
      </c>
      <c r="C102" s="86"/>
      <c r="D102" s="86"/>
      <c r="E102" s="86"/>
      <c r="F102" s="86"/>
      <c r="G102" s="86"/>
      <c r="H102" s="86"/>
      <c r="I102" s="86"/>
      <c r="J102" s="123" t="s">
        <v>71</v>
      </c>
      <c r="K102" s="123"/>
      <c r="L102" s="123"/>
      <c r="M102" s="86"/>
      <c r="N102" s="86"/>
    </row>
    <row r="103" spans="2:14" x14ac:dyDescent="0.2">
      <c r="B103" s="86"/>
      <c r="C103" s="86"/>
      <c r="D103" s="86"/>
      <c r="E103" s="86"/>
      <c r="F103" s="86"/>
      <c r="G103" s="86"/>
      <c r="H103" s="86"/>
      <c r="I103" s="86"/>
      <c r="J103" s="86"/>
      <c r="K103" s="86"/>
      <c r="L103" s="86"/>
      <c r="M103" s="86"/>
      <c r="N103" s="86"/>
    </row>
    <row r="104" spans="2:14" x14ac:dyDescent="0.2">
      <c r="B104" s="111" t="s">
        <v>72</v>
      </c>
      <c r="C104" s="86"/>
      <c r="D104" s="86"/>
      <c r="E104" s="86"/>
      <c r="F104" s="86"/>
      <c r="G104" s="86"/>
      <c r="H104" s="86"/>
      <c r="I104" s="86"/>
      <c r="J104" s="86" t="s">
        <v>72</v>
      </c>
      <c r="K104" s="86"/>
      <c r="L104" s="86"/>
      <c r="M104" s="86"/>
      <c r="N104" s="86"/>
    </row>
    <row r="106" spans="2:14" x14ac:dyDescent="0.2">
      <c r="B106" s="86"/>
      <c r="C106" s="86"/>
      <c r="D106" s="86"/>
      <c r="E106" s="86"/>
      <c r="F106" s="86"/>
      <c r="G106" s="86"/>
      <c r="H106" s="86"/>
      <c r="I106" s="86"/>
      <c r="J106" s="86"/>
      <c r="K106" s="86"/>
      <c r="M106" s="86"/>
      <c r="N106" s="98" t="s">
        <v>37</v>
      </c>
    </row>
    <row r="107" spans="2:14" x14ac:dyDescent="0.2">
      <c r="B107" s="86"/>
      <c r="C107" s="86"/>
      <c r="D107" s="86"/>
      <c r="E107" s="86"/>
      <c r="F107" s="86"/>
      <c r="G107" s="86"/>
      <c r="H107" s="86"/>
      <c r="I107" s="86"/>
      <c r="J107" s="86"/>
      <c r="K107" s="86"/>
      <c r="M107" s="86"/>
      <c r="N107" s="98" t="s">
        <v>38</v>
      </c>
    </row>
    <row r="108" spans="2:14" x14ac:dyDescent="0.2">
      <c r="B108" s="86"/>
      <c r="C108" s="86"/>
      <c r="D108" s="86"/>
      <c r="E108" s="86"/>
      <c r="F108" s="86"/>
      <c r="G108" s="86"/>
      <c r="H108" s="86"/>
      <c r="I108" s="86"/>
      <c r="J108" s="86"/>
      <c r="K108" s="86"/>
      <c r="M108" s="86"/>
      <c r="N108" s="98" t="s">
        <v>39</v>
      </c>
    </row>
    <row r="109" spans="2:14" x14ac:dyDescent="0.2">
      <c r="B109" s="86"/>
      <c r="C109" s="86"/>
      <c r="D109" s="86"/>
      <c r="E109" s="86"/>
      <c r="F109" s="86"/>
      <c r="G109" s="86"/>
      <c r="H109" s="86"/>
      <c r="I109" s="86"/>
      <c r="J109" s="86"/>
      <c r="K109" s="86"/>
      <c r="L109" s="86"/>
      <c r="M109" s="86"/>
      <c r="N109" s="86"/>
    </row>
    <row r="110" spans="2:14" x14ac:dyDescent="0.2">
      <c r="B110" s="86"/>
      <c r="C110" s="127" t="s">
        <v>40</v>
      </c>
      <c r="D110" s="127"/>
      <c r="E110" s="127"/>
      <c r="F110" s="127"/>
      <c r="G110" s="127"/>
      <c r="H110" s="127"/>
      <c r="I110" s="127"/>
      <c r="J110" s="127"/>
      <c r="K110" s="127"/>
      <c r="L110" s="127"/>
      <c r="M110" s="86"/>
      <c r="N110" s="86"/>
    </row>
    <row r="111" spans="2:14" x14ac:dyDescent="0.2">
      <c r="B111" s="86"/>
      <c r="C111" s="127" t="s">
        <v>41</v>
      </c>
      <c r="D111" s="127"/>
      <c r="E111" s="127"/>
      <c r="F111" s="127"/>
      <c r="G111" s="127"/>
      <c r="H111" s="127"/>
      <c r="I111" s="127"/>
      <c r="J111" s="127"/>
      <c r="K111" s="127"/>
      <c r="L111" s="127"/>
      <c r="M111" s="86"/>
      <c r="N111" s="86"/>
    </row>
    <row r="112" spans="2:14" x14ac:dyDescent="0.2">
      <c r="B112" s="86" t="s">
        <v>42</v>
      </c>
      <c r="C112" s="99"/>
      <c r="D112" s="99"/>
      <c r="E112" s="99"/>
      <c r="F112" s="99"/>
      <c r="G112" s="99"/>
      <c r="H112" s="99"/>
      <c r="I112" s="99"/>
      <c r="J112" s="99"/>
      <c r="K112" s="99"/>
      <c r="L112" s="127" t="s">
        <v>43</v>
      </c>
      <c r="M112" s="127"/>
      <c r="N112" s="127"/>
    </row>
    <row r="113" spans="2:15" x14ac:dyDescent="0.2">
      <c r="B113" s="86"/>
      <c r="C113" s="99"/>
      <c r="D113" s="99"/>
      <c r="E113" s="99"/>
      <c r="F113" s="99"/>
      <c r="G113" s="99"/>
      <c r="H113" s="99"/>
      <c r="I113" s="99"/>
      <c r="J113" s="99"/>
      <c r="K113" s="99"/>
      <c r="L113" s="99"/>
      <c r="M113" s="99"/>
      <c r="N113" s="99"/>
    </row>
    <row r="114" spans="2:15" x14ac:dyDescent="0.2">
      <c r="B114" s="86" t="s">
        <v>44</v>
      </c>
      <c r="C114" s="99"/>
      <c r="D114" s="99"/>
      <c r="E114" s="99"/>
      <c r="F114" s="99"/>
      <c r="G114" s="99"/>
      <c r="H114" s="99"/>
      <c r="I114" s="99"/>
      <c r="J114" s="99"/>
      <c r="K114" s="99"/>
      <c r="L114" s="99"/>
      <c r="M114" s="99"/>
      <c r="N114" s="99"/>
    </row>
    <row r="115" spans="2:15" x14ac:dyDescent="0.2">
      <c r="B115" s="86" t="s">
        <v>45</v>
      </c>
      <c r="C115" s="99"/>
      <c r="D115" s="99"/>
      <c r="E115" s="99"/>
      <c r="F115" s="99"/>
      <c r="G115" s="99"/>
      <c r="H115" s="99"/>
      <c r="I115" s="99"/>
      <c r="J115" s="99"/>
      <c r="K115" s="99"/>
      <c r="L115" s="99"/>
      <c r="M115" s="99"/>
      <c r="N115" s="99"/>
    </row>
    <row r="116" spans="2:15" x14ac:dyDescent="0.2">
      <c r="B116" s="86" t="s">
        <v>168</v>
      </c>
      <c r="C116" s="99"/>
      <c r="D116" s="99"/>
      <c r="E116" s="99"/>
      <c r="F116" s="99"/>
      <c r="G116" s="99"/>
      <c r="H116" s="99"/>
      <c r="I116" s="99"/>
      <c r="J116" s="99"/>
      <c r="K116" s="99"/>
      <c r="L116" s="99"/>
      <c r="M116" s="99"/>
      <c r="N116" s="99"/>
    </row>
    <row r="117" spans="2:15" x14ac:dyDescent="0.2">
      <c r="B117" s="86"/>
      <c r="C117" s="99"/>
      <c r="D117" s="99"/>
      <c r="E117" s="99"/>
      <c r="F117" s="99"/>
      <c r="G117" s="99"/>
      <c r="H117" s="99"/>
      <c r="I117" s="99"/>
      <c r="J117" s="99"/>
      <c r="K117" s="99"/>
      <c r="L117" s="99"/>
      <c r="M117" s="99"/>
      <c r="N117" s="99"/>
    </row>
    <row r="118" spans="2:15" x14ac:dyDescent="0.2">
      <c r="B118" s="86"/>
      <c r="C118" s="86"/>
      <c r="D118" s="86"/>
      <c r="E118" s="86"/>
      <c r="F118" s="86"/>
      <c r="G118" s="86"/>
      <c r="H118" s="86"/>
      <c r="I118" s="86"/>
      <c r="J118" s="86"/>
      <c r="K118" s="86"/>
      <c r="L118" s="86"/>
      <c r="M118" s="86"/>
      <c r="N118" s="86"/>
    </row>
    <row r="119" spans="2:15" ht="12.75" customHeight="1" x14ac:dyDescent="0.2">
      <c r="B119" s="128" t="s">
        <v>26</v>
      </c>
      <c r="C119" s="130" t="s">
        <v>46</v>
      </c>
      <c r="D119" s="132" t="s">
        <v>47</v>
      </c>
      <c r="E119" s="132" t="s">
        <v>48</v>
      </c>
      <c r="F119" s="132" t="s">
        <v>73</v>
      </c>
      <c r="G119" s="132" t="s">
        <v>49</v>
      </c>
      <c r="H119" s="132" t="s">
        <v>8</v>
      </c>
      <c r="I119" s="133" t="s">
        <v>50</v>
      </c>
      <c r="J119" s="133"/>
      <c r="K119" s="133"/>
      <c r="L119" s="133"/>
      <c r="M119" s="134" t="s">
        <v>51</v>
      </c>
      <c r="N119" s="124" t="s">
        <v>52</v>
      </c>
    </row>
    <row r="120" spans="2:15" x14ac:dyDescent="0.2">
      <c r="B120" s="129"/>
      <c r="C120" s="131"/>
      <c r="D120" s="132"/>
      <c r="E120" s="132"/>
      <c r="F120" s="132"/>
      <c r="G120" s="132"/>
      <c r="H120" s="132"/>
      <c r="I120" s="100" t="s">
        <v>53</v>
      </c>
      <c r="J120" s="100" t="s">
        <v>54</v>
      </c>
      <c r="K120" s="100" t="s">
        <v>55</v>
      </c>
      <c r="L120" s="100" t="s">
        <v>56</v>
      </c>
      <c r="M120" s="134"/>
      <c r="N120" s="125"/>
    </row>
    <row r="121" spans="2:15" x14ac:dyDescent="0.2">
      <c r="B121" s="136" t="s">
        <v>167</v>
      </c>
      <c r="C121" s="137"/>
      <c r="D121" s="137"/>
      <c r="E121" s="137"/>
      <c r="F121" s="137"/>
      <c r="G121" s="138"/>
      <c r="H121" s="101" t="s">
        <v>17</v>
      </c>
      <c r="I121" s="102">
        <v>120.15</v>
      </c>
      <c r="J121" s="102">
        <v>85.62</v>
      </c>
      <c r="K121" s="102">
        <v>43.38</v>
      </c>
      <c r="L121" s="102"/>
      <c r="M121" s="102">
        <v>6.85</v>
      </c>
      <c r="N121" s="102"/>
    </row>
    <row r="122" spans="2:15" x14ac:dyDescent="0.2">
      <c r="B122" s="139"/>
      <c r="C122" s="140"/>
      <c r="D122" s="140"/>
      <c r="E122" s="140"/>
      <c r="F122" s="140"/>
      <c r="G122" s="141"/>
      <c r="H122" s="101" t="s">
        <v>22</v>
      </c>
      <c r="I122" s="102">
        <v>898.69</v>
      </c>
      <c r="J122" s="102">
        <v>642.13</v>
      </c>
      <c r="K122" s="102">
        <v>323.07</v>
      </c>
      <c r="L122" s="102"/>
      <c r="M122" s="102">
        <v>27.97</v>
      </c>
      <c r="N122" s="102"/>
    </row>
    <row r="123" spans="2:15" x14ac:dyDescent="0.2">
      <c r="B123" s="139"/>
      <c r="C123" s="140"/>
      <c r="D123" s="140"/>
      <c r="E123" s="140"/>
      <c r="F123" s="140"/>
      <c r="G123" s="141"/>
      <c r="H123" s="101" t="s">
        <v>19</v>
      </c>
      <c r="I123" s="102">
        <v>71.349999999999994</v>
      </c>
      <c r="J123" s="102">
        <v>51.94</v>
      </c>
      <c r="K123" s="102">
        <v>26.54</v>
      </c>
      <c r="L123" s="102"/>
      <c r="M123" s="102">
        <v>1.43</v>
      </c>
      <c r="N123" s="102"/>
    </row>
    <row r="124" spans="2:15" x14ac:dyDescent="0.2">
      <c r="B124" s="139"/>
      <c r="C124" s="140"/>
      <c r="D124" s="140"/>
      <c r="E124" s="140"/>
      <c r="F124" s="140"/>
      <c r="G124" s="141"/>
      <c r="H124" s="101" t="s">
        <v>24</v>
      </c>
      <c r="I124" s="102">
        <v>71.349999999999994</v>
      </c>
      <c r="J124" s="102">
        <v>51.94</v>
      </c>
      <c r="K124" s="102">
        <v>26.54</v>
      </c>
      <c r="L124" s="102"/>
      <c r="M124" s="102">
        <v>1.43</v>
      </c>
      <c r="N124" s="102"/>
    </row>
    <row r="125" spans="2:15" x14ac:dyDescent="0.2">
      <c r="B125" s="142"/>
      <c r="C125" s="143"/>
      <c r="D125" s="143"/>
      <c r="E125" s="143"/>
      <c r="F125" s="143"/>
      <c r="G125" s="144"/>
      <c r="H125" s="101" t="s">
        <v>18</v>
      </c>
      <c r="I125" s="102">
        <v>22.83</v>
      </c>
      <c r="J125" s="102">
        <v>17.41</v>
      </c>
      <c r="K125" s="102">
        <v>8.85</v>
      </c>
      <c r="L125" s="102"/>
      <c r="M125" s="102">
        <v>0.56999999999999995</v>
      </c>
      <c r="N125" s="102"/>
    </row>
    <row r="126" spans="2:15" x14ac:dyDescent="0.2">
      <c r="B126" s="103" t="s">
        <v>152</v>
      </c>
      <c r="C126" s="100" t="s">
        <v>57</v>
      </c>
      <c r="D126" s="103">
        <v>25</v>
      </c>
      <c r="E126" s="103">
        <v>22</v>
      </c>
      <c r="F126" s="103">
        <v>1</v>
      </c>
      <c r="G126" s="104">
        <v>3.3</v>
      </c>
      <c r="H126" s="105" t="s">
        <v>17</v>
      </c>
      <c r="I126" s="106">
        <v>0</v>
      </c>
      <c r="J126" s="106">
        <v>0</v>
      </c>
      <c r="K126" s="106">
        <v>0</v>
      </c>
      <c r="L126" s="88">
        <f>IFERROR(SUM(I126,J126,K126),"")</f>
        <v>0</v>
      </c>
      <c r="M126" s="107">
        <v>0</v>
      </c>
      <c r="N126" s="88">
        <f>IFERROR(SUM(L126,M126),"")</f>
        <v>0</v>
      </c>
      <c r="O126" s="87" t="s">
        <v>122</v>
      </c>
    </row>
    <row r="127" spans="2:15" x14ac:dyDescent="0.2">
      <c r="B127" s="100"/>
      <c r="C127" s="100"/>
      <c r="D127" s="100"/>
      <c r="E127" s="100"/>
      <c r="F127" s="100"/>
      <c r="G127" s="100"/>
      <c r="H127" s="89" t="s">
        <v>58</v>
      </c>
      <c r="I127" s="90">
        <f>IFERROR(I126*I121,"")</f>
        <v>0</v>
      </c>
      <c r="J127" s="90">
        <f t="shared" ref="J127:K127" si="16">IFERROR(J126*J121,"")</f>
        <v>0</v>
      </c>
      <c r="K127" s="90">
        <f t="shared" si="16"/>
        <v>0</v>
      </c>
      <c r="L127" s="90">
        <f>IFERROR(SUM(I127,J127,K127),"")</f>
        <v>0</v>
      </c>
      <c r="M127" s="90">
        <f>IFERROR(M126*M121,"")</f>
        <v>0</v>
      </c>
      <c r="N127" s="90">
        <f>IFERROR(SUM(L127,M127),"")</f>
        <v>0</v>
      </c>
      <c r="O127" s="87" t="s">
        <v>141</v>
      </c>
    </row>
    <row r="128" spans="2:15" x14ac:dyDescent="0.2">
      <c r="B128" s="100"/>
      <c r="C128" s="100"/>
      <c r="D128" s="100"/>
      <c r="E128" s="100"/>
      <c r="F128" s="100"/>
      <c r="G128" s="100"/>
      <c r="H128" s="105" t="s">
        <v>22</v>
      </c>
      <c r="I128" s="106"/>
      <c r="J128" s="106" t="str">
        <f>IFERROR(INDEX(Извещение!$J$7:$T$21,MATCH(CONCATENATE(РАСЧЕТ!B126,"/",РАСЧЕТ!D126,"/",РАСЧЕТ!E126,"/",F126,"/",H128),Извещение!#REF!,0),3),"")</f>
        <v/>
      </c>
      <c r="K128" s="106" t="str">
        <f>IFERROR(INDEX(Извещение!$J$7:$T$21,MATCH(CONCATENATE(РАСЧЕТ!B126,"/",РАСЧЕТ!D126,"/",РАСЧЕТ!E126,"/",F126,"/",H128),Извещение!#REF!,0),4),"")</f>
        <v/>
      </c>
      <c r="L128" s="88">
        <f t="shared" ref="L128:L137" si="17">IFERROR(SUM(I128,J128,K128),"")</f>
        <v>0</v>
      </c>
      <c r="M128" s="107" t="str">
        <f>IFERROR(INDEX(Извещение!$J$7:$T$21,MATCH(CONCATENATE(РАСЧЕТ!B126,"/",РАСЧЕТ!D126,"/",РАСЧЕТ!E126,"/",F126,"/",H128),Извещение!#REF!,0),6),"")</f>
        <v/>
      </c>
      <c r="N128" s="88">
        <f t="shared" ref="N128" si="18">IFERROR(SUM(L128,M128),"")</f>
        <v>0</v>
      </c>
      <c r="O128" s="87" t="s">
        <v>142</v>
      </c>
    </row>
    <row r="129" spans="2:15" x14ac:dyDescent="0.2">
      <c r="B129" s="100"/>
      <c r="C129" s="100"/>
      <c r="D129" s="100"/>
      <c r="E129" s="100"/>
      <c r="F129" s="100"/>
      <c r="G129" s="100"/>
      <c r="H129" s="89" t="s">
        <v>58</v>
      </c>
      <c r="I129" s="90">
        <f>IFERROR(I128*I122,"")</f>
        <v>0</v>
      </c>
      <c r="J129" s="90" t="str">
        <f t="shared" ref="J129:K129" si="19">IFERROR(J128*J122,"")</f>
        <v/>
      </c>
      <c r="K129" s="90" t="str">
        <f t="shared" si="19"/>
        <v/>
      </c>
      <c r="L129" s="90">
        <f t="shared" si="17"/>
        <v>0</v>
      </c>
      <c r="M129" s="90" t="str">
        <f t="shared" ref="M129" si="20">IFERROR(M128*M122,"")</f>
        <v/>
      </c>
      <c r="N129" s="90">
        <f>IFERROR(SUM(L129,M129),"")</f>
        <v>0</v>
      </c>
      <c r="O129" s="87" t="s">
        <v>141</v>
      </c>
    </row>
    <row r="130" spans="2:15" x14ac:dyDescent="0.2">
      <c r="B130" s="100"/>
      <c r="C130" s="100"/>
      <c r="D130" s="100"/>
      <c r="E130" s="100"/>
      <c r="F130" s="100"/>
      <c r="G130" s="100"/>
      <c r="H130" s="91" t="s">
        <v>19</v>
      </c>
      <c r="I130" s="118">
        <v>3.54</v>
      </c>
      <c r="J130" s="118">
        <v>27.32</v>
      </c>
      <c r="K130" s="118">
        <v>7.49</v>
      </c>
      <c r="L130" s="90">
        <f t="shared" si="17"/>
        <v>38.35</v>
      </c>
      <c r="M130" s="118">
        <v>65.47</v>
      </c>
      <c r="N130" s="90">
        <f t="shared" ref="N130" si="21">IFERROR(SUM(L130,M130),"")</f>
        <v>103.82</v>
      </c>
      <c r="O130" s="87" t="s">
        <v>123</v>
      </c>
    </row>
    <row r="131" spans="2:15" x14ac:dyDescent="0.2">
      <c r="B131" s="100"/>
      <c r="C131" s="100"/>
      <c r="D131" s="100"/>
      <c r="E131" s="100"/>
      <c r="F131" s="100"/>
      <c r="G131" s="100"/>
      <c r="H131" s="89" t="s">
        <v>58</v>
      </c>
      <c r="I131" s="90">
        <f>IFERROR(I130*I123,"")</f>
        <v>252.57899999999998</v>
      </c>
      <c r="J131" s="90">
        <f>IFERROR(J130*J123,"")</f>
        <v>1419.0008</v>
      </c>
      <c r="K131" s="90">
        <f>IFERROR(K130*K123,"")</f>
        <v>198.78460000000001</v>
      </c>
      <c r="L131" s="90">
        <f t="shared" si="17"/>
        <v>1870.3643999999999</v>
      </c>
      <c r="M131" s="90">
        <f>IFERROR(M130*M123,"")</f>
        <v>93.622099999999989</v>
      </c>
      <c r="N131" s="90">
        <f>IFERROR(SUM(L131,M131),"")</f>
        <v>1963.9865</v>
      </c>
      <c r="O131" s="87" t="s">
        <v>141</v>
      </c>
    </row>
    <row r="132" spans="2:15" x14ac:dyDescent="0.2">
      <c r="B132" s="100"/>
      <c r="C132" s="100"/>
      <c r="D132" s="100"/>
      <c r="E132" s="100"/>
      <c r="F132" s="100"/>
      <c r="G132" s="100"/>
      <c r="H132" s="91" t="s">
        <v>24</v>
      </c>
      <c r="I132" s="107"/>
      <c r="J132" s="107" t="str">
        <f>IFERROR(INDEX(Извещение!$J$7:$T$21,MATCH(CONCATENATE(РАСЧЕТ!B126,"/",РАСЧЕТ!D126,"/",РАСЧЕТ!E126,"/",F126,"/",H132),Извещение!#REF!,0),3),"")</f>
        <v/>
      </c>
      <c r="K132" s="107" t="str">
        <f>IFERROR(INDEX(Извещение!$J$7:$T$21,MATCH(CONCATENATE(РАСЧЕТ!B126,"/",РАСЧЕТ!D126,"/",РАСЧЕТ!E126,"/",F126,"/",H132),Извещение!#REF!,0),4),"")</f>
        <v/>
      </c>
      <c r="L132" s="88">
        <f t="shared" si="17"/>
        <v>0</v>
      </c>
      <c r="M132" s="107" t="str">
        <f>IFERROR(INDEX(Извещение!$J$7:$T$21,MATCH(CONCATENATE(РАСЧЕТ!B126,"/",РАСЧЕТ!D126,"/",РАСЧЕТ!E126,"/",F126,"/",H132),Извещение!#REF!,0),6),"")</f>
        <v/>
      </c>
      <c r="N132" s="88">
        <f t="shared" ref="N132" si="22">IFERROR(SUM(L132,M132),"")</f>
        <v>0</v>
      </c>
      <c r="O132" s="87" t="s">
        <v>143</v>
      </c>
    </row>
    <row r="133" spans="2:15" x14ac:dyDescent="0.2">
      <c r="B133" s="100"/>
      <c r="C133" s="100"/>
      <c r="D133" s="100"/>
      <c r="E133" s="100"/>
      <c r="F133" s="100"/>
      <c r="G133" s="100"/>
      <c r="H133" s="89" t="s">
        <v>58</v>
      </c>
      <c r="I133" s="90">
        <f>IFERROR(I132*I124,"")</f>
        <v>0</v>
      </c>
      <c r="J133" s="90" t="str">
        <f>IFERROR(J132*J124,"")</f>
        <v/>
      </c>
      <c r="K133" s="90" t="str">
        <f>IFERROR(K132*K124,"")</f>
        <v/>
      </c>
      <c r="L133" s="90">
        <f t="shared" si="17"/>
        <v>0</v>
      </c>
      <c r="M133" s="90" t="str">
        <f>IFERROR(M132*M124,"")</f>
        <v/>
      </c>
      <c r="N133" s="90">
        <f>IFERROR(SUM(L133,M133),"")</f>
        <v>0</v>
      </c>
      <c r="O133" s="87" t="s">
        <v>141</v>
      </c>
    </row>
    <row r="134" spans="2:15" x14ac:dyDescent="0.2">
      <c r="B134" s="100"/>
      <c r="C134" s="100"/>
      <c r="D134" s="100"/>
      <c r="E134" s="100"/>
      <c r="F134" s="100"/>
      <c r="G134" s="100"/>
      <c r="H134" s="91" t="s">
        <v>18</v>
      </c>
      <c r="I134" s="118">
        <v>113.87</v>
      </c>
      <c r="J134" s="118">
        <v>116.42</v>
      </c>
      <c r="K134" s="118">
        <v>5.08</v>
      </c>
      <c r="L134" s="90">
        <f t="shared" si="17"/>
        <v>235.37000000000003</v>
      </c>
      <c r="M134" s="118">
        <v>302.68</v>
      </c>
      <c r="N134" s="90">
        <f t="shared" ref="N134" si="23">IFERROR(SUM(L134,M134),"")</f>
        <v>538.05000000000007</v>
      </c>
      <c r="O134" s="87" t="s">
        <v>121</v>
      </c>
    </row>
    <row r="135" spans="2:15" x14ac:dyDescent="0.2">
      <c r="B135" s="100"/>
      <c r="C135" s="100"/>
      <c r="D135" s="100"/>
      <c r="E135" s="100"/>
      <c r="F135" s="100"/>
      <c r="G135" s="100"/>
      <c r="H135" s="89" t="s">
        <v>58</v>
      </c>
      <c r="I135" s="90">
        <f>IFERROR(I134*I125,"")</f>
        <v>2599.6520999999998</v>
      </c>
      <c r="J135" s="90">
        <f>IFERROR(J134*J125,"")</f>
        <v>2026.8722</v>
      </c>
      <c r="K135" s="90">
        <f>IFERROR(K134*K125,"")</f>
        <v>44.957999999999998</v>
      </c>
      <c r="L135" s="90">
        <f t="shared" si="17"/>
        <v>4671.4822999999997</v>
      </c>
      <c r="M135" s="90">
        <f>IFERROR(M134*M125,"")</f>
        <v>172.52759999999998</v>
      </c>
      <c r="N135" s="90">
        <f>IFERROR(SUM(L135,M135),"")</f>
        <v>4844.0099</v>
      </c>
      <c r="O135" s="87" t="s">
        <v>141</v>
      </c>
    </row>
    <row r="136" spans="2:15" x14ac:dyDescent="0.2">
      <c r="B136" s="100"/>
      <c r="C136" s="100"/>
      <c r="D136" s="100"/>
      <c r="E136" s="100"/>
      <c r="F136" s="100"/>
      <c r="G136" s="100"/>
      <c r="H136" s="92" t="s">
        <v>59</v>
      </c>
      <c r="I136" s="90">
        <f ca="1">SUM(I126:OFFSET(I136,-1,0))-I137</f>
        <v>117.40999999999985</v>
      </c>
      <c r="J136" s="90">
        <f ca="1">SUM(J126:OFFSET(J136,-1,0))-J137</f>
        <v>143.74000000000024</v>
      </c>
      <c r="K136" s="90">
        <f ca="1">SUM(K126:OFFSET(K136,-1,0))-K137</f>
        <v>12.570000000000022</v>
      </c>
      <c r="L136" s="90">
        <f t="shared" ca="1" si="17"/>
        <v>273.72000000000014</v>
      </c>
      <c r="M136" s="90">
        <f ca="1">SUM(M126:OFFSET(M136,-1,0))-M137</f>
        <v>368.15000000000009</v>
      </c>
      <c r="N136" s="90">
        <f t="shared" ref="N136" ca="1" si="24">IFERROR(SUM(L136,M136),"")</f>
        <v>641.87000000000023</v>
      </c>
      <c r="O136" s="87" t="s">
        <v>144</v>
      </c>
    </row>
    <row r="137" spans="2:15" x14ac:dyDescent="0.2">
      <c r="B137" s="100"/>
      <c r="C137" s="100"/>
      <c r="D137" s="100"/>
      <c r="E137" s="100"/>
      <c r="F137" s="100"/>
      <c r="G137" s="100"/>
      <c r="H137" s="92" t="s">
        <v>74</v>
      </c>
      <c r="I137" s="90">
        <f>SUMIF(H126:H135,"стоимость",I126:I135)</f>
        <v>2852.2311</v>
      </c>
      <c r="J137" s="90">
        <f>SUMIF(H126:H135,"стоимость",J126:J135)</f>
        <v>3445.873</v>
      </c>
      <c r="K137" s="90">
        <f>SUMIF(H126:H135,"стоимость",K126:K135)</f>
        <v>243.74260000000001</v>
      </c>
      <c r="L137" s="90">
        <f t="shared" si="17"/>
        <v>6541.8467000000001</v>
      </c>
      <c r="M137" s="90">
        <f>SUMIF(H126:H135,"стоимость",M126:M135)</f>
        <v>266.14969999999994</v>
      </c>
      <c r="N137" s="90">
        <f>IFERROR(SUM(L137,M137),"")</f>
        <v>6807.9964</v>
      </c>
      <c r="O137" s="87" t="s">
        <v>145</v>
      </c>
    </row>
    <row r="138" spans="2:15" x14ac:dyDescent="0.2">
      <c r="B138" s="108"/>
      <c r="C138" s="108"/>
      <c r="D138" s="108"/>
      <c r="E138" s="108"/>
      <c r="F138" s="108"/>
      <c r="G138" s="109"/>
      <c r="H138" s="93"/>
      <c r="I138" s="93"/>
      <c r="J138" s="93"/>
      <c r="K138" s="93"/>
      <c r="L138" s="94"/>
      <c r="M138" s="93"/>
      <c r="N138" s="93"/>
    </row>
    <row r="139" spans="2:15" x14ac:dyDescent="0.2">
      <c r="B139" s="135" t="s">
        <v>60</v>
      </c>
      <c r="C139" s="135"/>
      <c r="D139" s="135"/>
      <c r="E139" s="135"/>
      <c r="F139" s="110"/>
      <c r="G139" s="86"/>
      <c r="H139" s="86"/>
      <c r="I139" s="86"/>
      <c r="J139" s="93"/>
      <c r="K139" s="93"/>
      <c r="L139" s="94"/>
      <c r="M139" s="93"/>
      <c r="N139" s="93"/>
    </row>
    <row r="140" spans="2:15" x14ac:dyDescent="0.2">
      <c r="B140" s="126" t="s">
        <v>105</v>
      </c>
      <c r="C140" s="126"/>
      <c r="D140" s="126"/>
      <c r="E140" s="126"/>
      <c r="F140" s="126"/>
      <c r="G140" s="126"/>
      <c r="H140" s="126"/>
      <c r="I140" s="126"/>
      <c r="J140" s="93"/>
      <c r="K140" s="93"/>
      <c r="L140" s="94"/>
      <c r="M140" s="93"/>
      <c r="N140" s="93"/>
    </row>
    <row r="141" spans="2:15" x14ac:dyDescent="0.2">
      <c r="B141" s="126" t="s">
        <v>61</v>
      </c>
      <c r="C141" s="126"/>
      <c r="D141" s="126"/>
      <c r="E141" s="126"/>
      <c r="F141" s="126"/>
      <c r="G141" s="126"/>
      <c r="H141" s="126"/>
      <c r="I141" s="126"/>
      <c r="J141" s="93"/>
      <c r="K141" s="93"/>
      <c r="L141" s="94"/>
      <c r="M141" s="93"/>
      <c r="N141" s="93"/>
    </row>
    <row r="142" spans="2:15" x14ac:dyDescent="0.2">
      <c r="B142" s="126" t="s">
        <v>62</v>
      </c>
      <c r="C142" s="126"/>
      <c r="D142" s="126"/>
      <c r="E142" s="126"/>
      <c r="F142" s="126"/>
      <c r="G142" s="126"/>
      <c r="H142" s="126"/>
      <c r="I142" s="126"/>
      <c r="J142" s="93"/>
      <c r="K142" s="93"/>
      <c r="L142" s="94"/>
      <c r="M142" s="93"/>
      <c r="N142" s="93"/>
    </row>
    <row r="143" spans="2:15" x14ac:dyDescent="0.2">
      <c r="B143" s="126" t="s">
        <v>63</v>
      </c>
      <c r="C143" s="126"/>
      <c r="D143" s="126"/>
      <c r="E143" s="126"/>
      <c r="F143" s="126"/>
      <c r="G143" s="126"/>
      <c r="H143" s="126"/>
      <c r="I143" s="126"/>
      <c r="J143" s="93"/>
      <c r="K143" s="93"/>
      <c r="L143" s="94"/>
      <c r="M143" s="93"/>
      <c r="N143" s="93"/>
    </row>
    <row r="144" spans="2:15" x14ac:dyDescent="0.2">
      <c r="B144" s="126" t="s">
        <v>64</v>
      </c>
      <c r="C144" s="126"/>
      <c r="D144" s="126"/>
      <c r="E144" s="126"/>
      <c r="F144" s="126"/>
      <c r="G144" s="126"/>
      <c r="H144" s="126"/>
      <c r="I144" s="126"/>
      <c r="J144" s="86"/>
      <c r="K144" s="86"/>
      <c r="L144" s="86"/>
      <c r="M144" s="86"/>
      <c r="N144" s="86"/>
    </row>
    <row r="145" spans="2:14" x14ac:dyDescent="0.2">
      <c r="B145" s="126" t="s">
        <v>65</v>
      </c>
      <c r="C145" s="126"/>
      <c r="D145" s="126"/>
      <c r="E145" s="126"/>
      <c r="F145" s="126"/>
      <c r="G145" s="126"/>
      <c r="H145" s="126"/>
      <c r="I145" s="126"/>
      <c r="J145" s="86"/>
      <c r="K145" s="86"/>
      <c r="L145" s="86"/>
      <c r="M145" s="86"/>
      <c r="N145" s="86"/>
    </row>
    <row r="146" spans="2:14" x14ac:dyDescent="0.2">
      <c r="B146" s="126" t="s">
        <v>66</v>
      </c>
      <c r="C146" s="126"/>
      <c r="D146" s="126"/>
      <c r="E146" s="126"/>
      <c r="F146" s="126"/>
      <c r="G146" s="126"/>
      <c r="H146" s="126"/>
      <c r="I146" s="126"/>
      <c r="J146" s="86"/>
      <c r="K146" s="86"/>
      <c r="L146" s="86"/>
      <c r="M146" s="86"/>
      <c r="N146" s="86"/>
    </row>
    <row r="147" spans="2:14" x14ac:dyDescent="0.2">
      <c r="B147" s="126" t="s">
        <v>67</v>
      </c>
      <c r="C147" s="126"/>
      <c r="D147" s="126"/>
      <c r="E147" s="126"/>
      <c r="F147" s="126"/>
      <c r="G147" s="126"/>
      <c r="H147" s="126"/>
      <c r="I147" s="126"/>
      <c r="J147" s="86"/>
      <c r="K147" s="86"/>
      <c r="L147" s="86"/>
      <c r="M147" s="86"/>
      <c r="N147" s="86"/>
    </row>
    <row r="148" spans="2:14" x14ac:dyDescent="0.2">
      <c r="B148" s="111"/>
      <c r="C148" s="111"/>
      <c r="D148" s="111"/>
      <c r="E148" s="111"/>
      <c r="F148" s="111"/>
      <c r="G148" s="111"/>
      <c r="H148" s="111"/>
      <c r="I148" s="111"/>
      <c r="J148" s="86"/>
      <c r="K148" s="86"/>
      <c r="L148" s="86"/>
      <c r="M148" s="86"/>
      <c r="N148" s="86"/>
    </row>
    <row r="149" spans="2:14" x14ac:dyDescent="0.2">
      <c r="B149" s="86" t="s">
        <v>68</v>
      </c>
      <c r="C149" s="86"/>
      <c r="D149" s="86"/>
      <c r="E149" s="86"/>
      <c r="F149" s="86"/>
      <c r="G149" s="86"/>
      <c r="H149" s="86"/>
      <c r="I149" s="86"/>
      <c r="J149" s="86" t="s">
        <v>69</v>
      </c>
      <c r="K149" s="86"/>
      <c r="L149" s="86"/>
      <c r="M149" s="86"/>
      <c r="N149" s="86"/>
    </row>
    <row r="150" spans="2:14" x14ac:dyDescent="0.2">
      <c r="B150" s="112" t="s">
        <v>104</v>
      </c>
      <c r="C150" s="112"/>
      <c r="D150" s="86"/>
      <c r="E150" s="86"/>
      <c r="F150" s="86"/>
      <c r="G150" s="86"/>
      <c r="H150" s="86"/>
      <c r="I150" s="86"/>
      <c r="J150" s="112"/>
      <c r="K150" s="112"/>
      <c r="L150" s="112"/>
      <c r="M150" s="86"/>
      <c r="N150" s="86"/>
    </row>
    <row r="151" spans="2:14" x14ac:dyDescent="0.2">
      <c r="B151" s="96" t="s">
        <v>70</v>
      </c>
      <c r="C151" s="86"/>
      <c r="D151" s="86"/>
      <c r="E151" s="86"/>
      <c r="F151" s="86"/>
      <c r="G151" s="86"/>
      <c r="H151" s="86"/>
      <c r="I151" s="86"/>
      <c r="J151" s="86" t="s">
        <v>70</v>
      </c>
      <c r="K151" s="86"/>
      <c r="L151" s="86"/>
      <c r="M151" s="86"/>
      <c r="N151" s="86"/>
    </row>
    <row r="152" spans="2:14" x14ac:dyDescent="0.2">
      <c r="B152" s="86"/>
      <c r="C152" s="86"/>
      <c r="D152" s="86"/>
      <c r="E152" s="86"/>
      <c r="F152" s="86"/>
      <c r="G152" s="86"/>
      <c r="H152" s="86"/>
      <c r="I152" s="86"/>
      <c r="J152" s="86"/>
      <c r="K152" s="86"/>
      <c r="L152" s="86"/>
      <c r="M152" s="86"/>
      <c r="N152" s="86"/>
    </row>
    <row r="153" spans="2:14" x14ac:dyDescent="0.2">
      <c r="B153" s="112"/>
      <c r="C153" s="112"/>
      <c r="D153" s="86"/>
      <c r="E153" s="86"/>
      <c r="F153" s="86"/>
      <c r="G153" s="86"/>
      <c r="H153" s="86"/>
      <c r="I153" s="86"/>
      <c r="J153" s="112"/>
      <c r="K153" s="112"/>
      <c r="L153" s="112"/>
      <c r="M153" s="86"/>
      <c r="N153" s="86"/>
    </row>
    <row r="154" spans="2:14" x14ac:dyDescent="0.2">
      <c r="B154" s="97" t="s">
        <v>71</v>
      </c>
      <c r="C154" s="86"/>
      <c r="D154" s="86"/>
      <c r="E154" s="86"/>
      <c r="F154" s="86"/>
      <c r="G154" s="86"/>
      <c r="H154" s="86"/>
      <c r="I154" s="86"/>
      <c r="J154" s="123" t="s">
        <v>71</v>
      </c>
      <c r="K154" s="123"/>
      <c r="L154" s="123"/>
      <c r="M154" s="86"/>
      <c r="N154" s="86"/>
    </row>
    <row r="155" spans="2:14" x14ac:dyDescent="0.2">
      <c r="B155" s="86"/>
      <c r="C155" s="86"/>
      <c r="D155" s="86"/>
      <c r="E155" s="86"/>
      <c r="F155" s="86"/>
      <c r="G155" s="86"/>
      <c r="H155" s="86"/>
      <c r="I155" s="86"/>
      <c r="J155" s="86"/>
      <c r="K155" s="86"/>
      <c r="L155" s="86"/>
      <c r="M155" s="86"/>
      <c r="N155" s="86"/>
    </row>
    <row r="156" spans="2:14" x14ac:dyDescent="0.2">
      <c r="B156" s="111" t="s">
        <v>72</v>
      </c>
      <c r="C156" s="86"/>
      <c r="D156" s="86"/>
      <c r="E156" s="86"/>
      <c r="F156" s="86"/>
      <c r="G156" s="86"/>
      <c r="H156" s="86"/>
      <c r="I156" s="86"/>
      <c r="J156" s="86" t="s">
        <v>72</v>
      </c>
      <c r="K156" s="86"/>
      <c r="L156" s="86"/>
      <c r="M156" s="86"/>
      <c r="N156" s="86"/>
    </row>
    <row r="159" spans="2:14" x14ac:dyDescent="0.2">
      <c r="B159" s="86"/>
      <c r="C159" s="86"/>
      <c r="D159" s="86"/>
      <c r="E159" s="86"/>
      <c r="F159" s="86"/>
      <c r="G159" s="86"/>
      <c r="H159" s="86"/>
      <c r="I159" s="86"/>
      <c r="J159" s="86"/>
      <c r="K159" s="86"/>
      <c r="M159" s="86"/>
      <c r="N159" s="98" t="s">
        <v>37</v>
      </c>
    </row>
    <row r="160" spans="2:14" x14ac:dyDescent="0.2">
      <c r="B160" s="86"/>
      <c r="C160" s="86"/>
      <c r="D160" s="86"/>
      <c r="E160" s="86"/>
      <c r="F160" s="86"/>
      <c r="G160" s="86"/>
      <c r="H160" s="86"/>
      <c r="I160" s="86"/>
      <c r="J160" s="86"/>
      <c r="K160" s="86"/>
      <c r="M160" s="86"/>
      <c r="N160" s="98" t="s">
        <v>38</v>
      </c>
    </row>
    <row r="161" spans="2:14" x14ac:dyDescent="0.2">
      <c r="B161" s="86"/>
      <c r="C161" s="86"/>
      <c r="D161" s="86"/>
      <c r="E161" s="86"/>
      <c r="F161" s="86"/>
      <c r="G161" s="86"/>
      <c r="H161" s="86"/>
      <c r="I161" s="86"/>
      <c r="J161" s="86"/>
      <c r="K161" s="86"/>
      <c r="M161" s="86"/>
      <c r="N161" s="98" t="s">
        <v>39</v>
      </c>
    </row>
    <row r="162" spans="2:14" x14ac:dyDescent="0.2">
      <c r="B162" s="86"/>
      <c r="C162" s="86"/>
      <c r="D162" s="86"/>
      <c r="E162" s="86"/>
      <c r="F162" s="86"/>
      <c r="G162" s="86"/>
      <c r="H162" s="86"/>
      <c r="I162" s="86"/>
      <c r="J162" s="86"/>
      <c r="K162" s="86"/>
      <c r="L162" s="86"/>
      <c r="M162" s="86"/>
      <c r="N162" s="86"/>
    </row>
    <row r="163" spans="2:14" x14ac:dyDescent="0.2">
      <c r="B163" s="86"/>
      <c r="C163" s="127" t="s">
        <v>40</v>
      </c>
      <c r="D163" s="127"/>
      <c r="E163" s="127"/>
      <c r="F163" s="127"/>
      <c r="G163" s="127"/>
      <c r="H163" s="127"/>
      <c r="I163" s="127"/>
      <c r="J163" s="127"/>
      <c r="K163" s="127"/>
      <c r="L163" s="127"/>
      <c r="M163" s="86"/>
      <c r="N163" s="86"/>
    </row>
    <row r="164" spans="2:14" x14ac:dyDescent="0.2">
      <c r="B164" s="86"/>
      <c r="C164" s="127" t="s">
        <v>41</v>
      </c>
      <c r="D164" s="127"/>
      <c r="E164" s="127"/>
      <c r="F164" s="127"/>
      <c r="G164" s="127"/>
      <c r="H164" s="127"/>
      <c r="I164" s="127"/>
      <c r="J164" s="127"/>
      <c r="K164" s="127"/>
      <c r="L164" s="127"/>
      <c r="M164" s="86"/>
      <c r="N164" s="86"/>
    </row>
    <row r="165" spans="2:14" x14ac:dyDescent="0.2">
      <c r="B165" s="86" t="s">
        <v>42</v>
      </c>
      <c r="C165" s="99"/>
      <c r="D165" s="99"/>
      <c r="E165" s="99"/>
      <c r="F165" s="99"/>
      <c r="G165" s="99"/>
      <c r="H165" s="99"/>
      <c r="I165" s="99"/>
      <c r="J165" s="99"/>
      <c r="K165" s="99"/>
      <c r="L165" s="127" t="s">
        <v>43</v>
      </c>
      <c r="M165" s="127"/>
      <c r="N165" s="127"/>
    </row>
    <row r="166" spans="2:14" x14ac:dyDescent="0.2">
      <c r="B166" s="86"/>
      <c r="C166" s="99"/>
      <c r="D166" s="99"/>
      <c r="E166" s="99"/>
      <c r="F166" s="99"/>
      <c r="G166" s="99"/>
      <c r="H166" s="99"/>
      <c r="I166" s="99"/>
      <c r="J166" s="99"/>
      <c r="K166" s="99"/>
      <c r="L166" s="99"/>
      <c r="M166" s="99"/>
      <c r="N166" s="99"/>
    </row>
    <row r="167" spans="2:14" x14ac:dyDescent="0.2">
      <c r="B167" s="86" t="s">
        <v>44</v>
      </c>
      <c r="C167" s="99"/>
      <c r="D167" s="99"/>
      <c r="E167" s="99"/>
      <c r="F167" s="99"/>
      <c r="G167" s="99"/>
      <c r="H167" s="99"/>
      <c r="I167" s="99"/>
      <c r="J167" s="99"/>
      <c r="K167" s="99"/>
      <c r="L167" s="99"/>
      <c r="M167" s="99"/>
      <c r="N167" s="99"/>
    </row>
    <row r="168" spans="2:14" x14ac:dyDescent="0.2">
      <c r="B168" s="86" t="s">
        <v>45</v>
      </c>
      <c r="C168" s="99"/>
      <c r="D168" s="99"/>
      <c r="E168" s="99"/>
      <c r="F168" s="99"/>
      <c r="G168" s="99"/>
      <c r="H168" s="99"/>
      <c r="I168" s="99"/>
      <c r="J168" s="99"/>
      <c r="K168" s="99"/>
      <c r="L168" s="99"/>
      <c r="M168" s="99"/>
      <c r="N168" s="99"/>
    </row>
    <row r="169" spans="2:14" x14ac:dyDescent="0.2">
      <c r="B169" s="86" t="s">
        <v>168</v>
      </c>
      <c r="C169" s="99"/>
      <c r="D169" s="99"/>
      <c r="E169" s="99"/>
      <c r="F169" s="99"/>
      <c r="G169" s="99"/>
      <c r="H169" s="99"/>
      <c r="I169" s="99"/>
      <c r="J169" s="99"/>
      <c r="K169" s="99"/>
      <c r="L169" s="99"/>
      <c r="M169" s="99"/>
      <c r="N169" s="99"/>
    </row>
    <row r="170" spans="2:14" x14ac:dyDescent="0.2">
      <c r="B170" s="86"/>
      <c r="C170" s="99"/>
      <c r="D170" s="99"/>
      <c r="E170" s="99"/>
      <c r="F170" s="99"/>
      <c r="G170" s="99"/>
      <c r="H170" s="99"/>
      <c r="I170" s="99"/>
      <c r="J170" s="99"/>
      <c r="K170" s="99"/>
      <c r="L170" s="99"/>
      <c r="M170" s="99"/>
      <c r="N170" s="99"/>
    </row>
    <row r="171" spans="2:14" x14ac:dyDescent="0.2">
      <c r="B171" s="86"/>
      <c r="C171" s="86"/>
      <c r="D171" s="86"/>
      <c r="E171" s="86"/>
      <c r="F171" s="86"/>
      <c r="G171" s="86"/>
      <c r="H171" s="86"/>
      <c r="I171" s="86"/>
      <c r="J171" s="86"/>
      <c r="K171" s="86"/>
      <c r="L171" s="86"/>
      <c r="M171" s="86"/>
      <c r="N171" s="86"/>
    </row>
    <row r="172" spans="2:14" ht="12.75" customHeight="1" x14ac:dyDescent="0.2">
      <c r="B172" s="128" t="s">
        <v>26</v>
      </c>
      <c r="C172" s="130" t="s">
        <v>46</v>
      </c>
      <c r="D172" s="132" t="s">
        <v>47</v>
      </c>
      <c r="E172" s="132" t="s">
        <v>48</v>
      </c>
      <c r="F172" s="132" t="s">
        <v>73</v>
      </c>
      <c r="G172" s="132" t="s">
        <v>49</v>
      </c>
      <c r="H172" s="132" t="s">
        <v>8</v>
      </c>
      <c r="I172" s="133" t="s">
        <v>50</v>
      </c>
      <c r="J172" s="133"/>
      <c r="K172" s="133"/>
      <c r="L172" s="133"/>
      <c r="M172" s="134" t="s">
        <v>51</v>
      </c>
      <c r="N172" s="124" t="s">
        <v>52</v>
      </c>
    </row>
    <row r="173" spans="2:14" x14ac:dyDescent="0.2">
      <c r="B173" s="129"/>
      <c r="C173" s="131"/>
      <c r="D173" s="132"/>
      <c r="E173" s="132"/>
      <c r="F173" s="132"/>
      <c r="G173" s="132"/>
      <c r="H173" s="132"/>
      <c r="I173" s="100" t="s">
        <v>53</v>
      </c>
      <c r="J173" s="100" t="s">
        <v>54</v>
      </c>
      <c r="K173" s="100" t="s">
        <v>55</v>
      </c>
      <c r="L173" s="100" t="s">
        <v>56</v>
      </c>
      <c r="M173" s="134"/>
      <c r="N173" s="125"/>
    </row>
    <row r="174" spans="2:14" x14ac:dyDescent="0.2">
      <c r="B174" s="136" t="s">
        <v>167</v>
      </c>
      <c r="C174" s="137"/>
      <c r="D174" s="137"/>
      <c r="E174" s="137"/>
      <c r="F174" s="137"/>
      <c r="G174" s="138"/>
      <c r="H174" s="101" t="s">
        <v>17</v>
      </c>
      <c r="I174" s="102">
        <v>120.15</v>
      </c>
      <c r="J174" s="102">
        <v>85.62</v>
      </c>
      <c r="K174" s="102">
        <v>43.38</v>
      </c>
      <c r="L174" s="102"/>
      <c r="M174" s="102">
        <v>6.85</v>
      </c>
      <c r="N174" s="102"/>
    </row>
    <row r="175" spans="2:14" x14ac:dyDescent="0.2">
      <c r="B175" s="139"/>
      <c r="C175" s="140"/>
      <c r="D175" s="140"/>
      <c r="E175" s="140"/>
      <c r="F175" s="140"/>
      <c r="G175" s="141"/>
      <c r="H175" s="101" t="s">
        <v>22</v>
      </c>
      <c r="I175" s="102">
        <v>898.69</v>
      </c>
      <c r="J175" s="102">
        <v>642.13</v>
      </c>
      <c r="K175" s="102">
        <v>323.07</v>
      </c>
      <c r="L175" s="102"/>
      <c r="M175" s="102">
        <v>27.97</v>
      </c>
      <c r="N175" s="102"/>
    </row>
    <row r="176" spans="2:14" x14ac:dyDescent="0.2">
      <c r="B176" s="139"/>
      <c r="C176" s="140"/>
      <c r="D176" s="140"/>
      <c r="E176" s="140"/>
      <c r="F176" s="140"/>
      <c r="G176" s="141"/>
      <c r="H176" s="101" t="s">
        <v>19</v>
      </c>
      <c r="I176" s="102">
        <v>71.349999999999994</v>
      </c>
      <c r="J176" s="102">
        <v>51.94</v>
      </c>
      <c r="K176" s="102">
        <v>26.54</v>
      </c>
      <c r="L176" s="102"/>
      <c r="M176" s="102">
        <v>1.43</v>
      </c>
      <c r="N176" s="102"/>
    </row>
    <row r="177" spans="2:15" x14ac:dyDescent="0.2">
      <c r="B177" s="139"/>
      <c r="C177" s="140"/>
      <c r="D177" s="140"/>
      <c r="E177" s="140"/>
      <c r="F177" s="140"/>
      <c r="G177" s="141"/>
      <c r="H177" s="101" t="s">
        <v>24</v>
      </c>
      <c r="I177" s="102">
        <v>71.349999999999994</v>
      </c>
      <c r="J177" s="102">
        <v>51.94</v>
      </c>
      <c r="K177" s="102">
        <v>26.54</v>
      </c>
      <c r="L177" s="102"/>
      <c r="M177" s="102">
        <v>1.43</v>
      </c>
      <c r="N177" s="102"/>
    </row>
    <row r="178" spans="2:15" x14ac:dyDescent="0.2">
      <c r="B178" s="142"/>
      <c r="C178" s="143"/>
      <c r="D178" s="143"/>
      <c r="E178" s="143"/>
      <c r="F178" s="143"/>
      <c r="G178" s="144"/>
      <c r="H178" s="101" t="s">
        <v>18</v>
      </c>
      <c r="I178" s="102">
        <v>22.83</v>
      </c>
      <c r="J178" s="102">
        <v>17.41</v>
      </c>
      <c r="K178" s="102">
        <v>8.85</v>
      </c>
      <c r="L178" s="102"/>
      <c r="M178" s="102">
        <v>0.56999999999999995</v>
      </c>
      <c r="N178" s="102"/>
    </row>
    <row r="179" spans="2:15" x14ac:dyDescent="0.2">
      <c r="B179" s="103" t="s">
        <v>153</v>
      </c>
      <c r="C179" s="100" t="s">
        <v>57</v>
      </c>
      <c r="D179" s="103">
        <v>85</v>
      </c>
      <c r="E179" s="103">
        <v>3</v>
      </c>
      <c r="F179" s="103">
        <v>1</v>
      </c>
      <c r="G179" s="104">
        <v>1.6</v>
      </c>
      <c r="H179" s="105" t="s">
        <v>17</v>
      </c>
      <c r="I179" s="119">
        <v>0.3</v>
      </c>
      <c r="J179" s="119">
        <v>1.75</v>
      </c>
      <c r="K179" s="119">
        <v>0</v>
      </c>
      <c r="L179" s="90">
        <f>IFERROR(SUM(I179,J179,K179),"")</f>
        <v>2.0499999999999998</v>
      </c>
      <c r="M179" s="118">
        <v>7.14</v>
      </c>
      <c r="N179" s="90">
        <f>IFERROR(SUM(L179,M179),"")</f>
        <v>9.19</v>
      </c>
      <c r="O179" s="87" t="s">
        <v>126</v>
      </c>
    </row>
    <row r="180" spans="2:15" x14ac:dyDescent="0.2">
      <c r="B180" s="100"/>
      <c r="C180" s="100"/>
      <c r="D180" s="100"/>
      <c r="E180" s="100"/>
      <c r="F180" s="100"/>
      <c r="G180" s="100"/>
      <c r="H180" s="89" t="s">
        <v>58</v>
      </c>
      <c r="I180" s="90">
        <f>IFERROR(I179*I174,"")</f>
        <v>36.045000000000002</v>
      </c>
      <c r="J180" s="90">
        <f t="shared" ref="J180:K180" si="25">IFERROR(J179*J174,"")</f>
        <v>149.83500000000001</v>
      </c>
      <c r="K180" s="90">
        <f t="shared" si="25"/>
        <v>0</v>
      </c>
      <c r="L180" s="90">
        <f>IFERROR(SUM(I180,J180,K180),"")</f>
        <v>185.88</v>
      </c>
      <c r="M180" s="90">
        <f>IFERROR(M179*M174,"")</f>
        <v>48.908999999999992</v>
      </c>
      <c r="N180" s="90">
        <f>IFERROR(SUM(L180,M180),"")</f>
        <v>234.78899999999999</v>
      </c>
      <c r="O180" s="87" t="s">
        <v>146</v>
      </c>
    </row>
    <row r="181" spans="2:15" x14ac:dyDescent="0.2">
      <c r="B181" s="100"/>
      <c r="C181" s="100"/>
      <c r="D181" s="100"/>
      <c r="E181" s="100"/>
      <c r="F181" s="100"/>
      <c r="G181" s="100"/>
      <c r="H181" s="105" t="s">
        <v>22</v>
      </c>
      <c r="I181" s="106"/>
      <c r="J181" s="106" t="str">
        <f>IFERROR(INDEX(Извещение!$J$7:$T$21,MATCH(CONCATENATE(РАСЧЕТ!B179,"/",РАСЧЕТ!D179,"/",РАСЧЕТ!E179,"/",F179,"/",H181),Извещение!#REF!,0),3),"")</f>
        <v/>
      </c>
      <c r="K181" s="106" t="str">
        <f>IFERROR(INDEX(Извещение!$J$7:$T$21,MATCH(CONCATENATE(РАСЧЕТ!B179,"/",РАСЧЕТ!D179,"/",РАСЧЕТ!E179,"/",F179,"/",H181),Извещение!#REF!,0),4),"")</f>
        <v/>
      </c>
      <c r="L181" s="88">
        <f t="shared" ref="L181:L190" si="26">IFERROR(SUM(I181,J181,K181),"")</f>
        <v>0</v>
      </c>
      <c r="M181" s="107" t="str">
        <f>IFERROR(INDEX(Извещение!$J$7:$T$21,MATCH(CONCATENATE(РАСЧЕТ!B179,"/",РАСЧЕТ!D179,"/",РАСЧЕТ!E179,"/",F179,"/",H181),Извещение!#REF!,0),6),"")</f>
        <v/>
      </c>
      <c r="N181" s="88">
        <f t="shared" ref="N181" si="27">IFERROR(SUM(L181,M181),"")</f>
        <v>0</v>
      </c>
      <c r="O181" s="87" t="s">
        <v>147</v>
      </c>
    </row>
    <row r="182" spans="2:15" x14ac:dyDescent="0.2">
      <c r="B182" s="100"/>
      <c r="C182" s="100"/>
      <c r="D182" s="100"/>
      <c r="E182" s="100"/>
      <c r="F182" s="100"/>
      <c r="G182" s="100"/>
      <c r="H182" s="89" t="s">
        <v>58</v>
      </c>
      <c r="I182" s="90">
        <f>IFERROR(I181*I175,"")</f>
        <v>0</v>
      </c>
      <c r="J182" s="90" t="str">
        <f t="shared" ref="J182:K182" si="28">IFERROR(J181*J175,"")</f>
        <v/>
      </c>
      <c r="K182" s="90" t="str">
        <f t="shared" si="28"/>
        <v/>
      </c>
      <c r="L182" s="90">
        <f t="shared" si="26"/>
        <v>0</v>
      </c>
      <c r="M182" s="90" t="str">
        <f t="shared" ref="M182" si="29">IFERROR(M181*M175,"")</f>
        <v/>
      </c>
      <c r="N182" s="90">
        <f>IFERROR(SUM(L182,M182),"")</f>
        <v>0</v>
      </c>
      <c r="O182" s="87" t="s">
        <v>146</v>
      </c>
    </row>
    <row r="183" spans="2:15" x14ac:dyDescent="0.2">
      <c r="B183" s="100"/>
      <c r="C183" s="100"/>
      <c r="D183" s="100"/>
      <c r="E183" s="100"/>
      <c r="F183" s="100"/>
      <c r="G183" s="100"/>
      <c r="H183" s="91" t="s">
        <v>19</v>
      </c>
      <c r="I183" s="118">
        <v>0.1</v>
      </c>
      <c r="J183" s="118">
        <v>11.65</v>
      </c>
      <c r="K183" s="118">
        <v>3.76</v>
      </c>
      <c r="L183" s="90">
        <f t="shared" si="26"/>
        <v>15.51</v>
      </c>
      <c r="M183" s="118">
        <v>28.51</v>
      </c>
      <c r="N183" s="90">
        <f t="shared" ref="N183" si="30">IFERROR(SUM(L183,M183),"")</f>
        <v>44.02</v>
      </c>
      <c r="O183" s="87" t="s">
        <v>127</v>
      </c>
    </row>
    <row r="184" spans="2:15" x14ac:dyDescent="0.2">
      <c r="B184" s="100"/>
      <c r="C184" s="100"/>
      <c r="D184" s="100"/>
      <c r="E184" s="100"/>
      <c r="F184" s="100"/>
      <c r="G184" s="100"/>
      <c r="H184" s="89" t="s">
        <v>58</v>
      </c>
      <c r="I184" s="90">
        <f>IFERROR(I183*I176,"")</f>
        <v>7.1349999999999998</v>
      </c>
      <c r="J184" s="90">
        <f>IFERROR(J183*J176,"")</f>
        <v>605.101</v>
      </c>
      <c r="K184" s="90">
        <f>IFERROR(K183*K176,"")</f>
        <v>99.790399999999991</v>
      </c>
      <c r="L184" s="90">
        <f t="shared" si="26"/>
        <v>712.02639999999997</v>
      </c>
      <c r="M184" s="90">
        <f>IFERROR(M183*M176,"")</f>
        <v>40.769300000000001</v>
      </c>
      <c r="N184" s="90">
        <f>IFERROR(SUM(L184,M184),"")</f>
        <v>752.79570000000001</v>
      </c>
      <c r="O184" s="87" t="s">
        <v>146</v>
      </c>
    </row>
    <row r="185" spans="2:15" x14ac:dyDescent="0.2">
      <c r="B185" s="100"/>
      <c r="C185" s="100"/>
      <c r="D185" s="100"/>
      <c r="E185" s="100"/>
      <c r="F185" s="100"/>
      <c r="G185" s="100"/>
      <c r="H185" s="91" t="s">
        <v>24</v>
      </c>
      <c r="I185" s="107"/>
      <c r="J185" s="107" t="str">
        <f>IFERROR(INDEX(Извещение!$J$7:$T$21,MATCH(CONCATENATE(РАСЧЕТ!B179,"/",РАСЧЕТ!D179,"/",РАСЧЕТ!E179,"/",F179,"/",H185),Извещение!#REF!,0),3),"")</f>
        <v/>
      </c>
      <c r="K185" s="107" t="str">
        <f>IFERROR(INDEX(Извещение!$J$7:$T$21,MATCH(CONCATENATE(РАСЧЕТ!B179,"/",РАСЧЕТ!D179,"/",РАСЧЕТ!E179,"/",F179,"/",H185),Извещение!#REF!,0),4),"")</f>
        <v/>
      </c>
      <c r="L185" s="88">
        <f t="shared" si="26"/>
        <v>0</v>
      </c>
      <c r="M185" s="107" t="str">
        <f>IFERROR(INDEX(Извещение!$J$7:$T$21,MATCH(CONCATENATE(РАСЧЕТ!B179,"/",РАСЧЕТ!D179,"/",РАСЧЕТ!E179,"/",F179,"/",H185),Извещение!#REF!,0),6),"")</f>
        <v/>
      </c>
      <c r="N185" s="88">
        <f t="shared" ref="N185" si="31">IFERROR(SUM(L185,M185),"")</f>
        <v>0</v>
      </c>
      <c r="O185" s="87" t="s">
        <v>148</v>
      </c>
    </row>
    <row r="186" spans="2:15" x14ac:dyDescent="0.2">
      <c r="B186" s="100"/>
      <c r="C186" s="100"/>
      <c r="D186" s="100"/>
      <c r="E186" s="100"/>
      <c r="F186" s="100"/>
      <c r="G186" s="100"/>
      <c r="H186" s="89" t="s">
        <v>58</v>
      </c>
      <c r="I186" s="90">
        <f>IFERROR(I185*I177,"")</f>
        <v>0</v>
      </c>
      <c r="J186" s="90" t="str">
        <f>IFERROR(J185*J177,"")</f>
        <v/>
      </c>
      <c r="K186" s="90" t="str">
        <f>IFERROR(K185*K177,"")</f>
        <v/>
      </c>
      <c r="L186" s="90">
        <f t="shared" si="26"/>
        <v>0</v>
      </c>
      <c r="M186" s="90" t="str">
        <f>IFERROR(M185*M177,"")</f>
        <v/>
      </c>
      <c r="N186" s="90">
        <f>IFERROR(SUM(L186,M186),"")</f>
        <v>0</v>
      </c>
      <c r="O186" s="87" t="s">
        <v>146</v>
      </c>
    </row>
    <row r="187" spans="2:15" x14ac:dyDescent="0.2">
      <c r="B187" s="100"/>
      <c r="C187" s="100"/>
      <c r="D187" s="100"/>
      <c r="E187" s="100"/>
      <c r="F187" s="100"/>
      <c r="G187" s="100"/>
      <c r="H187" s="91" t="s">
        <v>18</v>
      </c>
      <c r="I187" s="118">
        <v>32.31</v>
      </c>
      <c r="J187" s="118">
        <v>92.82</v>
      </c>
      <c r="K187" s="118">
        <v>4.04</v>
      </c>
      <c r="L187" s="90">
        <f t="shared" si="26"/>
        <v>129.16999999999999</v>
      </c>
      <c r="M187" s="118">
        <v>85.37</v>
      </c>
      <c r="N187" s="90">
        <f t="shared" ref="N187" si="32">IFERROR(SUM(L187,M187),"")</f>
        <v>214.54</v>
      </c>
      <c r="O187" s="87" t="s">
        <v>125</v>
      </c>
    </row>
    <row r="188" spans="2:15" x14ac:dyDescent="0.2">
      <c r="B188" s="100"/>
      <c r="C188" s="100"/>
      <c r="D188" s="100"/>
      <c r="E188" s="100"/>
      <c r="F188" s="100"/>
      <c r="G188" s="100"/>
      <c r="H188" s="89" t="s">
        <v>58</v>
      </c>
      <c r="I188" s="90">
        <f>IFERROR(I187*I178,"")</f>
        <v>737.63729999999998</v>
      </c>
      <c r="J188" s="90">
        <f>IFERROR(J187*J178,"")</f>
        <v>1615.9961999999998</v>
      </c>
      <c r="K188" s="90">
        <f>IFERROR(K187*K178,"")</f>
        <v>35.753999999999998</v>
      </c>
      <c r="L188" s="90">
        <f t="shared" si="26"/>
        <v>2389.3874999999998</v>
      </c>
      <c r="M188" s="90">
        <f>IFERROR(M187*M178,"")</f>
        <v>48.660899999999998</v>
      </c>
      <c r="N188" s="90">
        <f>IFERROR(SUM(L188,M188),"")</f>
        <v>2438.0483999999997</v>
      </c>
      <c r="O188" s="87" t="s">
        <v>146</v>
      </c>
    </row>
    <row r="189" spans="2:15" x14ac:dyDescent="0.2">
      <c r="B189" s="100"/>
      <c r="C189" s="100"/>
      <c r="D189" s="100"/>
      <c r="E189" s="100"/>
      <c r="F189" s="100"/>
      <c r="G189" s="100"/>
      <c r="H189" s="92" t="s">
        <v>59</v>
      </c>
      <c r="I189" s="90">
        <f ca="1">SUM(I179:OFFSET(I189,-1,0))-I190</f>
        <v>32.710000000000036</v>
      </c>
      <c r="J189" s="90">
        <f ca="1">SUM(J179:OFFSET(J189,-1,0))-J190</f>
        <v>106.2199999999998</v>
      </c>
      <c r="K189" s="90">
        <f ca="1">SUM(K179:OFFSET(K189,-1,0))-K190</f>
        <v>7.8000000000000114</v>
      </c>
      <c r="L189" s="90">
        <f t="shared" ca="1" si="26"/>
        <v>146.72999999999985</v>
      </c>
      <c r="M189" s="90">
        <f ca="1">SUM(M179:OFFSET(M189,-1,0))-M190</f>
        <v>121.01999999999998</v>
      </c>
      <c r="N189" s="90">
        <f t="shared" ref="N189" ca="1" si="33">IFERROR(SUM(L189,M189),"")</f>
        <v>267.74999999999983</v>
      </c>
      <c r="O189" s="87" t="s">
        <v>149</v>
      </c>
    </row>
    <row r="190" spans="2:15" x14ac:dyDescent="0.2">
      <c r="B190" s="100"/>
      <c r="C190" s="100"/>
      <c r="D190" s="100"/>
      <c r="E190" s="100"/>
      <c r="F190" s="100"/>
      <c r="G190" s="100"/>
      <c r="H190" s="92" t="s">
        <v>74</v>
      </c>
      <c r="I190" s="90">
        <f>SUMIF(H179:H188,"стоимость",I179:I188)</f>
        <v>780.81729999999993</v>
      </c>
      <c r="J190" s="90">
        <f>SUMIF(H179:H188,"стоимость",J179:J188)</f>
        <v>2370.9321999999997</v>
      </c>
      <c r="K190" s="90">
        <f>SUMIF(H179:H188,"стоимость",K179:K188)</f>
        <v>135.5444</v>
      </c>
      <c r="L190" s="90">
        <f t="shared" si="26"/>
        <v>3287.2938999999997</v>
      </c>
      <c r="M190" s="90">
        <f>SUMIF(H179:H188,"стоимость",M179:M188)</f>
        <v>138.33920000000001</v>
      </c>
      <c r="N190" s="90">
        <f>IFERROR(SUM(L190,M190),"")</f>
        <v>3425.6330999999996</v>
      </c>
      <c r="O190" s="87" t="s">
        <v>150</v>
      </c>
    </row>
    <row r="191" spans="2:15" x14ac:dyDescent="0.2">
      <c r="B191" s="108"/>
      <c r="C191" s="108"/>
      <c r="D191" s="108"/>
      <c r="E191" s="108"/>
      <c r="F191" s="108"/>
      <c r="G191" s="109"/>
      <c r="H191" s="93"/>
      <c r="I191" s="93"/>
      <c r="J191" s="93"/>
      <c r="K191" s="93"/>
      <c r="L191" s="94"/>
      <c r="M191" s="93"/>
      <c r="N191" s="93"/>
    </row>
    <row r="192" spans="2:15" x14ac:dyDescent="0.2">
      <c r="B192" s="135" t="s">
        <v>60</v>
      </c>
      <c r="C192" s="135"/>
      <c r="D192" s="135"/>
      <c r="E192" s="135"/>
      <c r="F192" s="110"/>
      <c r="G192" s="86"/>
      <c r="H192" s="86"/>
      <c r="I192" s="86"/>
      <c r="J192" s="93"/>
      <c r="K192" s="93"/>
      <c r="L192" s="94"/>
      <c r="M192" s="93"/>
      <c r="N192" s="93"/>
    </row>
    <row r="193" spans="2:14" x14ac:dyDescent="0.2">
      <c r="B193" s="126" t="s">
        <v>105</v>
      </c>
      <c r="C193" s="126"/>
      <c r="D193" s="126"/>
      <c r="E193" s="126"/>
      <c r="F193" s="126"/>
      <c r="G193" s="126"/>
      <c r="H193" s="126"/>
      <c r="I193" s="126"/>
      <c r="J193" s="93"/>
      <c r="K193" s="93"/>
      <c r="L193" s="94"/>
      <c r="M193" s="93"/>
      <c r="N193" s="93"/>
    </row>
    <row r="194" spans="2:14" x14ac:dyDescent="0.2">
      <c r="B194" s="126" t="s">
        <v>61</v>
      </c>
      <c r="C194" s="126"/>
      <c r="D194" s="126"/>
      <c r="E194" s="126"/>
      <c r="F194" s="126"/>
      <c r="G194" s="126"/>
      <c r="H194" s="126"/>
      <c r="I194" s="126"/>
      <c r="J194" s="93"/>
      <c r="K194" s="93"/>
      <c r="L194" s="94"/>
      <c r="M194" s="93"/>
      <c r="N194" s="93"/>
    </row>
    <row r="195" spans="2:14" x14ac:dyDescent="0.2">
      <c r="B195" s="126" t="s">
        <v>62</v>
      </c>
      <c r="C195" s="126"/>
      <c r="D195" s="126"/>
      <c r="E195" s="126"/>
      <c r="F195" s="126"/>
      <c r="G195" s="126"/>
      <c r="H195" s="126"/>
      <c r="I195" s="126"/>
      <c r="J195" s="93"/>
      <c r="K195" s="93"/>
      <c r="L195" s="94"/>
      <c r="M195" s="93"/>
      <c r="N195" s="93"/>
    </row>
    <row r="196" spans="2:14" x14ac:dyDescent="0.2">
      <c r="B196" s="126" t="s">
        <v>63</v>
      </c>
      <c r="C196" s="126"/>
      <c r="D196" s="126"/>
      <c r="E196" s="126"/>
      <c r="F196" s="126"/>
      <c r="G196" s="126"/>
      <c r="H196" s="126"/>
      <c r="I196" s="126"/>
      <c r="J196" s="93"/>
      <c r="K196" s="93"/>
      <c r="L196" s="94"/>
      <c r="M196" s="93"/>
      <c r="N196" s="93"/>
    </row>
    <row r="197" spans="2:14" x14ac:dyDescent="0.2">
      <c r="B197" s="126" t="s">
        <v>64</v>
      </c>
      <c r="C197" s="126"/>
      <c r="D197" s="126"/>
      <c r="E197" s="126"/>
      <c r="F197" s="126"/>
      <c r="G197" s="126"/>
      <c r="H197" s="126"/>
      <c r="I197" s="126"/>
      <c r="J197" s="86"/>
      <c r="K197" s="86"/>
      <c r="L197" s="86"/>
      <c r="M197" s="86"/>
      <c r="N197" s="86"/>
    </row>
    <row r="198" spans="2:14" x14ac:dyDescent="0.2">
      <c r="B198" s="126" t="s">
        <v>65</v>
      </c>
      <c r="C198" s="126"/>
      <c r="D198" s="126"/>
      <c r="E198" s="126"/>
      <c r="F198" s="126"/>
      <c r="G198" s="126"/>
      <c r="H198" s="126"/>
      <c r="I198" s="126"/>
      <c r="J198" s="86"/>
      <c r="K198" s="86"/>
      <c r="L198" s="86"/>
      <c r="M198" s="86"/>
      <c r="N198" s="86"/>
    </row>
    <row r="199" spans="2:14" x14ac:dyDescent="0.2">
      <c r="B199" s="126" t="s">
        <v>66</v>
      </c>
      <c r="C199" s="126"/>
      <c r="D199" s="126"/>
      <c r="E199" s="126"/>
      <c r="F199" s="126"/>
      <c r="G199" s="126"/>
      <c r="H199" s="126"/>
      <c r="I199" s="126"/>
      <c r="J199" s="86"/>
      <c r="K199" s="86"/>
      <c r="L199" s="86"/>
      <c r="M199" s="86"/>
      <c r="N199" s="86"/>
    </row>
    <row r="200" spans="2:14" x14ac:dyDescent="0.2">
      <c r="B200" s="126" t="s">
        <v>67</v>
      </c>
      <c r="C200" s="126"/>
      <c r="D200" s="126"/>
      <c r="E200" s="126"/>
      <c r="F200" s="126"/>
      <c r="G200" s="126"/>
      <c r="H200" s="126"/>
      <c r="I200" s="126"/>
      <c r="J200" s="86"/>
      <c r="K200" s="86"/>
      <c r="L200" s="86"/>
      <c r="M200" s="86"/>
      <c r="N200" s="86"/>
    </row>
    <row r="201" spans="2:14" x14ac:dyDescent="0.2">
      <c r="B201" s="111"/>
      <c r="C201" s="111"/>
      <c r="D201" s="111"/>
      <c r="E201" s="111"/>
      <c r="F201" s="111"/>
      <c r="G201" s="111"/>
      <c r="H201" s="111"/>
      <c r="I201" s="111"/>
      <c r="J201" s="86"/>
      <c r="K201" s="86"/>
      <c r="L201" s="86"/>
      <c r="M201" s="86"/>
      <c r="N201" s="86"/>
    </row>
    <row r="202" spans="2:14" x14ac:dyDescent="0.2">
      <c r="B202" s="86" t="s">
        <v>68</v>
      </c>
      <c r="C202" s="86"/>
      <c r="D202" s="86"/>
      <c r="E202" s="86"/>
      <c r="F202" s="86"/>
      <c r="G202" s="86"/>
      <c r="H202" s="86"/>
      <c r="I202" s="86"/>
      <c r="J202" s="86" t="s">
        <v>69</v>
      </c>
      <c r="K202" s="86"/>
      <c r="L202" s="86"/>
      <c r="M202" s="86"/>
      <c r="N202" s="86"/>
    </row>
    <row r="203" spans="2:14" x14ac:dyDescent="0.2">
      <c r="B203" s="112" t="s">
        <v>104</v>
      </c>
      <c r="C203" s="112"/>
      <c r="D203" s="86"/>
      <c r="E203" s="86"/>
      <c r="F203" s="86"/>
      <c r="G203" s="86"/>
      <c r="H203" s="86"/>
      <c r="I203" s="86"/>
      <c r="J203" s="112"/>
      <c r="K203" s="112"/>
      <c r="L203" s="112"/>
      <c r="M203" s="86"/>
      <c r="N203" s="86"/>
    </row>
    <row r="204" spans="2:14" x14ac:dyDescent="0.2">
      <c r="B204" s="96" t="s">
        <v>70</v>
      </c>
      <c r="C204" s="86"/>
      <c r="D204" s="86"/>
      <c r="E204" s="86"/>
      <c r="F204" s="86"/>
      <c r="G204" s="86"/>
      <c r="H204" s="86"/>
      <c r="I204" s="86"/>
      <c r="J204" s="86" t="s">
        <v>70</v>
      </c>
      <c r="K204" s="86"/>
      <c r="L204" s="86"/>
      <c r="M204" s="86"/>
      <c r="N204" s="86"/>
    </row>
    <row r="205" spans="2:14" x14ac:dyDescent="0.2">
      <c r="B205" s="86"/>
      <c r="C205" s="86"/>
      <c r="D205" s="86"/>
      <c r="E205" s="86"/>
      <c r="F205" s="86"/>
      <c r="G205" s="86"/>
      <c r="H205" s="86"/>
      <c r="I205" s="86"/>
      <c r="J205" s="86"/>
      <c r="K205" s="86"/>
      <c r="L205" s="86"/>
      <c r="M205" s="86"/>
      <c r="N205" s="86"/>
    </row>
    <row r="206" spans="2:14" x14ac:dyDescent="0.2">
      <c r="B206" s="112"/>
      <c r="C206" s="112"/>
      <c r="D206" s="86"/>
      <c r="E206" s="86"/>
      <c r="F206" s="86"/>
      <c r="G206" s="86"/>
      <c r="H206" s="86"/>
      <c r="I206" s="86"/>
      <c r="J206" s="112"/>
      <c r="K206" s="112"/>
      <c r="L206" s="112"/>
      <c r="M206" s="86"/>
      <c r="N206" s="86"/>
    </row>
    <row r="207" spans="2:14" x14ac:dyDescent="0.2">
      <c r="B207" s="97" t="s">
        <v>71</v>
      </c>
      <c r="C207" s="86"/>
      <c r="D207" s="86"/>
      <c r="E207" s="86"/>
      <c r="F207" s="86"/>
      <c r="G207" s="86"/>
      <c r="H207" s="86"/>
      <c r="I207" s="86"/>
      <c r="J207" s="123" t="s">
        <v>71</v>
      </c>
      <c r="K207" s="123"/>
      <c r="L207" s="123"/>
      <c r="M207" s="86"/>
      <c r="N207" s="86"/>
    </row>
    <row r="208" spans="2:14" x14ac:dyDescent="0.2">
      <c r="B208" s="86"/>
      <c r="C208" s="86"/>
      <c r="D208" s="86"/>
      <c r="E208" s="86"/>
      <c r="F208" s="86"/>
      <c r="G208" s="86"/>
      <c r="H208" s="86"/>
      <c r="I208" s="86"/>
      <c r="J208" s="86"/>
      <c r="K208" s="86"/>
      <c r="L208" s="86"/>
      <c r="M208" s="86"/>
      <c r="N208" s="86"/>
    </row>
    <row r="209" spans="2:14" x14ac:dyDescent="0.2">
      <c r="B209" s="111" t="s">
        <v>72</v>
      </c>
      <c r="C209" s="86"/>
      <c r="D209" s="86"/>
      <c r="E209" s="86"/>
      <c r="F209" s="86"/>
      <c r="G209" s="86"/>
      <c r="H209" s="86"/>
      <c r="I209" s="86"/>
      <c r="J209" s="86" t="s">
        <v>72</v>
      </c>
      <c r="K209" s="86"/>
      <c r="L209" s="86"/>
      <c r="M209" s="86"/>
      <c r="N209" s="86"/>
    </row>
  </sheetData>
  <sheetProtection selectLockedCells="1"/>
  <autoFilter ref="O22:O210"/>
  <mergeCells count="96">
    <mergeCell ref="C6:L6"/>
    <mergeCell ref="C7:L7"/>
    <mergeCell ref="L8:N8"/>
    <mergeCell ref="B15:B16"/>
    <mergeCell ref="C15:C16"/>
    <mergeCell ref="D15:D16"/>
    <mergeCell ref="E15:E16"/>
    <mergeCell ref="G15:G16"/>
    <mergeCell ref="H15:H16"/>
    <mergeCell ref="I15:L15"/>
    <mergeCell ref="F15:F16"/>
    <mergeCell ref="M15:M16"/>
    <mergeCell ref="N15:N16"/>
    <mergeCell ref="B35:E35"/>
    <mergeCell ref="B38:I38"/>
    <mergeCell ref="B39:I39"/>
    <mergeCell ref="B40:I40"/>
    <mergeCell ref="B41:I41"/>
    <mergeCell ref="B36:I36"/>
    <mergeCell ref="B37:I37"/>
    <mergeCell ref="B42:I42"/>
    <mergeCell ref="B92:I92"/>
    <mergeCell ref="B93:I93"/>
    <mergeCell ref="B94:I94"/>
    <mergeCell ref="B95:I95"/>
    <mergeCell ref="B43:I43"/>
    <mergeCell ref="J50:L50"/>
    <mergeCell ref="B89:I89"/>
    <mergeCell ref="B90:I90"/>
    <mergeCell ref="B87:E87"/>
    <mergeCell ref="C58:L58"/>
    <mergeCell ref="C59:L59"/>
    <mergeCell ref="L60:N60"/>
    <mergeCell ref="B67:B68"/>
    <mergeCell ref="C67:C68"/>
    <mergeCell ref="D67:D68"/>
    <mergeCell ref="E67:E68"/>
    <mergeCell ref="F67:F68"/>
    <mergeCell ref="G67:G68"/>
    <mergeCell ref="H67:H68"/>
    <mergeCell ref="I67:L67"/>
    <mergeCell ref="M67:M68"/>
    <mergeCell ref="N67:N68"/>
    <mergeCell ref="B194:I194"/>
    <mergeCell ref="B192:E192"/>
    <mergeCell ref="B174:G178"/>
    <mergeCell ref="C163:L163"/>
    <mergeCell ref="C164:L164"/>
    <mergeCell ref="B121:G125"/>
    <mergeCell ref="J102:L102"/>
    <mergeCell ref="C172:C173"/>
    <mergeCell ref="D172:D173"/>
    <mergeCell ref="E172:E173"/>
    <mergeCell ref="F172:F173"/>
    <mergeCell ref="G172:G173"/>
    <mergeCell ref="H172:H173"/>
    <mergeCell ref="I172:L172"/>
    <mergeCell ref="M172:M173"/>
    <mergeCell ref="B17:G21"/>
    <mergeCell ref="B69:G73"/>
    <mergeCell ref="B193:I193"/>
    <mergeCell ref="B140:I140"/>
    <mergeCell ref="B141:I141"/>
    <mergeCell ref="B142:I142"/>
    <mergeCell ref="B144:I144"/>
    <mergeCell ref="B145:I145"/>
    <mergeCell ref="B146:I146"/>
    <mergeCell ref="B147:I147"/>
    <mergeCell ref="C110:L110"/>
    <mergeCell ref="C111:L111"/>
    <mergeCell ref="B91:I91"/>
    <mergeCell ref="B88:I88"/>
    <mergeCell ref="L165:N165"/>
    <mergeCell ref="B172:B173"/>
    <mergeCell ref="J154:L154"/>
    <mergeCell ref="L112:N112"/>
    <mergeCell ref="B119:B120"/>
    <mergeCell ref="C119:C120"/>
    <mergeCell ref="D119:D120"/>
    <mergeCell ref="E119:E120"/>
    <mergeCell ref="F119:F120"/>
    <mergeCell ref="G119:G120"/>
    <mergeCell ref="H119:H120"/>
    <mergeCell ref="I119:L119"/>
    <mergeCell ref="M119:M120"/>
    <mergeCell ref="N119:N120"/>
    <mergeCell ref="B143:I143"/>
    <mergeCell ref="B139:E139"/>
    <mergeCell ref="J207:L207"/>
    <mergeCell ref="N172:N173"/>
    <mergeCell ref="B197:I197"/>
    <mergeCell ref="B198:I198"/>
    <mergeCell ref="B199:I199"/>
    <mergeCell ref="B200:I200"/>
    <mergeCell ref="B195:I195"/>
    <mergeCell ref="B196:I196"/>
  </mergeCells>
  <pageMargins left="0" right="0" top="0" bottom="0" header="0.31496062992125984" footer="0.31496062992125984"/>
  <pageSetup paperSize="9" scale="85" orientation="landscape" r:id="rId1"/>
  <rowBreaks count="3" manualBreakCount="3">
    <brk id="52" min="1" max="13" man="1"/>
    <brk id="105" min="1" max="13" man="1"/>
    <brk id="158" min="1" max="13" man="1"/>
  </rowBreaks>
  <ignoredErrors>
    <ignoredError sqref="B20:H20 B24:H24 B23:H23 B34:N40 B31:H31 B32:G32 B30:H30 B29:H29 B33:G33 B28:H28 B26:H26 B27:H27 B25:H25 B86:N115 B75:H84 C17:H17 L17 N17 B18:H18 H22 B21:H21 L21 B19:H19 L19 L20 L18 N18 N19 N20 N21 H74 B138:N157 H126 B158:N168 B191:N210 H179 B70:G73 B122:G125 B175:G178 B85:H85 L23 B127:H137 B180:H190 B42:N63 B41:M41 C69:G69 B65:N68 C64:N64 B117:N120 C116:N116 B170:N173 C169:N169 C174:G174 C121:G121" formula="1"/>
    <ignoredError sqref="L28 L29 L24 L30 L31:L33 L26 L27 L25" formula="1" unlockedFormula="1"/>
    <ignoredError sqref="I25:K25 N22 N26 I32:K33 N30 J24:K24 I29:K29 J28:K28 M25:N25 N27 M32:N33 M24:N24 M29:N29 M28:N28 N31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J147"/>
  <sheetViews>
    <sheetView topLeftCell="A139" zoomScale="80" zoomScaleNormal="80" zoomScaleSheetLayoutView="55" zoomScalePageLayoutView="55" workbookViewId="0">
      <selection activeCell="O98" sqref="O98"/>
    </sheetView>
  </sheetViews>
  <sheetFormatPr defaultRowHeight="15.75" x14ac:dyDescent="0.25"/>
  <cols>
    <col min="1" max="1" width="2.7109375" style="1" customWidth="1"/>
    <col min="2" max="2" width="37.28515625" style="1" customWidth="1"/>
    <col min="3" max="3" width="64.5703125" style="1" customWidth="1"/>
    <col min="4" max="4" width="27.85546875" style="1" customWidth="1"/>
    <col min="5" max="5" width="19.7109375" style="1" customWidth="1"/>
    <col min="6" max="6" width="8.85546875" style="1"/>
    <col min="7" max="7" width="16" style="1" customWidth="1"/>
    <col min="8" max="8" width="5.5703125" style="52" customWidth="1"/>
    <col min="9" max="9" width="8.85546875" style="53"/>
  </cols>
  <sheetData>
    <row r="2" spans="2:8" ht="60.75" customHeight="1" x14ac:dyDescent="0.8">
      <c r="B2" s="153" t="s">
        <v>172</v>
      </c>
      <c r="C2" s="153"/>
      <c r="D2" s="153"/>
      <c r="E2" s="153"/>
      <c r="F2" s="153"/>
      <c r="G2" s="153"/>
      <c r="H2" s="153"/>
    </row>
    <row r="3" spans="2:8" ht="64.150000000000006" customHeight="1" x14ac:dyDescent="0.25">
      <c r="B3" s="154" t="s">
        <v>75</v>
      </c>
      <c r="C3" s="154"/>
      <c r="D3" s="154"/>
      <c r="E3" s="154"/>
      <c r="F3" s="154"/>
      <c r="G3" s="154"/>
      <c r="H3" s="54"/>
    </row>
    <row r="4" spans="2:8" ht="25.5" x14ac:dyDescent="0.25">
      <c r="B4" s="4"/>
      <c r="C4" s="13" t="s">
        <v>76</v>
      </c>
      <c r="D4" s="14"/>
      <c r="E4" s="4"/>
      <c r="F4" s="4"/>
      <c r="G4" s="3"/>
      <c r="H4" s="54"/>
    </row>
    <row r="5" spans="2:8" ht="39.950000000000003" customHeight="1" x14ac:dyDescent="0.25">
      <c r="B5" s="5"/>
      <c r="C5" s="155" t="s">
        <v>77</v>
      </c>
      <c r="D5" s="158" t="s">
        <v>154</v>
      </c>
      <c r="E5" s="159"/>
      <c r="F5" s="159"/>
      <c r="G5" s="160"/>
      <c r="H5" s="55"/>
    </row>
    <row r="6" spans="2:8" ht="19.899999999999999" customHeight="1" x14ac:dyDescent="0.25">
      <c r="B6" s="5"/>
      <c r="C6" s="156"/>
      <c r="D6" s="161" t="s">
        <v>155</v>
      </c>
      <c r="E6" s="161"/>
      <c r="F6" s="161"/>
      <c r="G6" s="161"/>
      <c r="H6" s="55"/>
    </row>
    <row r="7" spans="2:8" ht="19.899999999999999" customHeight="1" x14ac:dyDescent="0.25">
      <c r="B7" s="5"/>
      <c r="C7" s="157"/>
      <c r="D7" s="161" t="s">
        <v>156</v>
      </c>
      <c r="E7" s="161"/>
      <c r="F7" s="161"/>
      <c r="G7" s="161"/>
      <c r="H7" s="55"/>
    </row>
    <row r="8" spans="2:8" ht="23.25" x14ac:dyDescent="0.25">
      <c r="B8" s="4"/>
      <c r="C8" s="15" t="s">
        <v>78</v>
      </c>
      <c r="D8" s="116">
        <v>3</v>
      </c>
      <c r="E8" s="16"/>
      <c r="F8" s="5"/>
      <c r="G8" s="3"/>
      <c r="H8" s="54"/>
    </row>
    <row r="9" spans="2:8" ht="22.5" x14ac:dyDescent="0.25">
      <c r="B9" s="4"/>
      <c r="C9" s="17" t="s">
        <v>79</v>
      </c>
      <c r="D9" s="120">
        <v>581.5</v>
      </c>
      <c r="E9" s="169" t="s">
        <v>80</v>
      </c>
      <c r="F9" s="170"/>
      <c r="G9" s="145">
        <f>D10/D9</f>
        <v>16.135167669819435</v>
      </c>
      <c r="H9" s="54"/>
    </row>
    <row r="10" spans="2:8" ht="22.5" x14ac:dyDescent="0.25">
      <c r="B10" s="4"/>
      <c r="C10" s="17" t="s">
        <v>81</v>
      </c>
      <c r="D10" s="6">
        <v>9382.6</v>
      </c>
      <c r="E10" s="171"/>
      <c r="F10" s="172"/>
      <c r="G10" s="146"/>
      <c r="H10" s="54"/>
    </row>
    <row r="11" spans="2:8" ht="23.25" x14ac:dyDescent="0.25">
      <c r="B11" s="4"/>
      <c r="C11" s="18"/>
      <c r="D11" s="7"/>
      <c r="E11" s="19"/>
      <c r="F11" s="4"/>
      <c r="G11" s="3"/>
      <c r="H11" s="54"/>
    </row>
    <row r="12" spans="2:8" ht="23.25" x14ac:dyDescent="0.25">
      <c r="B12" s="4"/>
      <c r="C12" s="48" t="s">
        <v>82</v>
      </c>
      <c r="D12" s="59" t="s">
        <v>23</v>
      </c>
      <c r="E12" s="4"/>
      <c r="F12" s="4"/>
      <c r="G12" s="3"/>
      <c r="H12" s="54"/>
    </row>
    <row r="13" spans="2:8" ht="23.25" x14ac:dyDescent="0.25">
      <c r="B13" s="4"/>
      <c r="C13" s="48" t="s">
        <v>83</v>
      </c>
      <c r="D13" s="59">
        <v>50</v>
      </c>
      <c r="E13" s="4"/>
      <c r="F13" s="4"/>
      <c r="G13" s="3"/>
      <c r="H13" s="54"/>
    </row>
    <row r="14" spans="2:8" ht="23.25" x14ac:dyDescent="0.25">
      <c r="B14" s="4"/>
      <c r="C14" s="48" t="s">
        <v>84</v>
      </c>
      <c r="D14" s="49" t="s">
        <v>85</v>
      </c>
      <c r="E14" s="4"/>
      <c r="F14" s="4"/>
      <c r="G14" s="3"/>
      <c r="H14" s="54"/>
    </row>
    <row r="15" spans="2:8" ht="24" thickBot="1" x14ac:dyDescent="0.3">
      <c r="B15" s="4"/>
      <c r="C15" s="4"/>
      <c r="D15" s="4"/>
      <c r="E15" s="4"/>
      <c r="F15" s="4"/>
      <c r="G15" s="3"/>
      <c r="H15" s="54"/>
    </row>
    <row r="16" spans="2:8" ht="67.900000000000006" customHeight="1" thickBot="1" x14ac:dyDescent="0.3">
      <c r="B16" s="147" t="s">
        <v>31</v>
      </c>
      <c r="C16" s="148"/>
      <c r="D16" s="8" t="s">
        <v>86</v>
      </c>
      <c r="E16" s="149" t="s">
        <v>87</v>
      </c>
      <c r="F16" s="150"/>
      <c r="G16" s="9" t="s">
        <v>88</v>
      </c>
      <c r="H16" s="54"/>
    </row>
    <row r="17" spans="2:10" ht="30" customHeight="1" thickBot="1" x14ac:dyDescent="0.3">
      <c r="B17" s="151" t="s">
        <v>89</v>
      </c>
      <c r="C17" s="152"/>
      <c r="D17" s="31">
        <v>197.93</v>
      </c>
      <c r="E17" s="50">
        <v>3</v>
      </c>
      <c r="F17" s="32" t="s">
        <v>30</v>
      </c>
      <c r="G17" s="33">
        <f t="shared" ref="G17:G24" si="0">D17*E17</f>
        <v>593.79</v>
      </c>
      <c r="H17" s="162"/>
    </row>
    <row r="18" spans="2:10" ht="45.6" customHeight="1" x14ac:dyDescent="0.25">
      <c r="B18" s="163" t="s">
        <v>90</v>
      </c>
      <c r="C18" s="164"/>
      <c r="D18" s="34">
        <v>70.41</v>
      </c>
      <c r="E18" s="60">
        <v>0.7</v>
      </c>
      <c r="F18" s="35" t="s">
        <v>32</v>
      </c>
      <c r="G18" s="36">
        <f t="shared" si="0"/>
        <v>49.286999999999992</v>
      </c>
      <c r="H18" s="162"/>
    </row>
    <row r="19" spans="2:10" ht="30" customHeight="1" thickBot="1" x14ac:dyDescent="0.3">
      <c r="B19" s="165" t="s">
        <v>91</v>
      </c>
      <c r="C19" s="166"/>
      <c r="D19" s="37">
        <v>222.31</v>
      </c>
      <c r="E19" s="61">
        <v>0.7</v>
      </c>
      <c r="F19" s="38" t="s">
        <v>32</v>
      </c>
      <c r="G19" s="39">
        <f t="shared" si="0"/>
        <v>155.61699999999999</v>
      </c>
      <c r="H19" s="162"/>
    </row>
    <row r="20" spans="2:10" ht="30" customHeight="1" thickBot="1" x14ac:dyDescent="0.3">
      <c r="B20" s="167" t="s">
        <v>33</v>
      </c>
      <c r="C20" s="168"/>
      <c r="D20" s="40"/>
      <c r="E20" s="40"/>
      <c r="F20" s="41" t="s">
        <v>30</v>
      </c>
      <c r="G20" s="42">
        <f t="shared" si="0"/>
        <v>0</v>
      </c>
      <c r="H20" s="162"/>
    </row>
    <row r="21" spans="2:10" ht="45" customHeight="1" x14ac:dyDescent="0.25">
      <c r="B21" s="163" t="s">
        <v>92</v>
      </c>
      <c r="C21" s="164"/>
      <c r="D21" s="34">
        <v>665.33</v>
      </c>
      <c r="E21" s="34">
        <v>6</v>
      </c>
      <c r="F21" s="35" t="s">
        <v>30</v>
      </c>
      <c r="G21" s="36">
        <f t="shared" si="0"/>
        <v>3991.9800000000005</v>
      </c>
      <c r="H21" s="162"/>
    </row>
    <row r="22" spans="2:10" ht="30" customHeight="1" x14ac:dyDescent="0.25">
      <c r="B22" s="175" t="s">
        <v>93</v>
      </c>
      <c r="C22" s="176"/>
      <c r="D22" s="43"/>
      <c r="E22" s="43"/>
      <c r="F22" s="44" t="s">
        <v>30</v>
      </c>
      <c r="G22" s="45">
        <f t="shared" si="0"/>
        <v>0</v>
      </c>
      <c r="H22" s="162"/>
    </row>
    <row r="23" spans="2:10" ht="30" customHeight="1" x14ac:dyDescent="0.25">
      <c r="B23" s="175" t="s">
        <v>34</v>
      </c>
      <c r="C23" s="176"/>
      <c r="D23" s="46">
        <v>2425.1</v>
      </c>
      <c r="E23" s="51">
        <v>3</v>
      </c>
      <c r="F23" s="44" t="s">
        <v>30</v>
      </c>
      <c r="G23" s="45">
        <f t="shared" si="0"/>
        <v>7275.2999999999993</v>
      </c>
      <c r="H23" s="162"/>
    </row>
    <row r="24" spans="2:10" ht="30" customHeight="1" x14ac:dyDescent="0.25">
      <c r="B24" s="175" t="s">
        <v>94</v>
      </c>
      <c r="C24" s="176"/>
      <c r="D24" s="46">
        <v>1718.79</v>
      </c>
      <c r="E24" s="51">
        <v>3</v>
      </c>
      <c r="F24" s="44" t="s">
        <v>30</v>
      </c>
      <c r="G24" s="45">
        <f t="shared" si="0"/>
        <v>5156.37</v>
      </c>
      <c r="H24" s="162"/>
    </row>
    <row r="25" spans="2:10" ht="30" customHeight="1" x14ac:dyDescent="0.25">
      <c r="B25" s="175" t="s">
        <v>36</v>
      </c>
      <c r="C25" s="176"/>
      <c r="D25" s="46">
        <v>473.91</v>
      </c>
      <c r="E25" s="51">
        <v>3</v>
      </c>
      <c r="F25" s="44" t="s">
        <v>30</v>
      </c>
      <c r="G25" s="45">
        <f>D25*E25</f>
        <v>1421.73</v>
      </c>
      <c r="H25" s="162"/>
    </row>
    <row r="26" spans="2:10" ht="30" customHeight="1" thickBot="1" x14ac:dyDescent="0.3">
      <c r="B26" s="165" t="s">
        <v>35</v>
      </c>
      <c r="C26" s="166"/>
      <c r="D26" s="37">
        <v>320.5</v>
      </c>
      <c r="E26" s="37">
        <v>12</v>
      </c>
      <c r="F26" s="38" t="s">
        <v>30</v>
      </c>
      <c r="G26" s="47">
        <f>D26*E26</f>
        <v>3846</v>
      </c>
      <c r="H26" s="162"/>
    </row>
    <row r="27" spans="2:10" ht="23.25" x14ac:dyDescent="0.25">
      <c r="B27" s="4"/>
      <c r="C27" s="20"/>
      <c r="D27" s="20"/>
      <c r="E27" s="10"/>
      <c r="F27" s="10"/>
      <c r="G27" s="3"/>
      <c r="H27" s="56"/>
      <c r="J27" s="1"/>
    </row>
    <row r="28" spans="2:10" ht="25.5" x14ac:dyDescent="0.25">
      <c r="B28" s="4"/>
      <c r="C28" s="13" t="s">
        <v>95</v>
      </c>
      <c r="D28" s="14"/>
      <c r="E28" s="4"/>
      <c r="F28" s="4"/>
      <c r="G28" s="3"/>
      <c r="H28" s="54"/>
      <c r="J28" s="1"/>
    </row>
    <row r="29" spans="2:10" ht="18.75" x14ac:dyDescent="0.25">
      <c r="B29" s="4"/>
      <c r="C29" s="177" t="s">
        <v>96</v>
      </c>
      <c r="D29" s="21" t="s">
        <v>97</v>
      </c>
      <c r="E29" s="22">
        <f>ROUND((G17+D10)/D10,2)</f>
        <v>1.06</v>
      </c>
      <c r="F29" s="22"/>
      <c r="G29" s="5"/>
      <c r="H29" s="54"/>
      <c r="J29" s="1"/>
    </row>
    <row r="30" spans="2:10" ht="23.25" x14ac:dyDescent="0.25">
      <c r="B30" s="4"/>
      <c r="C30" s="177"/>
      <c r="D30" s="21" t="s">
        <v>98</v>
      </c>
      <c r="E30" s="22">
        <f>ROUND((G18+G19+D10)/D10,2)</f>
        <v>1.02</v>
      </c>
      <c r="F30" s="22"/>
      <c r="G30" s="11"/>
      <c r="H30" s="57"/>
      <c r="J30" s="1"/>
    </row>
    <row r="31" spans="2:10" ht="23.25" x14ac:dyDescent="0.25">
      <c r="B31" s="4"/>
      <c r="C31" s="177"/>
      <c r="D31" s="21" t="s">
        <v>99</v>
      </c>
      <c r="E31" s="22">
        <f>ROUND((G20+D10)/D10,2)</f>
        <v>1</v>
      </c>
      <c r="F31" s="5"/>
      <c r="G31" s="11"/>
      <c r="H31" s="54"/>
      <c r="J31" s="1"/>
    </row>
    <row r="32" spans="2:10" ht="23.25" x14ac:dyDescent="0.25">
      <c r="B32" s="4"/>
      <c r="C32" s="177"/>
      <c r="D32" s="23" t="s">
        <v>100</v>
      </c>
      <c r="E32" s="24">
        <f>ROUND((SUM(G21:G26)+D10)/D10,2)</f>
        <v>3.31</v>
      </c>
      <c r="F32" s="5"/>
      <c r="G32" s="11"/>
      <c r="H32" s="54"/>
      <c r="J32" s="1"/>
    </row>
    <row r="33" spans="2:10" ht="25.5" x14ac:dyDescent="0.25">
      <c r="B33" s="4"/>
      <c r="C33" s="4"/>
      <c r="D33" s="25" t="s">
        <v>101</v>
      </c>
      <c r="E33" s="26">
        <f>SUM(E29:E32)-IF(D14="сплошная",3,2)</f>
        <v>3.3900000000000006</v>
      </c>
      <c r="F33" s="27"/>
      <c r="G33" s="3"/>
      <c r="H33" s="54"/>
      <c r="J33" s="1"/>
    </row>
    <row r="34" spans="2:10" ht="23.25" x14ac:dyDescent="0.25">
      <c r="B34" s="4"/>
      <c r="C34" s="4"/>
      <c r="D34" s="4"/>
      <c r="E34" s="28"/>
      <c r="F34" s="4"/>
      <c r="G34" s="3"/>
      <c r="H34" s="54"/>
      <c r="J34" s="1"/>
    </row>
    <row r="35" spans="2:10" ht="25.5" x14ac:dyDescent="0.35">
      <c r="B35" s="12"/>
      <c r="C35" s="29" t="s">
        <v>102</v>
      </c>
      <c r="D35" s="173">
        <f>E33*D10</f>
        <v>31807.014000000006</v>
      </c>
      <c r="E35" s="173"/>
      <c r="F35" s="4"/>
      <c r="G35" s="3"/>
      <c r="H35" s="54"/>
      <c r="J35" s="1"/>
    </row>
    <row r="36" spans="2:10" ht="18.75" x14ac:dyDescent="0.3">
      <c r="B36" s="4"/>
      <c r="C36" s="30" t="s">
        <v>103</v>
      </c>
      <c r="D36" s="174">
        <f>D35/D9</f>
        <v>54.698218400687885</v>
      </c>
      <c r="E36" s="174"/>
      <c r="F36" s="4"/>
      <c r="G36" s="4"/>
      <c r="H36" s="58"/>
      <c r="J36" s="1"/>
    </row>
    <row r="37" spans="2:10" x14ac:dyDescent="0.25">
      <c r="J37" s="1"/>
    </row>
    <row r="38" spans="2:10" x14ac:dyDescent="0.25">
      <c r="J38" s="1"/>
    </row>
    <row r="39" spans="2:10" ht="60.75" customHeight="1" x14ac:dyDescent="0.8">
      <c r="B39" s="153" t="s">
        <v>173</v>
      </c>
      <c r="C39" s="153"/>
      <c r="D39" s="153"/>
      <c r="E39" s="153"/>
      <c r="F39" s="153"/>
      <c r="G39" s="153"/>
      <c r="H39" s="153"/>
      <c r="J39" s="1"/>
    </row>
    <row r="40" spans="2:10" ht="18.75" x14ac:dyDescent="0.25">
      <c r="B40" s="154" t="s">
        <v>75</v>
      </c>
      <c r="C40" s="154"/>
      <c r="D40" s="154"/>
      <c r="E40" s="154"/>
      <c r="F40" s="154"/>
      <c r="G40" s="154"/>
      <c r="H40" s="54"/>
      <c r="J40" s="1"/>
    </row>
    <row r="41" spans="2:10" ht="25.5" x14ac:dyDescent="0.25">
      <c r="B41" s="4"/>
      <c r="C41" s="13" t="s">
        <v>76</v>
      </c>
      <c r="D41" s="14"/>
      <c r="E41" s="4"/>
      <c r="F41" s="4"/>
      <c r="G41" s="3"/>
      <c r="H41" s="54"/>
      <c r="J41" s="1"/>
    </row>
    <row r="42" spans="2:10" ht="39.950000000000003" customHeight="1" x14ac:dyDescent="0.25">
      <c r="B42" s="5"/>
      <c r="C42" s="155" t="s">
        <v>77</v>
      </c>
      <c r="D42" s="158" t="s">
        <v>154</v>
      </c>
      <c r="E42" s="159"/>
      <c r="F42" s="159"/>
      <c r="G42" s="160"/>
      <c r="H42" s="55"/>
      <c r="J42" s="1"/>
    </row>
    <row r="43" spans="2:10" ht="19.5" x14ac:dyDescent="0.25">
      <c r="B43" s="5"/>
      <c r="C43" s="156"/>
      <c r="D43" s="161" t="s">
        <v>155</v>
      </c>
      <c r="E43" s="161"/>
      <c r="F43" s="161"/>
      <c r="G43" s="161"/>
      <c r="H43" s="55"/>
      <c r="J43" s="1"/>
    </row>
    <row r="44" spans="2:10" ht="19.5" x14ac:dyDescent="0.25">
      <c r="B44" s="5"/>
      <c r="C44" s="157"/>
      <c r="D44" s="161" t="s">
        <v>157</v>
      </c>
      <c r="E44" s="161"/>
      <c r="F44" s="161"/>
      <c r="G44" s="161"/>
      <c r="H44" s="55"/>
      <c r="J44" s="1"/>
    </row>
    <row r="45" spans="2:10" ht="23.25" x14ac:dyDescent="0.25">
      <c r="B45" s="4"/>
      <c r="C45" s="15" t="s">
        <v>78</v>
      </c>
      <c r="D45" s="116">
        <v>1.3</v>
      </c>
      <c r="E45" s="16"/>
      <c r="F45" s="5"/>
      <c r="G45" s="3"/>
      <c r="H45" s="54"/>
      <c r="J45" s="1"/>
    </row>
    <row r="46" spans="2:10" ht="22.5" x14ac:dyDescent="0.25">
      <c r="B46" s="4"/>
      <c r="C46" s="17" t="s">
        <v>79</v>
      </c>
      <c r="D46" s="120">
        <v>247.8</v>
      </c>
      <c r="E46" s="169" t="s">
        <v>80</v>
      </c>
      <c r="F46" s="170"/>
      <c r="G46" s="145">
        <f>D47/D46</f>
        <v>17.307506053268764</v>
      </c>
      <c r="H46" s="54"/>
      <c r="J46" s="1"/>
    </row>
    <row r="47" spans="2:10" ht="22.5" x14ac:dyDescent="0.25">
      <c r="B47" s="4"/>
      <c r="C47" s="17" t="s">
        <v>81</v>
      </c>
      <c r="D47" s="6">
        <v>4288.8</v>
      </c>
      <c r="E47" s="171"/>
      <c r="F47" s="172"/>
      <c r="G47" s="146"/>
      <c r="H47" s="54"/>
      <c r="J47" s="1"/>
    </row>
    <row r="48" spans="2:10" ht="23.25" x14ac:dyDescent="0.25">
      <c r="B48" s="4"/>
      <c r="C48" s="18"/>
      <c r="D48" s="7"/>
      <c r="E48" s="19"/>
      <c r="F48" s="4"/>
      <c r="G48" s="3"/>
      <c r="H48" s="54"/>
      <c r="J48" s="1"/>
    </row>
    <row r="49" spans="2:10" ht="23.25" x14ac:dyDescent="0.25">
      <c r="B49" s="4"/>
      <c r="C49" s="48" t="s">
        <v>82</v>
      </c>
      <c r="D49" s="59" t="s">
        <v>28</v>
      </c>
      <c r="E49" s="4"/>
      <c r="F49" s="4"/>
      <c r="G49" s="3"/>
      <c r="H49" s="54"/>
      <c r="J49" s="1"/>
    </row>
    <row r="50" spans="2:10" ht="23.25" x14ac:dyDescent="0.25">
      <c r="B50" s="4"/>
      <c r="C50" s="48" t="s">
        <v>83</v>
      </c>
      <c r="D50" s="59">
        <v>50</v>
      </c>
      <c r="E50" s="4"/>
      <c r="F50" s="4"/>
      <c r="G50" s="3"/>
      <c r="H50" s="54"/>
      <c r="J50" s="1"/>
    </row>
    <row r="51" spans="2:10" ht="23.25" x14ac:dyDescent="0.25">
      <c r="B51" s="4"/>
      <c r="C51" s="48" t="s">
        <v>84</v>
      </c>
      <c r="D51" s="49" t="s">
        <v>85</v>
      </c>
      <c r="E51" s="4"/>
      <c r="F51" s="4"/>
      <c r="G51" s="3"/>
      <c r="H51" s="54"/>
      <c r="J51" s="1"/>
    </row>
    <row r="52" spans="2:10" ht="24" thickBot="1" x14ac:dyDescent="0.3">
      <c r="B52" s="4"/>
      <c r="C52" s="4"/>
      <c r="D52" s="4"/>
      <c r="E52" s="4"/>
      <c r="F52" s="4"/>
      <c r="G52" s="3"/>
      <c r="H52" s="54"/>
      <c r="J52" s="1"/>
    </row>
    <row r="53" spans="2:10" ht="48" thickBot="1" x14ac:dyDescent="0.3">
      <c r="B53" s="147" t="s">
        <v>31</v>
      </c>
      <c r="C53" s="148"/>
      <c r="D53" s="8" t="s">
        <v>86</v>
      </c>
      <c r="E53" s="149" t="s">
        <v>87</v>
      </c>
      <c r="F53" s="150"/>
      <c r="G53" s="9" t="s">
        <v>88</v>
      </c>
      <c r="H53" s="54"/>
      <c r="J53" s="1"/>
    </row>
    <row r="54" spans="2:10" ht="24" thickBot="1" x14ac:dyDescent="0.3">
      <c r="B54" s="151" t="s">
        <v>89</v>
      </c>
      <c r="C54" s="152"/>
      <c r="D54" s="31">
        <v>197.93</v>
      </c>
      <c r="E54" s="50">
        <v>1.3</v>
      </c>
      <c r="F54" s="32" t="s">
        <v>30</v>
      </c>
      <c r="G54" s="33">
        <f t="shared" ref="G54:G61" si="1">D54*E54</f>
        <v>257.30900000000003</v>
      </c>
      <c r="H54" s="162"/>
      <c r="J54" s="1"/>
    </row>
    <row r="55" spans="2:10" ht="51.6" customHeight="1" x14ac:dyDescent="0.25">
      <c r="B55" s="163" t="s">
        <v>90</v>
      </c>
      <c r="C55" s="164"/>
      <c r="D55" s="34">
        <v>70.41</v>
      </c>
      <c r="E55" s="60">
        <v>0.5</v>
      </c>
      <c r="F55" s="35" t="s">
        <v>32</v>
      </c>
      <c r="G55" s="36">
        <f t="shared" si="1"/>
        <v>35.204999999999998</v>
      </c>
      <c r="H55" s="162"/>
      <c r="J55" s="1"/>
    </row>
    <row r="56" spans="2:10" ht="24" thickBot="1" x14ac:dyDescent="0.3">
      <c r="B56" s="165" t="s">
        <v>91</v>
      </c>
      <c r="C56" s="166"/>
      <c r="D56" s="37">
        <v>222.31</v>
      </c>
      <c r="E56" s="61">
        <v>0.5</v>
      </c>
      <c r="F56" s="38" t="s">
        <v>32</v>
      </c>
      <c r="G56" s="39">
        <f t="shared" si="1"/>
        <v>111.155</v>
      </c>
      <c r="H56" s="162"/>
      <c r="J56" s="1"/>
    </row>
    <row r="57" spans="2:10" ht="24" thickBot="1" x14ac:dyDescent="0.3">
      <c r="B57" s="167" t="s">
        <v>33</v>
      </c>
      <c r="C57" s="168"/>
      <c r="D57" s="40"/>
      <c r="E57" s="40"/>
      <c r="F57" s="41" t="s">
        <v>30</v>
      </c>
      <c r="G57" s="42">
        <f t="shared" si="1"/>
        <v>0</v>
      </c>
      <c r="H57" s="162"/>
      <c r="J57" s="1"/>
    </row>
    <row r="58" spans="2:10" ht="43.15" customHeight="1" x14ac:dyDescent="0.25">
      <c r="B58" s="163" t="s">
        <v>92</v>
      </c>
      <c r="C58" s="164"/>
      <c r="D58" s="34">
        <v>665.33</v>
      </c>
      <c r="E58" s="34">
        <v>2.6</v>
      </c>
      <c r="F58" s="35" t="s">
        <v>30</v>
      </c>
      <c r="G58" s="36">
        <f t="shared" si="1"/>
        <v>1729.8580000000002</v>
      </c>
      <c r="H58" s="162"/>
      <c r="J58" s="1"/>
    </row>
    <row r="59" spans="2:10" ht="23.25" x14ac:dyDescent="0.25">
      <c r="B59" s="175" t="s">
        <v>93</v>
      </c>
      <c r="C59" s="176"/>
      <c r="D59" s="43"/>
      <c r="E59" s="43"/>
      <c r="F59" s="44" t="s">
        <v>30</v>
      </c>
      <c r="G59" s="45">
        <f t="shared" si="1"/>
        <v>0</v>
      </c>
      <c r="H59" s="162"/>
      <c r="J59" s="1"/>
    </row>
    <row r="60" spans="2:10" ht="23.25" x14ac:dyDescent="0.25">
      <c r="B60" s="175" t="s">
        <v>34</v>
      </c>
      <c r="C60" s="176"/>
      <c r="D60" s="46">
        <v>2425.1</v>
      </c>
      <c r="E60" s="51">
        <v>1.3</v>
      </c>
      <c r="F60" s="44" t="s">
        <v>30</v>
      </c>
      <c r="G60" s="45">
        <f t="shared" si="1"/>
        <v>3152.63</v>
      </c>
      <c r="H60" s="162"/>
      <c r="J60" s="1"/>
    </row>
    <row r="61" spans="2:10" ht="23.25" x14ac:dyDescent="0.25">
      <c r="B61" s="175" t="s">
        <v>94</v>
      </c>
      <c r="C61" s="176"/>
      <c r="D61" s="46">
        <v>1718.79</v>
      </c>
      <c r="E61" s="51">
        <v>1.3</v>
      </c>
      <c r="F61" s="44" t="s">
        <v>30</v>
      </c>
      <c r="G61" s="45">
        <f t="shared" si="1"/>
        <v>2234.4270000000001</v>
      </c>
      <c r="H61" s="162"/>
      <c r="J61" s="1"/>
    </row>
    <row r="62" spans="2:10" ht="23.25" x14ac:dyDescent="0.25">
      <c r="B62" s="175" t="s">
        <v>36</v>
      </c>
      <c r="C62" s="176"/>
      <c r="D62" s="46">
        <v>473.91</v>
      </c>
      <c r="E62" s="51">
        <v>1.3</v>
      </c>
      <c r="F62" s="44" t="s">
        <v>30</v>
      </c>
      <c r="G62" s="45">
        <f>D62*E62</f>
        <v>616.08300000000008</v>
      </c>
      <c r="H62" s="162"/>
      <c r="J62" s="1"/>
    </row>
    <row r="63" spans="2:10" ht="24" thickBot="1" x14ac:dyDescent="0.3">
      <c r="B63" s="165" t="s">
        <v>35</v>
      </c>
      <c r="C63" s="166"/>
      <c r="D63" s="37">
        <v>320.5</v>
      </c>
      <c r="E63" s="37">
        <v>5.2</v>
      </c>
      <c r="F63" s="38" t="s">
        <v>30</v>
      </c>
      <c r="G63" s="47">
        <f>D63*E63</f>
        <v>1666.6000000000001</v>
      </c>
      <c r="H63" s="162"/>
      <c r="J63" s="1"/>
    </row>
    <row r="64" spans="2:10" ht="23.25" x14ac:dyDescent="0.25">
      <c r="B64" s="4"/>
      <c r="C64" s="20"/>
      <c r="D64" s="20"/>
      <c r="E64" s="10"/>
      <c r="F64" s="10"/>
      <c r="G64" s="3"/>
      <c r="H64" s="56"/>
      <c r="J64" s="1"/>
    </row>
    <row r="65" spans="2:10" ht="25.5" x14ac:dyDescent="0.25">
      <c r="B65" s="4"/>
      <c r="C65" s="13" t="s">
        <v>95</v>
      </c>
      <c r="D65" s="14"/>
      <c r="E65" s="4"/>
      <c r="F65" s="4"/>
      <c r="G65" s="3"/>
      <c r="H65" s="54"/>
      <c r="J65" s="1"/>
    </row>
    <row r="66" spans="2:10" ht="18.75" x14ac:dyDescent="0.25">
      <c r="B66" s="4"/>
      <c r="C66" s="177" t="s">
        <v>96</v>
      </c>
      <c r="D66" s="21" t="s">
        <v>97</v>
      </c>
      <c r="E66" s="22">
        <f>ROUND((G54+D47)/D47,2)</f>
        <v>1.06</v>
      </c>
      <c r="F66" s="22"/>
      <c r="G66" s="5"/>
      <c r="H66" s="54"/>
      <c r="J66" s="1"/>
    </row>
    <row r="67" spans="2:10" ht="23.25" x14ac:dyDescent="0.25">
      <c r="B67" s="4"/>
      <c r="C67" s="177"/>
      <c r="D67" s="21" t="s">
        <v>98</v>
      </c>
      <c r="E67" s="22">
        <f>ROUND((G55+G56+D47)/D47,2)</f>
        <v>1.03</v>
      </c>
      <c r="F67" s="22"/>
      <c r="G67" s="11"/>
      <c r="H67" s="57"/>
      <c r="J67" s="1"/>
    </row>
    <row r="68" spans="2:10" ht="23.25" x14ac:dyDescent="0.25">
      <c r="B68" s="4"/>
      <c r="C68" s="177"/>
      <c r="D68" s="21" t="s">
        <v>99</v>
      </c>
      <c r="E68" s="22">
        <f>ROUND((G57+D47)/D47,2)</f>
        <v>1</v>
      </c>
      <c r="F68" s="5"/>
      <c r="G68" s="11"/>
      <c r="H68" s="54"/>
      <c r="J68" s="1"/>
    </row>
    <row r="69" spans="2:10" ht="23.25" x14ac:dyDescent="0.25">
      <c r="B69" s="4"/>
      <c r="C69" s="177"/>
      <c r="D69" s="23" t="s">
        <v>100</v>
      </c>
      <c r="E69" s="24">
        <f>ROUND((SUM(G58:G63)+D47)/D47,2)</f>
        <v>3.19</v>
      </c>
      <c r="F69" s="5"/>
      <c r="G69" s="11"/>
      <c r="H69" s="54"/>
      <c r="J69" s="1"/>
    </row>
    <row r="70" spans="2:10" ht="25.5" x14ac:dyDescent="0.25">
      <c r="B70" s="4"/>
      <c r="C70" s="4"/>
      <c r="D70" s="25" t="s">
        <v>101</v>
      </c>
      <c r="E70" s="26">
        <f>SUM(E66:E69)-IF(D51="сплошная",3,2)</f>
        <v>3.2799999999999994</v>
      </c>
      <c r="F70" s="27"/>
      <c r="G70" s="3"/>
      <c r="H70" s="54"/>
      <c r="J70" s="1"/>
    </row>
    <row r="71" spans="2:10" ht="23.25" x14ac:dyDescent="0.25">
      <c r="B71" s="4"/>
      <c r="C71" s="4"/>
      <c r="D71" s="4"/>
      <c r="E71" s="28"/>
      <c r="F71" s="4"/>
      <c r="G71" s="3"/>
      <c r="H71" s="54"/>
      <c r="J71" s="1"/>
    </row>
    <row r="72" spans="2:10" ht="25.5" x14ac:dyDescent="0.35">
      <c r="B72" s="12"/>
      <c r="C72" s="29" t="s">
        <v>102</v>
      </c>
      <c r="D72" s="173">
        <f>E70*D47</f>
        <v>14067.263999999997</v>
      </c>
      <c r="E72" s="173"/>
      <c r="F72" s="4"/>
      <c r="G72" s="3"/>
      <c r="H72" s="54"/>
      <c r="J72" s="1"/>
    </row>
    <row r="73" spans="2:10" ht="18.75" x14ac:dyDescent="0.3">
      <c r="B73" s="4"/>
      <c r="C73" s="30" t="s">
        <v>103</v>
      </c>
      <c r="D73" s="174">
        <f>D72/D46</f>
        <v>56.768619854721535</v>
      </c>
      <c r="E73" s="174"/>
      <c r="F73" s="4"/>
      <c r="G73" s="4"/>
      <c r="H73" s="58"/>
      <c r="J73" s="1"/>
    </row>
    <row r="74" spans="2:10" x14ac:dyDescent="0.25">
      <c r="J74" s="1"/>
    </row>
    <row r="75" spans="2:10" x14ac:dyDescent="0.25">
      <c r="J75" s="1"/>
    </row>
    <row r="76" spans="2:10" ht="60.75" customHeight="1" x14ac:dyDescent="0.8">
      <c r="B76" s="153" t="s">
        <v>174</v>
      </c>
      <c r="C76" s="153"/>
      <c r="D76" s="153"/>
      <c r="E76" s="153"/>
      <c r="F76" s="153"/>
      <c r="G76" s="153"/>
      <c r="H76" s="153"/>
      <c r="J76" s="1"/>
    </row>
    <row r="77" spans="2:10" ht="18.75" x14ac:dyDescent="0.25">
      <c r="B77" s="154" t="s">
        <v>75</v>
      </c>
      <c r="C77" s="154"/>
      <c r="D77" s="154"/>
      <c r="E77" s="154"/>
      <c r="F77" s="154"/>
      <c r="G77" s="154"/>
      <c r="H77" s="54"/>
      <c r="J77" s="1"/>
    </row>
    <row r="78" spans="2:10" ht="25.5" x14ac:dyDescent="0.25">
      <c r="B78" s="4"/>
      <c r="C78" s="13" t="s">
        <v>76</v>
      </c>
      <c r="D78" s="14"/>
      <c r="E78" s="4"/>
      <c r="F78" s="4"/>
      <c r="G78" s="3"/>
      <c r="H78" s="54"/>
      <c r="J78" s="1"/>
    </row>
    <row r="79" spans="2:10" ht="39.950000000000003" customHeight="1" x14ac:dyDescent="0.25">
      <c r="B79" s="5"/>
      <c r="C79" s="155" t="s">
        <v>77</v>
      </c>
      <c r="D79" s="158" t="s">
        <v>154</v>
      </c>
      <c r="E79" s="159"/>
      <c r="F79" s="159"/>
      <c r="G79" s="160"/>
      <c r="H79" s="55"/>
      <c r="J79" s="1"/>
    </row>
    <row r="80" spans="2:10" ht="19.5" x14ac:dyDescent="0.25">
      <c r="B80" s="5"/>
      <c r="C80" s="156"/>
      <c r="D80" s="161" t="s">
        <v>158</v>
      </c>
      <c r="E80" s="161"/>
      <c r="F80" s="161"/>
      <c r="G80" s="161"/>
      <c r="H80" s="55"/>
      <c r="J80" s="1"/>
    </row>
    <row r="81" spans="2:10" ht="19.5" x14ac:dyDescent="0.25">
      <c r="B81" s="5"/>
      <c r="C81" s="157"/>
      <c r="D81" s="161" t="s">
        <v>169</v>
      </c>
      <c r="E81" s="161"/>
      <c r="F81" s="161"/>
      <c r="G81" s="161"/>
      <c r="H81" s="55"/>
      <c r="J81" s="1"/>
    </row>
    <row r="82" spans="2:10" ht="23.25" x14ac:dyDescent="0.25">
      <c r="B82" s="4"/>
      <c r="C82" s="15" t="s">
        <v>78</v>
      </c>
      <c r="D82" s="116">
        <v>3.3</v>
      </c>
      <c r="E82" s="16"/>
      <c r="F82" s="5"/>
      <c r="G82" s="3"/>
      <c r="H82" s="54"/>
      <c r="J82" s="1"/>
    </row>
    <row r="83" spans="2:10" ht="22.5" x14ac:dyDescent="0.25">
      <c r="B83" s="4"/>
      <c r="C83" s="17" t="s">
        <v>79</v>
      </c>
      <c r="D83" s="120">
        <v>641.9</v>
      </c>
      <c r="E83" s="169" t="s">
        <v>80</v>
      </c>
      <c r="F83" s="170"/>
      <c r="G83" s="145">
        <f>D84/D83</f>
        <v>10.606013397725503</v>
      </c>
      <c r="H83" s="54"/>
      <c r="J83" s="1"/>
    </row>
    <row r="84" spans="2:10" ht="22.5" x14ac:dyDescent="0.25">
      <c r="B84" s="4"/>
      <c r="C84" s="17" t="s">
        <v>81</v>
      </c>
      <c r="D84" s="6">
        <v>6808</v>
      </c>
      <c r="E84" s="171"/>
      <c r="F84" s="172"/>
      <c r="G84" s="146"/>
      <c r="H84" s="54"/>
      <c r="J84" s="1"/>
    </row>
    <row r="85" spans="2:10" ht="23.25" x14ac:dyDescent="0.25">
      <c r="B85" s="4"/>
      <c r="C85" s="18"/>
      <c r="D85" s="7"/>
      <c r="E85" s="19"/>
      <c r="F85" s="4"/>
      <c r="G85" s="3"/>
      <c r="H85" s="54"/>
      <c r="J85" s="1"/>
    </row>
    <row r="86" spans="2:10" ht="23.25" x14ac:dyDescent="0.25">
      <c r="B86" s="4"/>
      <c r="C86" s="48" t="s">
        <v>82</v>
      </c>
      <c r="D86" s="59" t="s">
        <v>159</v>
      </c>
      <c r="E86" s="4"/>
      <c r="F86" s="4"/>
      <c r="G86" s="3"/>
      <c r="H86" s="54"/>
      <c r="J86" s="1"/>
    </row>
    <row r="87" spans="2:10" ht="23.25" x14ac:dyDescent="0.25">
      <c r="B87" s="4"/>
      <c r="C87" s="48" t="s">
        <v>83</v>
      </c>
      <c r="D87" s="59">
        <v>55</v>
      </c>
      <c r="E87" s="4"/>
      <c r="F87" s="4"/>
      <c r="G87" s="3"/>
      <c r="H87" s="54"/>
      <c r="J87" s="1"/>
    </row>
    <row r="88" spans="2:10" ht="23.25" x14ac:dyDescent="0.25">
      <c r="B88" s="4"/>
      <c r="C88" s="48" t="s">
        <v>84</v>
      </c>
      <c r="D88" s="49" t="s">
        <v>85</v>
      </c>
      <c r="E88" s="4"/>
      <c r="F88" s="4"/>
      <c r="G88" s="3"/>
      <c r="H88" s="54"/>
      <c r="J88" s="1"/>
    </row>
    <row r="89" spans="2:10" ht="24" thickBot="1" x14ac:dyDescent="0.3">
      <c r="B89" s="4"/>
      <c r="C89" s="4"/>
      <c r="D89" s="4"/>
      <c r="E89" s="4"/>
      <c r="F89" s="4"/>
      <c r="G89" s="3"/>
      <c r="H89" s="54"/>
      <c r="J89" s="1"/>
    </row>
    <row r="90" spans="2:10" ht="48" thickBot="1" x14ac:dyDescent="0.3">
      <c r="B90" s="147" t="s">
        <v>31</v>
      </c>
      <c r="C90" s="148"/>
      <c r="D90" s="8" t="s">
        <v>86</v>
      </c>
      <c r="E90" s="149" t="s">
        <v>87</v>
      </c>
      <c r="F90" s="150"/>
      <c r="G90" s="9" t="s">
        <v>88</v>
      </c>
      <c r="H90" s="54"/>
      <c r="J90" s="1"/>
    </row>
    <row r="91" spans="2:10" ht="24" thickBot="1" x14ac:dyDescent="0.3">
      <c r="B91" s="151" t="s">
        <v>89</v>
      </c>
      <c r="C91" s="152"/>
      <c r="D91" s="31">
        <v>197.93</v>
      </c>
      <c r="E91" s="50">
        <v>3.3</v>
      </c>
      <c r="F91" s="32" t="s">
        <v>30</v>
      </c>
      <c r="G91" s="33">
        <f t="shared" ref="G91:G98" si="2">D91*E91</f>
        <v>653.16899999999998</v>
      </c>
      <c r="H91" s="162"/>
      <c r="J91" s="1"/>
    </row>
    <row r="92" spans="2:10" ht="49.9" customHeight="1" x14ac:dyDescent="0.25">
      <c r="B92" s="163" t="s">
        <v>90</v>
      </c>
      <c r="C92" s="164"/>
      <c r="D92" s="34">
        <v>70.41</v>
      </c>
      <c r="E92" s="60">
        <v>3.3</v>
      </c>
      <c r="F92" s="35" t="s">
        <v>32</v>
      </c>
      <c r="G92" s="36">
        <f t="shared" si="2"/>
        <v>232.35299999999998</v>
      </c>
      <c r="H92" s="162"/>
      <c r="J92" s="1"/>
    </row>
    <row r="93" spans="2:10" ht="24" thickBot="1" x14ac:dyDescent="0.3">
      <c r="B93" s="165" t="s">
        <v>91</v>
      </c>
      <c r="C93" s="166"/>
      <c r="D93" s="37">
        <v>222.31</v>
      </c>
      <c r="E93" s="61">
        <v>0.7</v>
      </c>
      <c r="F93" s="38" t="s">
        <v>32</v>
      </c>
      <c r="G93" s="39">
        <f t="shared" si="2"/>
        <v>155.61699999999999</v>
      </c>
      <c r="H93" s="162"/>
      <c r="J93" s="1"/>
    </row>
    <row r="94" spans="2:10" ht="24" thickBot="1" x14ac:dyDescent="0.3">
      <c r="B94" s="167" t="s">
        <v>33</v>
      </c>
      <c r="C94" s="168"/>
      <c r="D94" s="40"/>
      <c r="E94" s="40"/>
      <c r="F94" s="41" t="s">
        <v>30</v>
      </c>
      <c r="G94" s="42">
        <f t="shared" si="2"/>
        <v>0</v>
      </c>
      <c r="H94" s="162"/>
      <c r="J94" s="1"/>
    </row>
    <row r="95" spans="2:10" ht="45.6" customHeight="1" x14ac:dyDescent="0.25">
      <c r="B95" s="163" t="s">
        <v>92</v>
      </c>
      <c r="C95" s="164"/>
      <c r="D95" s="34">
        <v>665.33</v>
      </c>
      <c r="E95" s="34">
        <v>6.6</v>
      </c>
      <c r="F95" s="35" t="s">
        <v>30</v>
      </c>
      <c r="G95" s="36">
        <f t="shared" si="2"/>
        <v>4391.1779999999999</v>
      </c>
      <c r="H95" s="162"/>
      <c r="J95" s="1"/>
    </row>
    <row r="96" spans="2:10" ht="23.25" x14ac:dyDescent="0.25">
      <c r="B96" s="175" t="s">
        <v>93</v>
      </c>
      <c r="C96" s="176"/>
      <c r="D96" s="43"/>
      <c r="E96" s="43"/>
      <c r="F96" s="44" t="s">
        <v>30</v>
      </c>
      <c r="G96" s="45">
        <f t="shared" si="2"/>
        <v>0</v>
      </c>
      <c r="H96" s="162"/>
      <c r="J96" s="1"/>
    </row>
    <row r="97" spans="2:10" ht="23.25" x14ac:dyDescent="0.25">
      <c r="B97" s="175" t="s">
        <v>34</v>
      </c>
      <c r="C97" s="176"/>
      <c r="D97" s="46">
        <v>2425.1</v>
      </c>
      <c r="E97" s="51">
        <v>3.3</v>
      </c>
      <c r="F97" s="44" t="s">
        <v>30</v>
      </c>
      <c r="G97" s="45">
        <f t="shared" si="2"/>
        <v>8002.829999999999</v>
      </c>
      <c r="H97" s="162"/>
      <c r="J97" s="1"/>
    </row>
    <row r="98" spans="2:10" ht="23.25" x14ac:dyDescent="0.25">
      <c r="B98" s="175" t="s">
        <v>94</v>
      </c>
      <c r="C98" s="176"/>
      <c r="D98" s="46">
        <v>1718.79</v>
      </c>
      <c r="E98" s="51">
        <v>3.3</v>
      </c>
      <c r="F98" s="44" t="s">
        <v>30</v>
      </c>
      <c r="G98" s="45">
        <f t="shared" si="2"/>
        <v>5672.0069999999996</v>
      </c>
      <c r="H98" s="162"/>
      <c r="J98" s="1"/>
    </row>
    <row r="99" spans="2:10" ht="23.25" x14ac:dyDescent="0.25">
      <c r="B99" s="175" t="s">
        <v>36</v>
      </c>
      <c r="C99" s="176"/>
      <c r="D99" s="46">
        <v>473.91</v>
      </c>
      <c r="E99" s="51">
        <v>3.3</v>
      </c>
      <c r="F99" s="44" t="s">
        <v>30</v>
      </c>
      <c r="G99" s="45">
        <f>D99*E99</f>
        <v>1563.903</v>
      </c>
      <c r="H99" s="162"/>
      <c r="J99" s="1"/>
    </row>
    <row r="100" spans="2:10" ht="24" thickBot="1" x14ac:dyDescent="0.3">
      <c r="B100" s="165" t="s">
        <v>35</v>
      </c>
      <c r="C100" s="166"/>
      <c r="D100" s="37">
        <v>320.5</v>
      </c>
      <c r="E100" s="37">
        <v>13.2</v>
      </c>
      <c r="F100" s="38" t="s">
        <v>30</v>
      </c>
      <c r="G100" s="47">
        <f>D100*E100</f>
        <v>4230.5999999999995</v>
      </c>
      <c r="H100" s="162"/>
      <c r="J100" s="1"/>
    </row>
    <row r="101" spans="2:10" ht="23.25" x14ac:dyDescent="0.25">
      <c r="B101" s="4"/>
      <c r="C101" s="20"/>
      <c r="D101" s="20"/>
      <c r="E101" s="10"/>
      <c r="F101" s="10"/>
      <c r="G101" s="3"/>
      <c r="H101" s="56"/>
      <c r="J101" s="1"/>
    </row>
    <row r="102" spans="2:10" ht="25.5" x14ac:dyDescent="0.25">
      <c r="B102" s="4"/>
      <c r="C102" s="13" t="s">
        <v>95</v>
      </c>
      <c r="D102" s="14"/>
      <c r="E102" s="4"/>
      <c r="F102" s="4"/>
      <c r="G102" s="3"/>
      <c r="H102" s="54"/>
      <c r="J102" s="1"/>
    </row>
    <row r="103" spans="2:10" ht="18.75" x14ac:dyDescent="0.25">
      <c r="B103" s="4"/>
      <c r="C103" s="177" t="s">
        <v>96</v>
      </c>
      <c r="D103" s="21" t="s">
        <v>97</v>
      </c>
      <c r="E103" s="22">
        <f>ROUND((G91+D84)/D84,2)</f>
        <v>1.1000000000000001</v>
      </c>
      <c r="F103" s="22"/>
      <c r="G103" s="5"/>
      <c r="H103" s="54"/>
      <c r="J103" s="1"/>
    </row>
    <row r="104" spans="2:10" ht="23.25" x14ac:dyDescent="0.25">
      <c r="B104" s="4"/>
      <c r="C104" s="177"/>
      <c r="D104" s="21" t="s">
        <v>98</v>
      </c>
      <c r="E104" s="22">
        <f>ROUND((G92+G93+D84)/D84,2)</f>
        <v>1.06</v>
      </c>
      <c r="F104" s="22"/>
      <c r="G104" s="11"/>
      <c r="H104" s="57"/>
      <c r="J104" s="1"/>
    </row>
    <row r="105" spans="2:10" ht="23.25" x14ac:dyDescent="0.25">
      <c r="B105" s="4"/>
      <c r="C105" s="177"/>
      <c r="D105" s="21" t="s">
        <v>99</v>
      </c>
      <c r="E105" s="22">
        <f>ROUND((G94+D84)/D84,2)</f>
        <v>1</v>
      </c>
      <c r="F105" s="5"/>
      <c r="G105" s="11"/>
      <c r="H105" s="54"/>
      <c r="J105" s="1"/>
    </row>
    <row r="106" spans="2:10" ht="23.25" x14ac:dyDescent="0.25">
      <c r="B106" s="4"/>
      <c r="C106" s="177"/>
      <c r="D106" s="23" t="s">
        <v>100</v>
      </c>
      <c r="E106" s="24">
        <f>ROUND((SUM(G95:G100)+D84)/D84,2)</f>
        <v>4.5</v>
      </c>
      <c r="F106" s="5"/>
      <c r="G106" s="11"/>
      <c r="H106" s="54"/>
      <c r="J106" s="1"/>
    </row>
    <row r="107" spans="2:10" ht="25.5" x14ac:dyDescent="0.25">
      <c r="B107" s="4"/>
      <c r="C107" s="4"/>
      <c r="D107" s="25" t="s">
        <v>101</v>
      </c>
      <c r="E107" s="26">
        <f>SUM(E103:E106)-IF(D88="сплошная",3,2)</f>
        <v>4.66</v>
      </c>
      <c r="F107" s="27"/>
      <c r="G107" s="3"/>
      <c r="H107" s="54"/>
      <c r="J107" s="1"/>
    </row>
    <row r="108" spans="2:10" ht="23.25" x14ac:dyDescent="0.25">
      <c r="B108" s="4"/>
      <c r="C108" s="4"/>
      <c r="D108" s="4"/>
      <c r="E108" s="28"/>
      <c r="F108" s="4"/>
      <c r="G108" s="3"/>
      <c r="H108" s="54"/>
      <c r="J108" s="1"/>
    </row>
    <row r="109" spans="2:10" ht="25.5" x14ac:dyDescent="0.35">
      <c r="B109" s="12"/>
      <c r="C109" s="29" t="s">
        <v>102</v>
      </c>
      <c r="D109" s="173">
        <f>E107*D84</f>
        <v>31725.280000000002</v>
      </c>
      <c r="E109" s="173"/>
      <c r="F109" s="4"/>
      <c r="G109" s="3"/>
      <c r="H109" s="54"/>
      <c r="J109" s="1"/>
    </row>
    <row r="110" spans="2:10" ht="18.75" x14ac:dyDescent="0.3">
      <c r="B110" s="4"/>
      <c r="C110" s="30" t="s">
        <v>103</v>
      </c>
      <c r="D110" s="174">
        <f>D109/D83</f>
        <v>49.42402243340085</v>
      </c>
      <c r="E110" s="174"/>
      <c r="F110" s="4"/>
      <c r="G110" s="4"/>
      <c r="H110" s="58"/>
      <c r="J110" s="1"/>
    </row>
    <row r="111" spans="2:10" x14ac:dyDescent="0.25">
      <c r="J111" s="1"/>
    </row>
    <row r="112" spans="2:10" x14ac:dyDescent="0.25">
      <c r="J112" s="1"/>
    </row>
    <row r="113" spans="2:10" ht="60.75" customHeight="1" x14ac:dyDescent="0.8">
      <c r="B113" s="153" t="s">
        <v>175</v>
      </c>
      <c r="C113" s="153"/>
      <c r="D113" s="153"/>
      <c r="E113" s="153"/>
      <c r="F113" s="153"/>
      <c r="G113" s="153"/>
      <c r="H113" s="153"/>
      <c r="J113" s="1"/>
    </row>
    <row r="114" spans="2:10" ht="18.75" x14ac:dyDescent="0.25">
      <c r="B114" s="154" t="s">
        <v>75</v>
      </c>
      <c r="C114" s="154"/>
      <c r="D114" s="154"/>
      <c r="E114" s="154"/>
      <c r="F114" s="154"/>
      <c r="G114" s="154"/>
      <c r="H114" s="54"/>
      <c r="J114" s="1"/>
    </row>
    <row r="115" spans="2:10" ht="25.5" x14ac:dyDescent="0.25">
      <c r="B115" s="4"/>
      <c r="C115" s="13" t="s">
        <v>76</v>
      </c>
      <c r="D115" s="14"/>
      <c r="E115" s="4"/>
      <c r="F115" s="4"/>
      <c r="G115" s="3"/>
      <c r="H115" s="54"/>
      <c r="J115" s="1"/>
    </row>
    <row r="116" spans="2:10" ht="39.950000000000003" customHeight="1" x14ac:dyDescent="0.25">
      <c r="B116" s="5"/>
      <c r="C116" s="155" t="s">
        <v>77</v>
      </c>
      <c r="D116" s="158" t="s">
        <v>154</v>
      </c>
      <c r="E116" s="159"/>
      <c r="F116" s="159"/>
      <c r="G116" s="160"/>
      <c r="H116" s="55"/>
      <c r="J116" s="1"/>
    </row>
    <row r="117" spans="2:10" ht="19.5" customHeight="1" x14ac:dyDescent="0.25">
      <c r="B117" s="5"/>
      <c r="C117" s="156"/>
      <c r="D117" s="158" t="s">
        <v>161</v>
      </c>
      <c r="E117" s="159"/>
      <c r="F117" s="159"/>
      <c r="G117" s="160"/>
      <c r="H117" s="55"/>
      <c r="J117" s="1"/>
    </row>
    <row r="118" spans="2:10" ht="19.5" customHeight="1" x14ac:dyDescent="0.25">
      <c r="B118" s="5"/>
      <c r="C118" s="157"/>
      <c r="D118" s="158" t="s">
        <v>160</v>
      </c>
      <c r="E118" s="159"/>
      <c r="F118" s="159"/>
      <c r="G118" s="160"/>
      <c r="H118" s="55"/>
      <c r="J118" s="1"/>
    </row>
    <row r="119" spans="2:10" ht="23.25" x14ac:dyDescent="0.25">
      <c r="B119" s="4"/>
      <c r="C119" s="15" t="s">
        <v>78</v>
      </c>
      <c r="D119" s="116">
        <v>1.6</v>
      </c>
      <c r="E119" s="16"/>
      <c r="F119" s="5"/>
      <c r="G119" s="3"/>
      <c r="H119" s="54"/>
      <c r="J119" s="1"/>
    </row>
    <row r="120" spans="2:10" ht="22.5" x14ac:dyDescent="0.25">
      <c r="B120" s="4"/>
      <c r="C120" s="17" t="s">
        <v>79</v>
      </c>
      <c r="D120" s="120">
        <v>267.8</v>
      </c>
      <c r="E120" s="169" t="s">
        <v>80</v>
      </c>
      <c r="F120" s="170"/>
      <c r="G120" s="145">
        <f>D121/D120</f>
        <v>12.791635548917101</v>
      </c>
      <c r="H120" s="54"/>
      <c r="J120" s="1"/>
    </row>
    <row r="121" spans="2:10" ht="22.5" x14ac:dyDescent="0.25">
      <c r="B121" s="4"/>
      <c r="C121" s="17" t="s">
        <v>81</v>
      </c>
      <c r="D121" s="6">
        <v>3425.6</v>
      </c>
      <c r="E121" s="171"/>
      <c r="F121" s="172"/>
      <c r="G121" s="146"/>
      <c r="H121" s="54"/>
      <c r="J121" s="1"/>
    </row>
    <row r="122" spans="2:10" ht="23.25" x14ac:dyDescent="0.25">
      <c r="B122" s="4"/>
      <c r="C122" s="18"/>
      <c r="D122" s="7"/>
      <c r="E122" s="19"/>
      <c r="F122" s="4"/>
      <c r="G122" s="3"/>
      <c r="H122" s="54"/>
      <c r="J122" s="1"/>
    </row>
    <row r="123" spans="2:10" ht="23.25" x14ac:dyDescent="0.25">
      <c r="B123" s="4"/>
      <c r="C123" s="48" t="s">
        <v>82</v>
      </c>
      <c r="D123" s="59" t="s">
        <v>23</v>
      </c>
      <c r="E123" s="4"/>
      <c r="F123" s="4"/>
      <c r="G123" s="3"/>
      <c r="H123" s="54"/>
      <c r="J123" s="1"/>
    </row>
    <row r="124" spans="2:10" ht="23.25" x14ac:dyDescent="0.25">
      <c r="B124" s="4"/>
      <c r="C124" s="48" t="s">
        <v>83</v>
      </c>
      <c r="D124" s="59">
        <v>55</v>
      </c>
      <c r="E124" s="4"/>
      <c r="F124" s="4"/>
      <c r="G124" s="3"/>
      <c r="H124" s="54"/>
      <c r="J124" s="1"/>
    </row>
    <row r="125" spans="2:10" ht="23.25" x14ac:dyDescent="0.25">
      <c r="B125" s="4"/>
      <c r="C125" s="48" t="s">
        <v>84</v>
      </c>
      <c r="D125" s="49" t="s">
        <v>85</v>
      </c>
      <c r="E125" s="4"/>
      <c r="F125" s="4"/>
      <c r="G125" s="3"/>
      <c r="H125" s="54"/>
      <c r="J125" s="1"/>
    </row>
    <row r="126" spans="2:10" ht="24" thickBot="1" x14ac:dyDescent="0.3">
      <c r="B126" s="4"/>
      <c r="C126" s="4"/>
      <c r="D126" s="4"/>
      <c r="E126" s="4"/>
      <c r="F126" s="4"/>
      <c r="G126" s="3"/>
      <c r="H126" s="54"/>
      <c r="J126" s="1"/>
    </row>
    <row r="127" spans="2:10" ht="48" thickBot="1" x14ac:dyDescent="0.3">
      <c r="B127" s="147" t="s">
        <v>31</v>
      </c>
      <c r="C127" s="148"/>
      <c r="D127" s="8" t="s">
        <v>86</v>
      </c>
      <c r="E127" s="149" t="s">
        <v>87</v>
      </c>
      <c r="F127" s="150"/>
      <c r="G127" s="9" t="s">
        <v>88</v>
      </c>
      <c r="H127" s="54"/>
      <c r="J127" s="1"/>
    </row>
    <row r="128" spans="2:10" ht="24" thickBot="1" x14ac:dyDescent="0.3">
      <c r="B128" s="151" t="s">
        <v>89</v>
      </c>
      <c r="C128" s="152"/>
      <c r="D128" s="31">
        <v>197.93</v>
      </c>
      <c r="E128" s="50">
        <v>1.6</v>
      </c>
      <c r="F128" s="32" t="s">
        <v>30</v>
      </c>
      <c r="G128" s="33">
        <f t="shared" ref="G128:G135" si="3">D128*E128</f>
        <v>316.68800000000005</v>
      </c>
      <c r="H128" s="162"/>
      <c r="J128" s="1"/>
    </row>
    <row r="129" spans="2:10" ht="45.6" customHeight="1" x14ac:dyDescent="0.25">
      <c r="B129" s="163" t="s">
        <v>90</v>
      </c>
      <c r="C129" s="164"/>
      <c r="D129" s="34">
        <v>70.41</v>
      </c>
      <c r="E129" s="60">
        <v>0.5</v>
      </c>
      <c r="F129" s="35" t="s">
        <v>32</v>
      </c>
      <c r="G129" s="36">
        <f t="shared" si="3"/>
        <v>35.204999999999998</v>
      </c>
      <c r="H129" s="162"/>
      <c r="J129" s="1"/>
    </row>
    <row r="130" spans="2:10" ht="24" thickBot="1" x14ac:dyDescent="0.3">
      <c r="B130" s="165" t="s">
        <v>91</v>
      </c>
      <c r="C130" s="166"/>
      <c r="D130" s="37">
        <v>222.31</v>
      </c>
      <c r="E130" s="61">
        <v>0.5</v>
      </c>
      <c r="F130" s="38" t="s">
        <v>32</v>
      </c>
      <c r="G130" s="39">
        <f t="shared" si="3"/>
        <v>111.155</v>
      </c>
      <c r="H130" s="162"/>
      <c r="J130" s="1"/>
    </row>
    <row r="131" spans="2:10" ht="24" thickBot="1" x14ac:dyDescent="0.3">
      <c r="B131" s="167" t="s">
        <v>33</v>
      </c>
      <c r="C131" s="168"/>
      <c r="D131" s="40"/>
      <c r="E131" s="40"/>
      <c r="F131" s="41" t="s">
        <v>30</v>
      </c>
      <c r="G131" s="42">
        <f t="shared" si="3"/>
        <v>0</v>
      </c>
      <c r="H131" s="162"/>
      <c r="J131" s="1"/>
    </row>
    <row r="132" spans="2:10" ht="48" customHeight="1" x14ac:dyDescent="0.25">
      <c r="B132" s="163" t="s">
        <v>92</v>
      </c>
      <c r="C132" s="164"/>
      <c r="D132" s="34">
        <v>665.33</v>
      </c>
      <c r="E132" s="34">
        <v>3.2</v>
      </c>
      <c r="F132" s="35" t="s">
        <v>30</v>
      </c>
      <c r="G132" s="36">
        <f t="shared" si="3"/>
        <v>2129.056</v>
      </c>
      <c r="H132" s="162"/>
      <c r="J132" s="1"/>
    </row>
    <row r="133" spans="2:10" ht="23.25" x14ac:dyDescent="0.25">
      <c r="B133" s="175" t="s">
        <v>93</v>
      </c>
      <c r="C133" s="176"/>
      <c r="D133" s="43"/>
      <c r="E133" s="43"/>
      <c r="F133" s="44" t="s">
        <v>30</v>
      </c>
      <c r="G133" s="45">
        <f t="shared" si="3"/>
        <v>0</v>
      </c>
      <c r="H133" s="162"/>
      <c r="J133" s="1"/>
    </row>
    <row r="134" spans="2:10" ht="23.25" x14ac:dyDescent="0.25">
      <c r="B134" s="175" t="s">
        <v>34</v>
      </c>
      <c r="C134" s="176"/>
      <c r="D134" s="46">
        <v>2425.1</v>
      </c>
      <c r="E134" s="51">
        <v>1.6</v>
      </c>
      <c r="F134" s="44" t="s">
        <v>30</v>
      </c>
      <c r="G134" s="45">
        <f t="shared" si="3"/>
        <v>3880.16</v>
      </c>
      <c r="H134" s="162"/>
      <c r="J134" s="1"/>
    </row>
    <row r="135" spans="2:10" ht="23.25" x14ac:dyDescent="0.25">
      <c r="B135" s="175" t="s">
        <v>94</v>
      </c>
      <c r="C135" s="176"/>
      <c r="D135" s="46">
        <v>1718.79</v>
      </c>
      <c r="E135" s="51">
        <v>1.6</v>
      </c>
      <c r="F135" s="44" t="s">
        <v>30</v>
      </c>
      <c r="G135" s="45">
        <f t="shared" si="3"/>
        <v>2750.0640000000003</v>
      </c>
      <c r="H135" s="162"/>
      <c r="J135" s="1"/>
    </row>
    <row r="136" spans="2:10" ht="23.25" x14ac:dyDescent="0.25">
      <c r="B136" s="175" t="s">
        <v>36</v>
      </c>
      <c r="C136" s="176"/>
      <c r="D136" s="46">
        <v>473.91</v>
      </c>
      <c r="E136" s="51">
        <v>1.6</v>
      </c>
      <c r="F136" s="44" t="s">
        <v>30</v>
      </c>
      <c r="G136" s="45">
        <f>D136*E136</f>
        <v>758.25600000000009</v>
      </c>
      <c r="H136" s="162"/>
      <c r="J136" s="1"/>
    </row>
    <row r="137" spans="2:10" ht="24" thickBot="1" x14ac:dyDescent="0.3">
      <c r="B137" s="165" t="s">
        <v>35</v>
      </c>
      <c r="C137" s="166"/>
      <c r="D137" s="37">
        <v>320.5</v>
      </c>
      <c r="E137" s="37">
        <v>6.4</v>
      </c>
      <c r="F137" s="38" t="s">
        <v>30</v>
      </c>
      <c r="G137" s="47">
        <f>D137*E137</f>
        <v>2051.2000000000003</v>
      </c>
      <c r="H137" s="162"/>
      <c r="J137" s="1"/>
    </row>
    <row r="138" spans="2:10" ht="23.25" x14ac:dyDescent="0.25">
      <c r="B138" s="4"/>
      <c r="C138" s="20"/>
      <c r="D138" s="20"/>
      <c r="E138" s="10"/>
      <c r="F138" s="10"/>
      <c r="G138" s="3"/>
      <c r="H138" s="56"/>
      <c r="J138" s="1"/>
    </row>
    <row r="139" spans="2:10" ht="25.5" x14ac:dyDescent="0.25">
      <c r="B139" s="4"/>
      <c r="C139" s="13" t="s">
        <v>95</v>
      </c>
      <c r="D139" s="14"/>
      <c r="E139" s="4"/>
      <c r="F139" s="4"/>
      <c r="G139" s="3"/>
      <c r="H139" s="54"/>
      <c r="J139" s="1"/>
    </row>
    <row r="140" spans="2:10" ht="18.75" x14ac:dyDescent="0.25">
      <c r="B140" s="4"/>
      <c r="C140" s="177" t="s">
        <v>96</v>
      </c>
      <c r="D140" s="21" t="s">
        <v>97</v>
      </c>
      <c r="E140" s="22">
        <f>ROUND((G128+D121)/D121,2)</f>
        <v>1.0900000000000001</v>
      </c>
      <c r="F140" s="22"/>
      <c r="G140" s="5"/>
      <c r="H140" s="54"/>
      <c r="J140" s="1"/>
    </row>
    <row r="141" spans="2:10" ht="23.25" x14ac:dyDescent="0.25">
      <c r="B141" s="4"/>
      <c r="C141" s="177"/>
      <c r="D141" s="21" t="s">
        <v>98</v>
      </c>
      <c r="E141" s="22">
        <f>ROUND((G129+G130+D121)/D121,2)</f>
        <v>1.04</v>
      </c>
      <c r="F141" s="22"/>
      <c r="G141" s="11"/>
      <c r="H141" s="57"/>
      <c r="J141" s="1"/>
    </row>
    <row r="142" spans="2:10" ht="23.25" x14ac:dyDescent="0.25">
      <c r="B142" s="4"/>
      <c r="C142" s="177"/>
      <c r="D142" s="21" t="s">
        <v>99</v>
      </c>
      <c r="E142" s="22">
        <f>ROUND((G131+D121)/D121,2)</f>
        <v>1</v>
      </c>
      <c r="F142" s="5"/>
      <c r="G142" s="11"/>
      <c r="H142" s="54"/>
      <c r="J142" s="1"/>
    </row>
    <row r="143" spans="2:10" ht="23.25" x14ac:dyDescent="0.25">
      <c r="B143" s="4"/>
      <c r="C143" s="177"/>
      <c r="D143" s="23" t="s">
        <v>100</v>
      </c>
      <c r="E143" s="24">
        <f>ROUND((SUM(G132:G137)+D121)/D121,2)</f>
        <v>4.38</v>
      </c>
      <c r="F143" s="5"/>
      <c r="G143" s="11"/>
      <c r="H143" s="54"/>
      <c r="J143" s="1"/>
    </row>
    <row r="144" spans="2:10" ht="25.5" x14ac:dyDescent="0.25">
      <c r="B144" s="4"/>
      <c r="C144" s="4"/>
      <c r="D144" s="25" t="s">
        <v>101</v>
      </c>
      <c r="E144" s="26">
        <f>SUM(E140:E143)-IF(D125="сплошная",3,2)</f>
        <v>4.51</v>
      </c>
      <c r="F144" s="27"/>
      <c r="G144" s="3"/>
      <c r="H144" s="54"/>
      <c r="J144" s="1"/>
    </row>
    <row r="145" spans="2:10" ht="23.25" x14ac:dyDescent="0.25">
      <c r="B145" s="4"/>
      <c r="C145" s="4"/>
      <c r="D145" s="4"/>
      <c r="E145" s="28"/>
      <c r="F145" s="4"/>
      <c r="G145" s="3"/>
      <c r="H145" s="54"/>
      <c r="J145" s="1"/>
    </row>
    <row r="146" spans="2:10" ht="25.5" x14ac:dyDescent="0.35">
      <c r="B146" s="12"/>
      <c r="C146" s="29" t="s">
        <v>102</v>
      </c>
      <c r="D146" s="173">
        <f>E144*D121</f>
        <v>15449.455999999998</v>
      </c>
      <c r="E146" s="173"/>
      <c r="F146" s="4"/>
      <c r="G146" s="3"/>
      <c r="H146" s="54"/>
      <c r="J146" s="1"/>
    </row>
    <row r="147" spans="2:10" ht="18.75" x14ac:dyDescent="0.3">
      <c r="B147" s="4"/>
      <c r="C147" s="30" t="s">
        <v>103</v>
      </c>
      <c r="D147" s="174">
        <f>D146/D120</f>
        <v>57.690276325616125</v>
      </c>
      <c r="E147" s="174"/>
      <c r="F147" s="4"/>
      <c r="G147" s="4"/>
      <c r="H147" s="58"/>
      <c r="J147" s="1"/>
    </row>
  </sheetData>
  <sheetProtection selectLockedCells="1"/>
  <mergeCells count="96">
    <mergeCell ref="D146:E146"/>
    <mergeCell ref="D147:E147"/>
    <mergeCell ref="B127:C127"/>
    <mergeCell ref="E127:F127"/>
    <mergeCell ref="B128:C128"/>
    <mergeCell ref="B129:C129"/>
    <mergeCell ref="B130:C130"/>
    <mergeCell ref="B131:C131"/>
    <mergeCell ref="B132:C132"/>
    <mergeCell ref="B133:C133"/>
    <mergeCell ref="B134:C134"/>
    <mergeCell ref="B135:C135"/>
    <mergeCell ref="B136:C136"/>
    <mergeCell ref="B137:C137"/>
    <mergeCell ref="E120:F121"/>
    <mergeCell ref="G120:G121"/>
    <mergeCell ref="B113:H113"/>
    <mergeCell ref="B114:G114"/>
    <mergeCell ref="C140:C143"/>
    <mergeCell ref="H128:H137"/>
    <mergeCell ref="C103:C106"/>
    <mergeCell ref="D109:E109"/>
    <mergeCell ref="D110:E110"/>
    <mergeCell ref="C116:C118"/>
    <mergeCell ref="D116:G116"/>
    <mergeCell ref="D117:G117"/>
    <mergeCell ref="D118:G118"/>
    <mergeCell ref="B90:C90"/>
    <mergeCell ref="E90:F90"/>
    <mergeCell ref="B91:C91"/>
    <mergeCell ref="H91:H100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C66:C69"/>
    <mergeCell ref="D72:E72"/>
    <mergeCell ref="D73:E73"/>
    <mergeCell ref="B76:H76"/>
    <mergeCell ref="B77:G77"/>
    <mergeCell ref="C79:C81"/>
    <mergeCell ref="D79:G79"/>
    <mergeCell ref="D80:G80"/>
    <mergeCell ref="D81:G81"/>
    <mergeCell ref="E83:F84"/>
    <mergeCell ref="G83:G84"/>
    <mergeCell ref="B59:C59"/>
    <mergeCell ref="B60:C60"/>
    <mergeCell ref="B61:C61"/>
    <mergeCell ref="B62:C62"/>
    <mergeCell ref="B63:C63"/>
    <mergeCell ref="E9:F10"/>
    <mergeCell ref="G9:G10"/>
    <mergeCell ref="B16:C16"/>
    <mergeCell ref="E16:F16"/>
    <mergeCell ref="B17:C17"/>
    <mergeCell ref="H17:H26"/>
    <mergeCell ref="B18:C18"/>
    <mergeCell ref="B19:C19"/>
    <mergeCell ref="B20:C20"/>
    <mergeCell ref="B21:C21"/>
    <mergeCell ref="B2:H2"/>
    <mergeCell ref="B3:G3"/>
    <mergeCell ref="C5:C7"/>
    <mergeCell ref="D5:G5"/>
    <mergeCell ref="D6:G6"/>
    <mergeCell ref="D7:G7"/>
    <mergeCell ref="D35:E35"/>
    <mergeCell ref="D36:E36"/>
    <mergeCell ref="B22:C22"/>
    <mergeCell ref="B23:C23"/>
    <mergeCell ref="B24:C24"/>
    <mergeCell ref="B25:C25"/>
    <mergeCell ref="B26:C26"/>
    <mergeCell ref="C29:C32"/>
    <mergeCell ref="G46:G47"/>
    <mergeCell ref="B53:C53"/>
    <mergeCell ref="E53:F53"/>
    <mergeCell ref="B54:C54"/>
    <mergeCell ref="B39:H39"/>
    <mergeCell ref="B40:G40"/>
    <mergeCell ref="C42:C44"/>
    <mergeCell ref="D42:G42"/>
    <mergeCell ref="D43:G43"/>
    <mergeCell ref="D44:G44"/>
    <mergeCell ref="H54:H63"/>
    <mergeCell ref="B55:C55"/>
    <mergeCell ref="B56:C56"/>
    <mergeCell ref="B57:C57"/>
    <mergeCell ref="E46:F47"/>
    <mergeCell ref="B58:C58"/>
  </mergeCells>
  <dataValidations count="1">
    <dataValidation type="list" allowBlank="1" showInputMessage="1" showErrorMessage="1" sqref="D14 D51 D88 D125">
      <formula1>д1</formula1>
    </dataValidation>
  </dataValidations>
  <pageMargins left="0.25" right="0.25" top="0.75" bottom="0.75" header="0.3" footer="0.3"/>
  <pageSetup paperSize="9" scale="55" orientation="portrait" r:id="rId1"/>
  <rowBreaks count="3" manualBreakCount="3">
    <brk id="38" min="1" max="35" man="1"/>
    <brk id="75" min="1" max="35" man="1"/>
    <brk id="112" min="1" max="3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tabSelected="1" view="pageBreakPreview" zoomScale="85" zoomScaleNormal="85" zoomScaleSheetLayoutView="85" workbookViewId="0">
      <selection activeCell="B18" sqref="B18"/>
    </sheetView>
  </sheetViews>
  <sheetFormatPr defaultRowHeight="12.75" x14ac:dyDescent="0.2"/>
  <cols>
    <col min="1" max="1" width="4.28515625" customWidth="1"/>
    <col min="2" max="2" width="4.7109375" style="74" customWidth="1"/>
    <col min="3" max="3" width="19.140625" style="75" customWidth="1"/>
    <col min="4" max="4" width="8.7109375" style="74" customWidth="1"/>
    <col min="5" max="6" width="7.85546875" style="74" customWidth="1"/>
    <col min="7" max="7" width="8.5703125" style="75" customWidth="1"/>
    <col min="8" max="8" width="16.7109375" style="74" customWidth="1"/>
    <col min="9" max="9" width="7.5703125" style="75" customWidth="1"/>
    <col min="10" max="10" width="12.42578125" style="75" customWidth="1"/>
    <col min="11" max="11" width="12" style="76" customWidth="1"/>
    <col min="12" max="12" width="10.5703125" style="76" customWidth="1"/>
    <col min="13" max="13" width="11" style="76" customWidth="1"/>
    <col min="14" max="14" width="10.5703125" style="76" customWidth="1"/>
    <col min="15" max="15" width="11" style="76" customWidth="1"/>
    <col min="16" max="16" width="8.7109375" style="76" customWidth="1"/>
    <col min="17" max="17" width="9.42578125" style="76" customWidth="1"/>
    <col min="18" max="18" width="11.42578125" style="76" customWidth="1"/>
    <col min="19" max="19" width="12.42578125" style="76" customWidth="1"/>
    <col min="20" max="20" width="17.28515625" style="76" customWidth="1"/>
    <col min="21" max="21" width="35.28515625" hidden="1" customWidth="1"/>
    <col min="22" max="22" width="9.140625" style="1" hidden="1" customWidth="1"/>
    <col min="23" max="23" width="12.7109375" style="1" hidden="1" customWidth="1"/>
    <col min="24" max="24" width="9.140625" style="1" hidden="1" customWidth="1"/>
  </cols>
  <sheetData>
    <row r="1" spans="2:24" x14ac:dyDescent="0.2">
      <c r="B1" s="62"/>
      <c r="C1" s="62"/>
      <c r="D1" s="62"/>
      <c r="E1" s="62"/>
      <c r="F1" s="62"/>
      <c r="G1" s="62"/>
      <c r="H1" s="62"/>
      <c r="I1" s="62"/>
      <c r="J1" s="62"/>
      <c r="K1" s="63"/>
      <c r="L1" s="63"/>
      <c r="M1" s="63"/>
      <c r="N1" s="63"/>
      <c r="O1" s="63"/>
      <c r="P1" s="63"/>
      <c r="Q1" s="63"/>
      <c r="R1" s="64"/>
      <c r="S1" s="64"/>
      <c r="T1" s="64"/>
    </row>
    <row r="2" spans="2:24" x14ac:dyDescent="0.2">
      <c r="B2" s="181" t="s">
        <v>109</v>
      </c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</row>
    <row r="3" spans="2:24" x14ac:dyDescent="0.2">
      <c r="B3" s="181" t="s">
        <v>110</v>
      </c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</row>
    <row r="5" spans="2:24" ht="33" customHeight="1" x14ac:dyDescent="0.2">
      <c r="B5" s="187" t="s">
        <v>0</v>
      </c>
      <c r="C5" s="189" t="s">
        <v>1</v>
      </c>
      <c r="D5" s="187" t="s">
        <v>2</v>
      </c>
      <c r="E5" s="187" t="s">
        <v>3</v>
      </c>
      <c r="F5" s="187" t="s">
        <v>4</v>
      </c>
      <c r="G5" s="189" t="s">
        <v>5</v>
      </c>
      <c r="H5" s="187" t="s">
        <v>6</v>
      </c>
      <c r="I5" s="189" t="s">
        <v>7</v>
      </c>
      <c r="J5" s="189" t="s">
        <v>8</v>
      </c>
      <c r="K5" s="180" t="s">
        <v>9</v>
      </c>
      <c r="L5" s="180"/>
      <c r="M5" s="180"/>
      <c r="N5" s="180"/>
      <c r="O5" s="178" t="s">
        <v>10</v>
      </c>
      <c r="P5" s="178" t="s">
        <v>16</v>
      </c>
      <c r="Q5" s="178" t="s">
        <v>11</v>
      </c>
      <c r="R5" s="180" t="s">
        <v>107</v>
      </c>
      <c r="S5" s="180" t="s">
        <v>106</v>
      </c>
      <c r="T5" s="180" t="s">
        <v>108</v>
      </c>
    </row>
    <row r="6" spans="2:24" ht="24" customHeight="1" x14ac:dyDescent="0.2">
      <c r="B6" s="188"/>
      <c r="C6" s="190"/>
      <c r="D6" s="188"/>
      <c r="E6" s="188"/>
      <c r="F6" s="188"/>
      <c r="G6" s="190"/>
      <c r="H6" s="188"/>
      <c r="I6" s="190"/>
      <c r="J6" s="190"/>
      <c r="K6" s="65" t="s">
        <v>12</v>
      </c>
      <c r="L6" s="65" t="s">
        <v>13</v>
      </c>
      <c r="M6" s="65" t="s">
        <v>14</v>
      </c>
      <c r="N6" s="65" t="s">
        <v>15</v>
      </c>
      <c r="O6" s="179"/>
      <c r="P6" s="179"/>
      <c r="Q6" s="179"/>
      <c r="R6" s="180"/>
      <c r="S6" s="180"/>
      <c r="T6" s="180"/>
    </row>
    <row r="7" spans="2:24" ht="16.149999999999999" customHeight="1" x14ac:dyDescent="0.2">
      <c r="B7" s="66">
        <v>20</v>
      </c>
      <c r="C7" s="67" t="s">
        <v>151</v>
      </c>
      <c r="D7" s="66">
        <v>36</v>
      </c>
      <c r="E7" s="66">
        <v>40</v>
      </c>
      <c r="F7" s="66">
        <v>1</v>
      </c>
      <c r="G7" s="115">
        <v>3</v>
      </c>
      <c r="H7" s="66" t="s">
        <v>25</v>
      </c>
      <c r="I7" s="67" t="s">
        <v>21</v>
      </c>
      <c r="J7" s="67" t="s">
        <v>18</v>
      </c>
      <c r="K7" s="121">
        <f>INDEX(РАСЧЕТ!$B$22:$O$210,MATCH($U7,РАСЧЕТ!$O$22:$O$210,0),8)</f>
        <v>20.440000000000001</v>
      </c>
      <c r="L7" s="121">
        <f>INDEX(РАСЧЕТ!$B$22:$O$210,MATCH($U7,РАСЧЕТ!$O$22:$O$210,0),9)</f>
        <v>211.23</v>
      </c>
      <c r="M7" s="121">
        <f>INDEX(РАСЧЕТ!$B$22:$O$210,MATCH($U7,РАСЧЕТ!$O$22:$O$210,0),10)</f>
        <v>28.43</v>
      </c>
      <c r="N7" s="121">
        <f>SUBTOTAL(9,K7:M7)</f>
        <v>260.09999999999997</v>
      </c>
      <c r="O7" s="121">
        <f>INDEX(РАСЧЕТ!$B$22:$O$210,MATCH($U7,РАСЧЕТ!$O$22:$O$210,0),12)</f>
        <v>167.13</v>
      </c>
      <c r="P7" s="121"/>
      <c r="Q7" s="121">
        <f>SUM(N7:P7)</f>
        <v>427.22999999999996</v>
      </c>
      <c r="R7" s="121">
        <v>4490.8</v>
      </c>
      <c r="S7" s="68"/>
      <c r="T7" s="68" t="s">
        <v>162</v>
      </c>
      <c r="U7" t="s">
        <v>114</v>
      </c>
      <c r="V7" s="1">
        <f ca="1">OFFSET(ЛОТЫ!$E$28,5,0,1,1)</f>
        <v>3.3900000000000006</v>
      </c>
    </row>
    <row r="8" spans="2:24" ht="16.149999999999999" customHeight="1" x14ac:dyDescent="0.2">
      <c r="B8" s="66" t="s">
        <v>27</v>
      </c>
      <c r="C8" s="67"/>
      <c r="D8" s="66"/>
      <c r="E8" s="66"/>
      <c r="F8" s="66"/>
      <c r="G8" s="115"/>
      <c r="H8" s="66" t="s">
        <v>23</v>
      </c>
      <c r="I8" s="67"/>
      <c r="J8" s="67" t="s">
        <v>17</v>
      </c>
      <c r="K8" s="121">
        <f>INDEX(РАСЧЕТ!$B$22:$O$210,MATCH(U8,РАСЧЕТ!$O$22:$O$210,0),8)</f>
        <v>1.55</v>
      </c>
      <c r="L8" s="121">
        <f>INDEX(РАСЧЕТ!$B$22:$N$210,MATCH(J8,РАСЧЕТ!$H$22:$H$210,0),9)</f>
        <v>16.22</v>
      </c>
      <c r="M8" s="121">
        <f>INDEX(РАСЧЕТ!$B$22:$N$210,MATCH(J8,РАСЧЕТ!$H$22:$H$210,0),10)</f>
        <v>13.39</v>
      </c>
      <c r="N8" s="121">
        <f t="shared" ref="N8:N9" si="0">SUBTOTAL(9,K8:M8)</f>
        <v>31.16</v>
      </c>
      <c r="O8" s="121">
        <f>INDEX(РАСЧЕТ!$B$22:$N$210,MATCH(J8,РАСЧЕТ!$H$22:$H$210,0),12)</f>
        <v>15.89</v>
      </c>
      <c r="P8" s="121"/>
      <c r="Q8" s="121">
        <f t="shared" ref="Q8:Q9" si="1">SUM(N8:P8)</f>
        <v>47.05</v>
      </c>
      <c r="R8" s="121">
        <v>2264.6</v>
      </c>
      <c r="S8" s="68"/>
      <c r="T8" s="69"/>
      <c r="U8" t="s">
        <v>115</v>
      </c>
      <c r="V8" s="1">
        <f ca="1">OFFSET(ЛОТЫ!$E$28,5,0,1,1)</f>
        <v>3.3900000000000006</v>
      </c>
    </row>
    <row r="9" spans="2:24" ht="16.149999999999999" customHeight="1" x14ac:dyDescent="0.2">
      <c r="B9" s="66" t="s">
        <v>27</v>
      </c>
      <c r="C9" s="67"/>
      <c r="D9" s="66"/>
      <c r="E9" s="66"/>
      <c r="F9" s="66"/>
      <c r="G9" s="115"/>
      <c r="H9" s="66">
        <v>50</v>
      </c>
      <c r="I9" s="67"/>
      <c r="J9" s="67" t="s">
        <v>19</v>
      </c>
      <c r="K9" s="121">
        <f>INDEX(РАСЧЕТ!$B$22:$O$210,MATCH(U9,РАСЧЕТ!$O$22:$O$210,0),8)</f>
        <v>2.66</v>
      </c>
      <c r="L9" s="121">
        <f>INDEX(РАСЧЕТ!$B$22:$N$210,MATCH(J9,РАСЧЕТ!$H$22:$H$210,0),9)</f>
        <v>40.82</v>
      </c>
      <c r="M9" s="121">
        <f>INDEX(РАСЧЕТ!$B$22:$N$210,MATCH(J9,РАСЧЕТ!$H$22:$H$210,0),10)</f>
        <v>9.01</v>
      </c>
      <c r="N9" s="121">
        <f t="shared" si="0"/>
        <v>52.49</v>
      </c>
      <c r="O9" s="121">
        <f>INDEX(РАСЧЕТ!$B$22:$N$210,MATCH(J9,РАСЧЕТ!$H$22:$H$210,0),12)</f>
        <v>54.71</v>
      </c>
      <c r="P9" s="121"/>
      <c r="Q9" s="121">
        <f t="shared" si="1"/>
        <v>107.2</v>
      </c>
      <c r="R9" s="121">
        <f ca="1">OFFSET(INDEX(РАСЧЕТ!$B$22:$O$210,MATCH($U9,РАСЧЕТ!$O$22:$O$210,0),13),1,0,1,1)</f>
        <v>2627.2200000000003</v>
      </c>
      <c r="S9" s="68"/>
      <c r="T9" s="68"/>
      <c r="U9" t="s">
        <v>116</v>
      </c>
      <c r="V9" s="1">
        <f ca="1">OFFSET(ЛОТЫ!$E$28,5,0,1,1)</f>
        <v>3.3900000000000006</v>
      </c>
    </row>
    <row r="10" spans="2:24" ht="16.149999999999999" customHeight="1" x14ac:dyDescent="0.2">
      <c r="B10" s="66" t="s">
        <v>27</v>
      </c>
      <c r="C10" s="67"/>
      <c r="D10" s="66"/>
      <c r="E10" s="70"/>
      <c r="F10" s="70"/>
      <c r="G10" s="117"/>
      <c r="H10" s="66"/>
      <c r="I10" s="71"/>
      <c r="J10" s="71" t="s">
        <v>15</v>
      </c>
      <c r="K10" s="122">
        <f>SUM(K7:K9)</f>
        <v>24.650000000000002</v>
      </c>
      <c r="L10" s="122">
        <f t="shared" ref="L10:R10" si="2">SUM(L7:L9)</f>
        <v>268.27</v>
      </c>
      <c r="M10" s="122">
        <f t="shared" si="2"/>
        <v>50.83</v>
      </c>
      <c r="N10" s="122">
        <f t="shared" si="2"/>
        <v>343.75</v>
      </c>
      <c r="O10" s="122">
        <f t="shared" si="2"/>
        <v>237.73</v>
      </c>
      <c r="P10" s="122">
        <f t="shared" si="2"/>
        <v>0</v>
      </c>
      <c r="Q10" s="122">
        <f t="shared" si="2"/>
        <v>581.48</v>
      </c>
      <c r="R10" s="122">
        <f t="shared" ca="1" si="2"/>
        <v>9382.619999999999</v>
      </c>
      <c r="S10" s="72">
        <f ca="1">W10</f>
        <v>31807.014000000006</v>
      </c>
      <c r="T10" s="72"/>
      <c r="U10" t="s">
        <v>117</v>
      </c>
      <c r="V10" s="1">
        <f ca="1">OFFSET(ЛОТЫ!$E$26,X10,0,1,1)</f>
        <v>3.3900000000000006</v>
      </c>
      <c r="W10" s="1">
        <f ca="1">OFFSET(ЛОТЫ!$E$28,X10,-1,1,1)</f>
        <v>31807.014000000006</v>
      </c>
      <c r="X10" s="1">
        <v>7</v>
      </c>
    </row>
    <row r="11" spans="2:24" ht="16.149999999999999" customHeight="1" x14ac:dyDescent="0.2">
      <c r="B11" s="66">
        <v>21</v>
      </c>
      <c r="C11" s="67" t="s">
        <v>151</v>
      </c>
      <c r="D11" s="66">
        <v>36</v>
      </c>
      <c r="E11" s="66">
        <v>40</v>
      </c>
      <c r="F11" s="66">
        <v>2</v>
      </c>
      <c r="G11" s="115">
        <v>1.3</v>
      </c>
      <c r="H11" s="66" t="s">
        <v>25</v>
      </c>
      <c r="I11" s="67" t="s">
        <v>21</v>
      </c>
      <c r="J11" s="67" t="s">
        <v>18</v>
      </c>
      <c r="K11" s="121">
        <f>INDEX(РАСЧЕТ!$B$22:$O$210,MATCH($U11,РАСЧЕТ!$O$22:$O$210,0),8)</f>
        <v>5.84</v>
      </c>
      <c r="L11" s="121">
        <f>INDEX(РАСЧЕТ!$B$22:$O$210,MATCH($U11,РАСЧЕТ!$O$22:$O$210,0),9)</f>
        <v>83.35</v>
      </c>
      <c r="M11" s="121">
        <f>INDEX(РАСЧЕТ!$B$22:$O$210,MATCH($U11,РАСЧЕТ!$O$22:$O$210,0),10)</f>
        <v>12.78</v>
      </c>
      <c r="N11" s="121">
        <f t="shared" ref="N11:N12" si="3">SUBTOTAL(9,K11:M11)</f>
        <v>101.97</v>
      </c>
      <c r="O11" s="121">
        <f>INDEX(РАСЧЕТ!$B$22:$O$210,MATCH($U11,РАСЧЕТ!$O$22:$O$210,0),12)</f>
        <v>67.599999999999994</v>
      </c>
      <c r="P11" s="121"/>
      <c r="Q11" s="121">
        <f t="shared" ref="Q11:Q12" si="4">SUM(N11:P11)</f>
        <v>169.57</v>
      </c>
      <c r="R11" s="121">
        <f ca="1">OFFSET(INDEX(РАСЧЕТ!$B$22:$O$210,MATCH($U11,РАСЧЕТ!$O$22:$O$210,0),13),1,0,1,1)</f>
        <v>1736.0099999999998</v>
      </c>
      <c r="S11" s="68"/>
      <c r="T11" s="68" t="s">
        <v>162</v>
      </c>
      <c r="U11" t="s">
        <v>118</v>
      </c>
    </row>
    <row r="12" spans="2:24" ht="16.149999999999999" customHeight="1" x14ac:dyDescent="0.2">
      <c r="B12" s="66" t="s">
        <v>27</v>
      </c>
      <c r="C12" s="67"/>
      <c r="D12" s="66"/>
      <c r="E12" s="66"/>
      <c r="F12" s="66"/>
      <c r="G12" s="115"/>
      <c r="H12" s="66" t="s">
        <v>23</v>
      </c>
      <c r="I12" s="67"/>
      <c r="J12" s="67" t="s">
        <v>17</v>
      </c>
      <c r="K12" s="121">
        <f>INDEX(РАСЧЕТ!$B$22:$O$210,MATCH($U12,РАСЧЕТ!$O$22:$O$210,0),8)</f>
        <v>1.04</v>
      </c>
      <c r="L12" s="121">
        <f>INDEX(РАСЧЕТ!$B$22:$O$210,MATCH($U12,РАСЧЕТ!$O$22:$O$210,0),9)</f>
        <v>8.14</v>
      </c>
      <c r="M12" s="121">
        <f>INDEX(РАСЧЕТ!$B$22:$O$210,MATCH($U12,РАСЧЕТ!$O$22:$O$210,0),10)</f>
        <v>7.56</v>
      </c>
      <c r="N12" s="121">
        <f t="shared" si="3"/>
        <v>16.739999999999998</v>
      </c>
      <c r="O12" s="121">
        <f>INDEX(РАСЧЕТ!$B$22:$O$210,MATCH($U12,РАСЧЕТ!$O$22:$O$210,0),12)</f>
        <v>12.99</v>
      </c>
      <c r="P12" s="121"/>
      <c r="Q12" s="121">
        <f t="shared" si="4"/>
        <v>29.729999999999997</v>
      </c>
      <c r="R12" s="121">
        <f ca="1">OFFSET(INDEX(РАСЧЕТ!$B$22:$O$210,MATCH($U12,РАСЧЕТ!$O$22:$O$210,0),13),1,0,1,1)</f>
        <v>1238.78</v>
      </c>
      <c r="S12" s="68"/>
      <c r="T12" s="68"/>
      <c r="U12" t="s">
        <v>119</v>
      </c>
    </row>
    <row r="13" spans="2:24" ht="16.149999999999999" customHeight="1" x14ac:dyDescent="0.2">
      <c r="B13" s="66"/>
      <c r="C13" s="67"/>
      <c r="D13" s="66"/>
      <c r="E13" s="66"/>
      <c r="F13" s="66"/>
      <c r="G13" s="115"/>
      <c r="H13" s="66">
        <v>50</v>
      </c>
      <c r="I13" s="67"/>
      <c r="J13" s="67" t="s">
        <v>163</v>
      </c>
      <c r="K13" s="121">
        <v>0.2</v>
      </c>
      <c r="L13" s="121">
        <v>21.15</v>
      </c>
      <c r="M13" s="121">
        <v>6.47</v>
      </c>
      <c r="N13" s="121">
        <v>27.82</v>
      </c>
      <c r="O13" s="121">
        <v>20.63</v>
      </c>
      <c r="P13" s="121"/>
      <c r="Q13" s="121">
        <v>48.45</v>
      </c>
      <c r="R13" s="121">
        <v>1314</v>
      </c>
      <c r="S13" s="68"/>
      <c r="T13" s="68"/>
    </row>
    <row r="14" spans="2:24" ht="16.149999999999999" customHeight="1" x14ac:dyDescent="0.2">
      <c r="B14" s="66" t="s">
        <v>27</v>
      </c>
      <c r="C14" s="67"/>
      <c r="D14" s="66"/>
      <c r="E14" s="70"/>
      <c r="F14" s="70"/>
      <c r="G14" s="117"/>
      <c r="H14" s="66"/>
      <c r="I14" s="71"/>
      <c r="J14" s="71" t="s">
        <v>15</v>
      </c>
      <c r="K14" s="122">
        <f>SUM(K11:K13)</f>
        <v>7.08</v>
      </c>
      <c r="L14" s="122">
        <f>SUM(L11:L13)</f>
        <v>112.63999999999999</v>
      </c>
      <c r="M14" s="122">
        <f>SUM(M11:M13)</f>
        <v>26.81</v>
      </c>
      <c r="N14" s="122">
        <f>SUM(N11:N13)</f>
        <v>146.53</v>
      </c>
      <c r="O14" s="122">
        <f>SUM(O11:O13)</f>
        <v>101.21999999999998</v>
      </c>
      <c r="P14" s="122">
        <f t="shared" ref="P14" si="5">SUM(P11:P12)</f>
        <v>0</v>
      </c>
      <c r="Q14" s="122">
        <f>SUM(Q11:Q13)</f>
        <v>247.75</v>
      </c>
      <c r="R14" s="122">
        <f ca="1">SUM(R11:R13)</f>
        <v>4288.79</v>
      </c>
      <c r="S14" s="72">
        <f ca="1">W14</f>
        <v>14067.263999999997</v>
      </c>
      <c r="T14" s="72"/>
      <c r="U14" t="s">
        <v>120</v>
      </c>
      <c r="V14" s="1">
        <f ca="1">OFFSET(ЛОТЫ!$E$26,X14,0,1,1)</f>
        <v>3.2799999999999994</v>
      </c>
      <c r="W14" s="1">
        <f ca="1">OFFSET(ЛОТЫ!$E$28,X14,-1,1,1)</f>
        <v>14067.263999999997</v>
      </c>
      <c r="X14" s="1">
        <f>X10+37</f>
        <v>44</v>
      </c>
    </row>
    <row r="15" spans="2:24" ht="16.149999999999999" customHeight="1" x14ac:dyDescent="0.2">
      <c r="B15" s="66">
        <v>22</v>
      </c>
      <c r="C15" s="67" t="s">
        <v>152</v>
      </c>
      <c r="D15" s="66">
        <v>25</v>
      </c>
      <c r="E15" s="66">
        <v>22</v>
      </c>
      <c r="F15" s="66">
        <v>1</v>
      </c>
      <c r="G15" s="115">
        <v>3.3</v>
      </c>
      <c r="H15" s="66" t="s">
        <v>25</v>
      </c>
      <c r="I15" s="67" t="s">
        <v>21</v>
      </c>
      <c r="J15" s="67" t="s">
        <v>18</v>
      </c>
      <c r="K15" s="121">
        <f>INDEX(РАСЧЕТ!$B$22:$O$210,MATCH($U15,РАСЧЕТ!$O$22:$O$210,0),8)</f>
        <v>113.87</v>
      </c>
      <c r="L15" s="121">
        <f>INDEX(РАСЧЕТ!$B$22:$O$210,MATCH($U15,РАСЧЕТ!$O$22:$O$210,0),9)</f>
        <v>116.42</v>
      </c>
      <c r="M15" s="121">
        <f>INDEX(РАСЧЕТ!$B$22:$O$210,MATCH($U15,РАСЧЕТ!$O$22:$O$210,0),10)</f>
        <v>5.08</v>
      </c>
      <c r="N15" s="121">
        <f t="shared" ref="N15:N16" si="6">SUBTOTAL(9,K15:M15)</f>
        <v>235.37000000000003</v>
      </c>
      <c r="O15" s="121">
        <f>INDEX(РАСЧЕТ!$B$22:$O$210,MATCH($U15,РАСЧЕТ!$O$22:$O$210,0),12)</f>
        <v>302.68</v>
      </c>
      <c r="P15" s="121"/>
      <c r="Q15" s="121">
        <f t="shared" ref="Q15:Q16" si="7">SUM(N15:P15)</f>
        <v>538.05000000000007</v>
      </c>
      <c r="R15" s="121">
        <f ca="1">OFFSET(INDEX(РАСЧЕТ!$B$22:$O$210,MATCH($U15,РАСЧЕТ!$O$22:$O$210,0),13),1,0,1,1)</f>
        <v>4844.0099</v>
      </c>
      <c r="S15" s="68"/>
      <c r="T15" s="68" t="s">
        <v>164</v>
      </c>
      <c r="U15" t="s">
        <v>121</v>
      </c>
    </row>
    <row r="16" spans="2:24" ht="16.149999999999999" customHeight="1" x14ac:dyDescent="0.2">
      <c r="B16" s="66" t="s">
        <v>27</v>
      </c>
      <c r="C16" s="67"/>
      <c r="D16" s="66"/>
      <c r="E16" s="66"/>
      <c r="F16" s="66"/>
      <c r="G16" s="115"/>
      <c r="H16" s="66" t="s">
        <v>159</v>
      </c>
      <c r="I16" s="67"/>
      <c r="J16" s="67" t="s">
        <v>19</v>
      </c>
      <c r="K16" s="121">
        <f>INDEX(РАСЧЕТ!$B$22:$O$210,MATCH($U16,РАСЧЕТ!$O$22:$O$210,0),8)</f>
        <v>3.54</v>
      </c>
      <c r="L16" s="121">
        <f>INDEX(РАСЧЕТ!$B$22:$O$210,MATCH($U16,РАСЧЕТ!$O$22:$O$210,0),9)</f>
        <v>27.32</v>
      </c>
      <c r="M16" s="121">
        <f>INDEX(РАСЧЕТ!$B$22:$O$210,MATCH($U16,РАСЧЕТ!$O$22:$O$210,0),10)</f>
        <v>7.49</v>
      </c>
      <c r="N16" s="121">
        <f t="shared" si="6"/>
        <v>38.35</v>
      </c>
      <c r="O16" s="121">
        <f>INDEX(РАСЧЕТ!$B$22:$O$210,MATCH($U16,РАСЧЕТ!$O$22:$O$210,0),12)</f>
        <v>65.47</v>
      </c>
      <c r="P16" s="121"/>
      <c r="Q16" s="121">
        <f t="shared" si="7"/>
        <v>103.82</v>
      </c>
      <c r="R16" s="121">
        <f ca="1">OFFSET(INDEX(РАСЧЕТ!$B$22:$O$210,MATCH($U16,РАСЧЕТ!$O$22:$O$210,0),13),1,0,1,1)</f>
        <v>1963.9865</v>
      </c>
      <c r="S16" s="68"/>
      <c r="T16" s="68"/>
      <c r="U16" t="s">
        <v>123</v>
      </c>
    </row>
    <row r="17" spans="2:27" ht="16.149999999999999" customHeight="1" x14ac:dyDescent="0.2">
      <c r="B17" s="66" t="s">
        <v>27</v>
      </c>
      <c r="C17" s="67"/>
      <c r="D17" s="66"/>
      <c r="E17" s="70"/>
      <c r="F17" s="70"/>
      <c r="G17" s="117"/>
      <c r="H17" s="66">
        <v>55</v>
      </c>
      <c r="I17" s="71"/>
      <c r="J17" s="71" t="s">
        <v>15</v>
      </c>
      <c r="K17" s="122">
        <f t="shared" ref="K17:R17" si="8">SUM(K15:K16)</f>
        <v>117.41000000000001</v>
      </c>
      <c r="L17" s="122">
        <f t="shared" si="8"/>
        <v>143.74</v>
      </c>
      <c r="M17" s="122">
        <f t="shared" si="8"/>
        <v>12.57</v>
      </c>
      <c r="N17" s="122">
        <f t="shared" si="8"/>
        <v>273.72000000000003</v>
      </c>
      <c r="O17" s="122">
        <f t="shared" si="8"/>
        <v>368.15</v>
      </c>
      <c r="P17" s="122">
        <f t="shared" si="8"/>
        <v>0</v>
      </c>
      <c r="Q17" s="122">
        <f t="shared" si="8"/>
        <v>641.87000000000012</v>
      </c>
      <c r="R17" s="122">
        <f t="shared" ca="1" si="8"/>
        <v>6807.9964</v>
      </c>
      <c r="S17" s="72">
        <f ca="1">W17</f>
        <v>31725.280000000002</v>
      </c>
      <c r="T17" s="72"/>
      <c r="U17" t="s">
        <v>124</v>
      </c>
      <c r="V17" s="1">
        <f ca="1">OFFSET(ЛОТЫ!$E$26,X17,0,1,1)</f>
        <v>4.66</v>
      </c>
      <c r="W17" s="1">
        <f ca="1">OFFSET(ЛОТЫ!$E$28,X17,-1,1,1)</f>
        <v>31725.280000000002</v>
      </c>
      <c r="X17" s="1">
        <v>81</v>
      </c>
    </row>
    <row r="18" spans="2:27" ht="16.149999999999999" customHeight="1" x14ac:dyDescent="0.2">
      <c r="B18" s="66">
        <v>23</v>
      </c>
      <c r="C18" s="67" t="s">
        <v>153</v>
      </c>
      <c r="D18" s="66">
        <v>85</v>
      </c>
      <c r="E18" s="66">
        <v>3</v>
      </c>
      <c r="F18" s="66">
        <v>1</v>
      </c>
      <c r="G18" s="115">
        <v>1.6</v>
      </c>
      <c r="H18" s="66" t="s">
        <v>29</v>
      </c>
      <c r="I18" s="67" t="s">
        <v>21</v>
      </c>
      <c r="J18" s="67" t="s">
        <v>18</v>
      </c>
      <c r="K18" s="121">
        <f>INDEX(РАСЧЕТ!$B$22:$O$210,MATCH($U18,РАСЧЕТ!$O$22:$O$210,0),8)</f>
        <v>32.31</v>
      </c>
      <c r="L18" s="121">
        <f>INDEX(РАСЧЕТ!$B$22:$O$210,MATCH($U18,РАСЧЕТ!$O$22:$O$210,0),9)</f>
        <v>92.82</v>
      </c>
      <c r="M18" s="121">
        <f>INDEX(РАСЧЕТ!$B$22:$O$210,MATCH($U18,РАСЧЕТ!$O$22:$O$210,0),10)</f>
        <v>4.04</v>
      </c>
      <c r="N18" s="121">
        <f t="shared" ref="N18:N20" si="9">SUBTOTAL(9,K18:M18)</f>
        <v>129.16999999999999</v>
      </c>
      <c r="O18" s="121">
        <f>INDEX(РАСЧЕТ!$B$22:$O$210,MATCH($U18,РАСЧЕТ!$O$22:$O$210,0),12)</f>
        <v>85.37</v>
      </c>
      <c r="P18" s="121"/>
      <c r="Q18" s="121">
        <f t="shared" ref="Q18:Q20" si="10">SUM(N18:P18)</f>
        <v>214.54</v>
      </c>
      <c r="R18" s="121">
        <f ca="1">OFFSET(INDEX(РАСЧЕТ!$B$22:$O$210,MATCH($U18,РАСЧЕТ!$O$22:$O$210,0),13),1,0,1,1)</f>
        <v>2438.0483999999997</v>
      </c>
      <c r="S18" s="68"/>
      <c r="T18" s="73" t="s">
        <v>165</v>
      </c>
      <c r="U18" t="s">
        <v>125</v>
      </c>
    </row>
    <row r="19" spans="2:27" ht="16.149999999999999" customHeight="1" x14ac:dyDescent="0.2">
      <c r="B19" s="66" t="s">
        <v>27</v>
      </c>
      <c r="C19" s="67"/>
      <c r="D19" s="66"/>
      <c r="E19" s="70"/>
      <c r="F19" s="70"/>
      <c r="G19" s="117"/>
      <c r="H19" s="66" t="s">
        <v>23</v>
      </c>
      <c r="I19" s="71"/>
      <c r="J19" s="67" t="s">
        <v>17</v>
      </c>
      <c r="K19" s="121">
        <f>INDEX(РАСЧЕТ!$B$22:$O$210,MATCH($U19,РАСЧЕТ!$O$22:$O$210,0),8)</f>
        <v>0.3</v>
      </c>
      <c r="L19" s="121">
        <f>INDEX(РАСЧЕТ!$B$22:$O$210,MATCH($U19,РАСЧЕТ!$O$22:$O$210,0),9)</f>
        <v>1.75</v>
      </c>
      <c r="M19" s="121">
        <f>INDEX(РАСЧЕТ!$B$22:$O$210,MATCH($U19,РАСЧЕТ!$O$22:$O$210,0),10)</f>
        <v>0</v>
      </c>
      <c r="N19" s="121">
        <f t="shared" si="9"/>
        <v>2.0499999999999998</v>
      </c>
      <c r="O19" s="121">
        <f>INDEX(РАСЧЕТ!$B$22:$O$210,MATCH($U19,РАСЧЕТ!$O$22:$O$210,0),12)</f>
        <v>7.14</v>
      </c>
      <c r="P19" s="121"/>
      <c r="Q19" s="121">
        <f t="shared" si="10"/>
        <v>9.19</v>
      </c>
      <c r="R19" s="121">
        <f ca="1">OFFSET(INDEX(РАСЧЕТ!$B$22:$O$210,MATCH($U19,РАСЧЕТ!$O$22:$O$210,0),13),1,0,1,1)</f>
        <v>234.78899999999999</v>
      </c>
      <c r="S19" s="68"/>
      <c r="T19" s="68"/>
      <c r="U19" t="s">
        <v>126</v>
      </c>
    </row>
    <row r="20" spans="2:27" ht="16.149999999999999" customHeight="1" x14ac:dyDescent="0.2">
      <c r="B20" s="66"/>
      <c r="C20" s="67"/>
      <c r="D20" s="66"/>
      <c r="E20" s="70"/>
      <c r="F20" s="70"/>
      <c r="G20" s="117"/>
      <c r="H20" s="66">
        <v>55</v>
      </c>
      <c r="I20" s="71"/>
      <c r="J20" s="67" t="s">
        <v>19</v>
      </c>
      <c r="K20" s="121">
        <f>INDEX(РАСЧЕТ!$B$22:$O$210,MATCH($U20,РАСЧЕТ!$O$22:$O$210,0),8)</f>
        <v>0.1</v>
      </c>
      <c r="L20" s="121">
        <f>INDEX(РАСЧЕТ!$B$22:$O$210,MATCH($U20,РАСЧЕТ!$O$22:$O$210,0),9)</f>
        <v>11.65</v>
      </c>
      <c r="M20" s="121">
        <f>INDEX(РАСЧЕТ!$B$22:$O$210,MATCH($U20,РАСЧЕТ!$O$22:$O$210,0),10)</f>
        <v>3.76</v>
      </c>
      <c r="N20" s="121">
        <f t="shared" si="9"/>
        <v>15.51</v>
      </c>
      <c r="O20" s="121">
        <f>INDEX(РАСЧЕТ!$B$22:$O$210,MATCH($U20,РАСЧЕТ!$O$22:$O$210,0),12)</f>
        <v>28.51</v>
      </c>
      <c r="P20" s="121"/>
      <c r="Q20" s="121">
        <f t="shared" si="10"/>
        <v>44.02</v>
      </c>
      <c r="R20" s="121">
        <f ca="1">OFFSET(INDEX(РАСЧЕТ!$B$22:$O$210,MATCH($U20,РАСЧЕТ!$O$22:$O$210,0),13),1,0,1,1)</f>
        <v>752.79570000000001</v>
      </c>
      <c r="S20" s="68"/>
      <c r="T20" s="68"/>
      <c r="U20" t="s">
        <v>127</v>
      </c>
    </row>
    <row r="21" spans="2:27" ht="16.149999999999999" customHeight="1" x14ac:dyDescent="0.2">
      <c r="B21" s="66" t="s">
        <v>27</v>
      </c>
      <c r="C21" s="67"/>
      <c r="D21" s="66"/>
      <c r="E21" s="66"/>
      <c r="F21" s="66"/>
      <c r="G21" s="115"/>
      <c r="H21" s="66"/>
      <c r="I21" s="67"/>
      <c r="J21" s="71" t="s">
        <v>15</v>
      </c>
      <c r="K21" s="122">
        <f>SUM(K18:K20)</f>
        <v>32.71</v>
      </c>
      <c r="L21" s="122">
        <f t="shared" ref="L21:R21" si="11">SUM(L18:L20)</f>
        <v>106.22</v>
      </c>
      <c r="M21" s="122">
        <f t="shared" si="11"/>
        <v>7.8</v>
      </c>
      <c r="N21" s="122">
        <f t="shared" si="11"/>
        <v>146.72999999999999</v>
      </c>
      <c r="O21" s="122">
        <f t="shared" si="11"/>
        <v>121.02000000000001</v>
      </c>
      <c r="P21" s="122">
        <f t="shared" si="11"/>
        <v>0</v>
      </c>
      <c r="Q21" s="122">
        <f t="shared" si="11"/>
        <v>267.75</v>
      </c>
      <c r="R21" s="122">
        <f t="shared" ca="1" si="11"/>
        <v>3425.6330999999996</v>
      </c>
      <c r="S21" s="72">
        <v>15449.46</v>
      </c>
      <c r="T21" s="72"/>
      <c r="U21" t="s">
        <v>128</v>
      </c>
      <c r="V21" s="1">
        <f ca="1">OFFSET(ЛОТЫ!$E$26,X21,0,1,1)</f>
        <v>0</v>
      </c>
      <c r="W21" s="1">
        <f ca="1">OFFSET(ЛОТЫ!$E$28,X21,-1,1,1)</f>
        <v>0</v>
      </c>
      <c r="X21" s="1">
        <v>155</v>
      </c>
    </row>
    <row r="22" spans="2:27" ht="16.149999999999999" customHeight="1" x14ac:dyDescent="0.2">
      <c r="B22" s="66"/>
      <c r="C22" s="71"/>
      <c r="D22" s="70" t="s">
        <v>20</v>
      </c>
      <c r="E22" s="70"/>
      <c r="F22" s="70"/>
      <c r="G22" s="117">
        <f>SUM(G7:G21)</f>
        <v>9.1999999999999993</v>
      </c>
      <c r="H22" s="66"/>
      <c r="I22" s="71"/>
      <c r="J22" s="71"/>
      <c r="K22" s="122">
        <f>K10+K14+K17+K21</f>
        <v>181.85000000000002</v>
      </c>
      <c r="L22" s="122">
        <f>L10+L14+L17+L21</f>
        <v>630.87</v>
      </c>
      <c r="M22" s="122">
        <f>M10+M14+M17+M21</f>
        <v>98.01</v>
      </c>
      <c r="N22" s="122">
        <f>N10+N14+N17+N21</f>
        <v>910.73</v>
      </c>
      <c r="O22" s="122">
        <f>O10+O14+O17+O21</f>
        <v>828.11999999999989</v>
      </c>
      <c r="P22" s="122"/>
      <c r="Q22" s="122">
        <f>Q10+Q14+Q17+Q21</f>
        <v>1738.8500000000001</v>
      </c>
      <c r="R22" s="122">
        <f ca="1">R10+R14+R17+R21</f>
        <v>23905.039499999999</v>
      </c>
      <c r="S22" s="72">
        <f ca="1">S10+S14+S17+S21</f>
        <v>93049.018000000011</v>
      </c>
      <c r="T22" s="72"/>
      <c r="U22" t="s">
        <v>129</v>
      </c>
      <c r="Z22" s="113"/>
      <c r="AA22" s="114"/>
    </row>
    <row r="23" spans="2:27" x14ac:dyDescent="0.2">
      <c r="U23" t="s">
        <v>129</v>
      </c>
      <c r="Z23" s="113"/>
      <c r="AA23" s="114"/>
    </row>
    <row r="24" spans="2:27" x14ac:dyDescent="0.2">
      <c r="C24" s="77"/>
      <c r="D24" s="78"/>
      <c r="E24" s="78"/>
      <c r="F24" s="78" t="s">
        <v>111</v>
      </c>
      <c r="G24" s="77"/>
      <c r="H24" s="77"/>
      <c r="I24" s="77"/>
      <c r="J24" s="79"/>
      <c r="K24" s="78"/>
      <c r="L24" s="78"/>
      <c r="M24" s="78"/>
      <c r="N24" s="78"/>
      <c r="O24" s="77" t="s">
        <v>170</v>
      </c>
      <c r="P24" s="78"/>
      <c r="Q24" s="78"/>
      <c r="R24" s="80"/>
      <c r="U24" t="s">
        <v>129</v>
      </c>
      <c r="Z24" s="113"/>
      <c r="AA24" s="114"/>
    </row>
    <row r="25" spans="2:27" x14ac:dyDescent="0.2">
      <c r="C25" s="77"/>
      <c r="D25" s="78"/>
      <c r="E25" s="78"/>
      <c r="F25" s="78"/>
      <c r="G25" s="77"/>
      <c r="H25" s="77"/>
      <c r="I25" s="77"/>
      <c r="J25" s="79"/>
      <c r="K25" s="78"/>
      <c r="L25" s="78"/>
      <c r="M25" s="78"/>
      <c r="N25" s="78"/>
      <c r="O25" s="78"/>
      <c r="P25" s="78"/>
      <c r="Q25" s="78"/>
      <c r="R25" s="80"/>
      <c r="Z25" s="113"/>
      <c r="AA25" s="114"/>
    </row>
    <row r="26" spans="2:27" ht="12.75" customHeight="1" x14ac:dyDescent="0.2">
      <c r="C26" s="182" t="s">
        <v>112</v>
      </c>
      <c r="D26" s="183"/>
      <c r="E26" s="183"/>
      <c r="F26" s="183"/>
      <c r="G26" s="184" t="s">
        <v>113</v>
      </c>
      <c r="H26" s="184"/>
      <c r="I26" s="184"/>
      <c r="J26" s="81"/>
      <c r="K26" s="82"/>
      <c r="L26" s="78"/>
      <c r="M26" s="78"/>
      <c r="N26" s="78" t="s">
        <v>171</v>
      </c>
      <c r="O26" s="78"/>
      <c r="P26" s="78"/>
      <c r="Q26" s="78"/>
      <c r="R26" s="80"/>
      <c r="Z26" s="113"/>
      <c r="AA26" s="114"/>
    </row>
    <row r="27" spans="2:27" x14ac:dyDescent="0.2">
      <c r="C27" s="183"/>
      <c r="D27" s="183"/>
      <c r="E27" s="183"/>
      <c r="F27" s="183"/>
      <c r="G27" s="77"/>
      <c r="H27" s="77"/>
      <c r="I27" s="77"/>
      <c r="J27" s="79"/>
      <c r="K27" s="78"/>
      <c r="L27" s="185"/>
      <c r="M27" s="186"/>
      <c r="N27" s="186"/>
      <c r="O27" s="78"/>
      <c r="P27" s="78"/>
      <c r="Q27" s="78"/>
      <c r="R27" s="80"/>
      <c r="Z27" s="113"/>
      <c r="AA27" s="114"/>
    </row>
    <row r="28" spans="2:27" x14ac:dyDescent="0.2">
      <c r="C28" s="83"/>
      <c r="D28" s="84"/>
      <c r="E28" s="84"/>
      <c r="F28" s="84"/>
      <c r="M28" s="85"/>
      <c r="N28" s="85"/>
      <c r="Z28" s="113"/>
      <c r="AA28" s="114"/>
    </row>
    <row r="29" spans="2:27" x14ac:dyDescent="0.2">
      <c r="Z29" s="113"/>
      <c r="AA29" s="114"/>
    </row>
    <row r="30" spans="2:27" x14ac:dyDescent="0.2">
      <c r="Z30" s="113"/>
    </row>
  </sheetData>
  <sheetProtection selectLockedCells="1" autoFilter="0"/>
  <sortState ref="C10:R385">
    <sortCondition ref="C385"/>
  </sortState>
  <mergeCells count="21">
    <mergeCell ref="T5:T6"/>
    <mergeCell ref="B3:T3"/>
    <mergeCell ref="B2:T2"/>
    <mergeCell ref="C26:F27"/>
    <mergeCell ref="G26:I26"/>
    <mergeCell ref="L27:N27"/>
    <mergeCell ref="B5:B6"/>
    <mergeCell ref="C5:C6"/>
    <mergeCell ref="D5:D6"/>
    <mergeCell ref="E5:E6"/>
    <mergeCell ref="F5:F6"/>
    <mergeCell ref="K5:N5"/>
    <mergeCell ref="G5:G6"/>
    <mergeCell ref="H5:H6"/>
    <mergeCell ref="I5:I6"/>
    <mergeCell ref="J5:J6"/>
    <mergeCell ref="O5:O6"/>
    <mergeCell ref="P5:P6"/>
    <mergeCell ref="Q5:Q6"/>
    <mergeCell ref="R5:R6"/>
    <mergeCell ref="S5:S6"/>
  </mergeCells>
  <pageMargins left="0" right="0" top="0" bottom="0" header="0.31496062992125984" footer="0.31496062992125984"/>
  <pageSetup paperSize="9" scale="70" orientation="landscape" r:id="rId1"/>
  <colBreaks count="1" manualBreakCount="1">
    <brk id="20" max="88" man="1"/>
  </colBreaks>
  <ignoredErrors>
    <ignoredError sqref="K8:Q9 K11:R12 K7:Q7 R9" unlockedFormula="1"/>
    <ignoredError sqref="K15:R15 P14 K16:R17 K18:R21" formula="1" unlockedFormula="1"/>
    <ignoredError sqref="N10:R10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36" sqref="F36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РАСЧЕТ</vt:lpstr>
      <vt:lpstr>ЛОТЫ</vt:lpstr>
      <vt:lpstr>Извещение</vt:lpstr>
      <vt:lpstr>Лист1</vt:lpstr>
      <vt:lpstr>Извещение!Заголовки_для_печати</vt:lpstr>
      <vt:lpstr>Извещение!Область_печати</vt:lpstr>
      <vt:lpstr>ЛОТЫ!Область_печати</vt:lpstr>
      <vt:lpstr>РАСЧЕТ!Область_печати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Гельшат Р. Салихова</cp:lastModifiedBy>
  <cp:lastPrinted>2017-09-04T11:32:13Z</cp:lastPrinted>
  <dcterms:created xsi:type="dcterms:W3CDTF">1996-10-08T23:32:33Z</dcterms:created>
  <dcterms:modified xsi:type="dcterms:W3CDTF">2017-09-11T13:02:00Z</dcterms:modified>
</cp:coreProperties>
</file>