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codeName="ЭтаКнига" defaultThemeVersion="124226"/>
  <bookViews>
    <workbookView xWindow="120" yWindow="960" windowWidth="9720" windowHeight="6480" activeTab="1"/>
  </bookViews>
  <sheets>
    <sheet name="РАСЧЕТ" sheetId="19" r:id="rId1"/>
    <sheet name="ЛОТЫ" sheetId="20" r:id="rId2"/>
    <sheet name="Ведомость расчета мин. платы" sheetId="11" r:id="rId3"/>
    <sheet name="Коэффициенты" sheetId="10" r:id="rId4"/>
    <sheet name="Такс. опис." sheetId="13" state="hidden" r:id="rId5"/>
    <sheet name="свод 2016-2017 для архива" sheetId="21" state="hidden" r:id="rId6"/>
    <sheet name="СВОД (добавлять суда участкм)" sheetId="22" state="hidden" r:id="rId7"/>
    <sheet name="Пер. черновик" sheetId="23" state="hidden" r:id="rId8"/>
    <sheet name="Периметр" sheetId="24" state="hidden" r:id="rId9"/>
    <sheet name="Акт" sheetId="26" r:id="rId10"/>
  </sheets>
  <externalReferences>
    <externalReference r:id="rId11"/>
  </externalReferences>
  <definedNames>
    <definedName name="_xlnm._FilterDatabase" localSheetId="2" hidden="1">'Ведомость расчета мин. платы'!$B$8:$AI$209</definedName>
    <definedName name="_xlnm._FilterDatabase" localSheetId="3" hidden="1">Коэффициенты!$B$2:$O$2</definedName>
    <definedName name="_xlnm._FilterDatabase" localSheetId="1" hidden="1">ЛОТЫ!$AA$5:$AB$963</definedName>
    <definedName name="_xlnm._FilterDatabase" localSheetId="0" hidden="1">РАСЧЕТ!$P$23:$P$275</definedName>
    <definedName name="_xlnm._FilterDatabase" localSheetId="4" hidden="1">'Такс. опис.'!$A$4:$BY$50</definedName>
    <definedName name="д1">'[1]Расчет стоимости по Методике'!$K$1:$K$2</definedName>
    <definedName name="ЛУ">#REF!</definedName>
    <definedName name="_xlnm.Print_Area" localSheetId="9">Акт!$C$1:$O$363</definedName>
    <definedName name="_xlnm.Print_Area" localSheetId="3">Коэффициенты!$B$1:$R$61</definedName>
    <definedName name="_xlnm.Print_Area" localSheetId="1">ЛОТЫ!$B$1:$AA$2073</definedName>
    <definedName name="_xlnm.Print_Area" localSheetId="0">РАСЧЕТ!$B$1:$N$55</definedName>
  </definedNames>
  <calcPr calcId="144525"/>
</workbook>
</file>

<file path=xl/calcChain.xml><?xml version="1.0" encoding="utf-8"?>
<calcChain xmlns="http://schemas.openxmlformats.org/spreadsheetml/2006/main">
  <c r="B26" i="26" l="1"/>
  <c r="AK77" i="11"/>
  <c r="B32" i="26" l="1"/>
  <c r="AK11" i="11"/>
  <c r="AK12" i="11"/>
  <c r="AK13" i="11"/>
  <c r="AK14" i="11"/>
  <c r="AK15" i="11"/>
  <c r="AK16" i="11"/>
  <c r="AK17" i="11"/>
  <c r="AK18" i="11"/>
  <c r="AK19" i="11"/>
  <c r="AK20" i="11"/>
  <c r="AK21" i="11"/>
  <c r="AK22" i="11"/>
  <c r="AK23" i="11"/>
  <c r="AK24" i="11"/>
  <c r="AK25" i="11"/>
  <c r="AK26" i="11"/>
  <c r="AK27" i="11"/>
  <c r="AK28" i="11"/>
  <c r="AK29" i="11"/>
  <c r="AK30" i="11"/>
  <c r="AK31" i="11"/>
  <c r="AK32" i="11"/>
  <c r="AK33" i="11"/>
  <c r="AK34" i="11"/>
  <c r="AK35" i="11"/>
  <c r="AK36" i="11"/>
  <c r="AK37" i="11"/>
  <c r="AK38" i="11"/>
  <c r="AK39" i="11"/>
  <c r="AK40" i="11"/>
  <c r="AK41" i="11"/>
  <c r="AK42" i="11"/>
  <c r="AK43" i="11"/>
  <c r="AK44" i="11"/>
  <c r="AK45" i="11"/>
  <c r="AK46" i="11"/>
  <c r="AK47" i="11"/>
  <c r="AK48" i="11"/>
  <c r="AK49" i="11"/>
  <c r="AK50" i="11"/>
  <c r="AK51" i="11"/>
  <c r="AK52" i="11"/>
  <c r="AK53" i="11"/>
  <c r="AK54" i="11"/>
  <c r="AK55" i="11"/>
  <c r="AK56" i="11"/>
  <c r="AK57" i="11"/>
  <c r="AK58" i="11"/>
  <c r="AK59" i="11"/>
  <c r="AK60" i="11"/>
  <c r="AK61" i="11"/>
  <c r="AK62" i="11"/>
  <c r="AK63" i="11"/>
  <c r="AK64" i="11"/>
  <c r="AK65" i="11"/>
  <c r="AK66" i="11"/>
  <c r="AK67" i="11"/>
  <c r="AK68" i="11"/>
  <c r="AK69" i="11"/>
  <c r="AK70" i="11"/>
  <c r="AK71" i="11"/>
  <c r="AK72" i="11"/>
  <c r="AK73" i="11"/>
  <c r="AK74" i="11"/>
  <c r="AK75" i="11"/>
  <c r="AK76" i="11"/>
  <c r="AK78" i="11"/>
  <c r="AK79" i="11"/>
  <c r="AK80" i="11"/>
  <c r="AK81" i="11"/>
  <c r="AK82" i="11"/>
  <c r="AK83" i="11"/>
  <c r="AK84" i="11"/>
  <c r="AK85" i="11"/>
  <c r="AK86" i="11"/>
  <c r="AK87" i="11"/>
  <c r="AK88" i="11"/>
  <c r="AK89" i="11"/>
  <c r="AK90" i="11"/>
  <c r="AK91" i="11"/>
  <c r="AK92" i="11"/>
  <c r="AK93" i="11"/>
  <c r="AK94" i="11"/>
  <c r="AK95" i="11"/>
  <c r="AK96" i="11"/>
  <c r="AK97" i="11"/>
  <c r="AK98" i="11"/>
  <c r="AK99" i="11"/>
  <c r="AK100" i="11"/>
  <c r="AK101" i="11"/>
  <c r="AK102" i="11"/>
  <c r="AK103" i="11"/>
  <c r="AK104" i="11"/>
  <c r="AK105" i="11"/>
  <c r="AK106" i="11"/>
  <c r="AK107" i="11"/>
  <c r="AK108" i="11"/>
  <c r="AK109" i="11"/>
  <c r="AK110" i="11"/>
  <c r="AK111" i="11"/>
  <c r="AK112" i="11"/>
  <c r="AK113" i="11"/>
  <c r="AK114" i="11"/>
  <c r="AK115" i="11"/>
  <c r="AK116" i="11"/>
  <c r="AK117" i="11"/>
  <c r="AK118" i="11"/>
  <c r="AK119" i="11"/>
  <c r="AK120" i="11"/>
  <c r="AK121" i="11"/>
  <c r="AK122" i="11"/>
  <c r="AK123" i="11"/>
  <c r="AK124" i="11"/>
  <c r="AK125" i="11"/>
  <c r="AK126" i="11"/>
  <c r="AK127" i="11"/>
  <c r="AK128" i="11"/>
  <c r="AK129" i="11"/>
  <c r="AK130" i="11"/>
  <c r="AK131" i="11"/>
  <c r="AK132" i="11"/>
  <c r="AK133" i="11"/>
  <c r="AK134" i="11"/>
  <c r="AK135" i="11"/>
  <c r="AK136" i="11"/>
  <c r="AK137" i="11"/>
  <c r="AK138" i="11"/>
  <c r="AK139" i="11"/>
  <c r="AK140" i="11"/>
  <c r="AK141" i="11"/>
  <c r="AK142" i="11"/>
  <c r="AK143" i="11"/>
  <c r="AK144" i="11"/>
  <c r="AK145" i="11"/>
  <c r="AK146" i="11"/>
  <c r="AK147" i="11"/>
  <c r="AK148" i="11"/>
  <c r="AK149" i="11"/>
  <c r="AK150" i="11"/>
  <c r="AK151" i="11"/>
  <c r="AK152" i="11"/>
  <c r="AK153" i="11"/>
  <c r="AK154" i="11"/>
  <c r="AK155" i="11"/>
  <c r="AK156" i="11"/>
  <c r="AK157" i="11"/>
  <c r="AK158" i="11"/>
  <c r="AK159" i="11"/>
  <c r="AK160" i="11"/>
  <c r="AK161" i="11"/>
  <c r="AK162" i="11"/>
  <c r="AK163" i="11"/>
  <c r="AK164" i="11"/>
  <c r="AK165" i="11"/>
  <c r="AK166" i="11"/>
  <c r="AK167" i="11"/>
  <c r="AK168" i="11"/>
  <c r="AK169" i="11"/>
  <c r="AK170" i="11"/>
  <c r="AK171" i="11"/>
  <c r="AK172" i="11"/>
  <c r="AK173" i="11"/>
  <c r="AK174" i="11"/>
  <c r="AK175" i="11"/>
  <c r="AK176" i="11"/>
  <c r="AK177" i="11"/>
  <c r="AK178" i="11"/>
  <c r="AK179" i="11"/>
  <c r="AK180" i="11"/>
  <c r="AK181" i="11"/>
  <c r="AK182" i="11"/>
  <c r="AK183" i="11"/>
  <c r="AK184" i="11"/>
  <c r="AK185" i="11"/>
  <c r="AK186" i="11"/>
  <c r="AK187" i="11"/>
  <c r="AK188" i="11"/>
  <c r="AK189" i="11"/>
  <c r="AK190" i="11"/>
  <c r="AK191" i="11"/>
  <c r="AK192" i="11"/>
  <c r="AK193" i="11"/>
  <c r="AK194" i="11"/>
  <c r="AK195" i="11"/>
  <c r="AK196" i="11"/>
  <c r="AK197" i="11"/>
  <c r="AK198" i="11"/>
  <c r="AK199" i="11"/>
  <c r="AK200" i="11"/>
  <c r="AK201" i="11"/>
  <c r="AK202" i="11"/>
  <c r="AK203" i="11"/>
  <c r="AK204" i="11"/>
  <c r="AK205" i="11"/>
  <c r="AK206" i="11"/>
  <c r="AK207" i="11"/>
  <c r="AK208" i="11"/>
  <c r="AK209" i="11"/>
  <c r="AK10" i="11"/>
  <c r="B38" i="26" l="1"/>
  <c r="BY49" i="13"/>
  <c r="BY45" i="13"/>
  <c r="BY41" i="13"/>
  <c r="BY37" i="13"/>
  <c r="BY33" i="13"/>
  <c r="BY29" i="13"/>
  <c r="BY25" i="13"/>
  <c r="BY21" i="13"/>
  <c r="BY17" i="13"/>
  <c r="BY13" i="13"/>
  <c r="BY9" i="13"/>
  <c r="BY5" i="13"/>
  <c r="BY48" i="13"/>
  <c r="BY44" i="13"/>
  <c r="BY40" i="13"/>
  <c r="BY36" i="13"/>
  <c r="BY32" i="13"/>
  <c r="BY28" i="13"/>
  <c r="BY24" i="13"/>
  <c r="BY20" i="13"/>
  <c r="BY16" i="13"/>
  <c r="BY12" i="13"/>
  <c r="BY8" i="13"/>
  <c r="BY47" i="13"/>
  <c r="BY43" i="13"/>
  <c r="BY39" i="13"/>
  <c r="BY35" i="13"/>
  <c r="BY31" i="13"/>
  <c r="BY27" i="13"/>
  <c r="BY23" i="13"/>
  <c r="BY19" i="13"/>
  <c r="BY15" i="13"/>
  <c r="BY11" i="13"/>
  <c r="BY7" i="13"/>
  <c r="BY50" i="13"/>
  <c r="BY46" i="13"/>
  <c r="BY42" i="13"/>
  <c r="BY38" i="13"/>
  <c r="BY34" i="13"/>
  <c r="BY30" i="13"/>
  <c r="BY26" i="13"/>
  <c r="BY22" i="13"/>
  <c r="BY18" i="13"/>
  <c r="BY14" i="13"/>
  <c r="BY10" i="13"/>
  <c r="BY6" i="13"/>
  <c r="G2055" i="20"/>
  <c r="G2018" i="20"/>
  <c r="G1981" i="20"/>
  <c r="G1944" i="20"/>
  <c r="G1907" i="20"/>
  <c r="G1870" i="20"/>
  <c r="G1833" i="20"/>
  <c r="G1796" i="20"/>
  <c r="G1759" i="20"/>
  <c r="G1722" i="20"/>
  <c r="G1685" i="20"/>
  <c r="G1648" i="20"/>
  <c r="G1611" i="20"/>
  <c r="G1574" i="20"/>
  <c r="G1537" i="20"/>
  <c r="G1500" i="20"/>
  <c r="G1463" i="20"/>
  <c r="G1426" i="20"/>
  <c r="G1389" i="20"/>
  <c r="G1352" i="20"/>
  <c r="G1315" i="20"/>
  <c r="G1278" i="20"/>
  <c r="G1241" i="20"/>
  <c r="G1204" i="20"/>
  <c r="G1167" i="20"/>
  <c r="G1130" i="20"/>
  <c r="G1093" i="20"/>
  <c r="G1056" i="20"/>
  <c r="G1019" i="20"/>
  <c r="G982" i="20"/>
  <c r="G945" i="20"/>
  <c r="G908" i="20"/>
  <c r="G871" i="20"/>
  <c r="G834" i="20"/>
  <c r="G797" i="20"/>
  <c r="G760" i="20"/>
  <c r="G723" i="20"/>
  <c r="G686" i="20"/>
  <c r="G649" i="20"/>
  <c r="G612" i="20"/>
  <c r="G575" i="20"/>
  <c r="G538" i="20"/>
  <c r="G501" i="20"/>
  <c r="G464" i="20"/>
  <c r="G427" i="20"/>
  <c r="G390" i="20"/>
  <c r="G353" i="20"/>
  <c r="G316" i="20"/>
  <c r="G279" i="20"/>
  <c r="G242" i="20"/>
  <c r="G205" i="20"/>
  <c r="G168" i="20"/>
  <c r="G131" i="20"/>
  <c r="G94" i="20"/>
  <c r="G57" i="20"/>
  <c r="B44" i="26" l="1"/>
  <c r="P2194" i="19"/>
  <c r="P1949" i="19"/>
  <c r="O1949" i="19"/>
  <c r="O1948" i="19"/>
  <c r="P1947" i="19"/>
  <c r="P1946" i="19"/>
  <c r="P1944" i="19"/>
  <c r="P1941" i="19"/>
  <c r="P1940" i="19"/>
  <c r="P1194" i="19"/>
  <c r="P194" i="19"/>
  <c r="O194" i="19"/>
  <c r="P3080" i="19"/>
  <c r="P3079" i="19"/>
  <c r="P3078" i="19"/>
  <c r="P3077" i="19"/>
  <c r="P3076" i="19"/>
  <c r="P3075" i="19"/>
  <c r="P3074" i="19"/>
  <c r="P3073" i="19"/>
  <c r="P3072" i="19"/>
  <c r="P3071" i="19"/>
  <c r="P3070" i="19"/>
  <c r="P3069" i="19"/>
  <c r="P3068" i="19"/>
  <c r="P3067" i="19"/>
  <c r="P3066" i="19"/>
  <c r="P3065" i="19"/>
  <c r="P3064" i="19"/>
  <c r="P3063" i="19"/>
  <c r="P3062" i="19"/>
  <c r="P3059" i="19"/>
  <c r="O3059" i="19"/>
  <c r="P3058" i="19"/>
  <c r="O3058" i="19"/>
  <c r="P3057" i="19"/>
  <c r="O3057" i="19"/>
  <c r="P3056" i="19"/>
  <c r="O3056" i="19"/>
  <c r="P3055" i="19"/>
  <c r="O3055" i="19"/>
  <c r="P3054" i="19"/>
  <c r="O3054" i="19"/>
  <c r="P3053" i="19"/>
  <c r="O3053" i="19"/>
  <c r="P3052" i="19"/>
  <c r="O3052" i="19"/>
  <c r="P3051" i="19"/>
  <c r="O3051" i="19"/>
  <c r="P3050" i="19"/>
  <c r="O3050" i="19"/>
  <c r="P3049" i="19"/>
  <c r="O3049" i="19"/>
  <c r="O3048" i="19"/>
  <c r="P3047" i="19"/>
  <c r="P3046" i="19"/>
  <c r="P3044" i="19"/>
  <c r="P3041" i="19"/>
  <c r="P3040" i="19"/>
  <c r="P3039" i="19"/>
  <c r="P3038" i="19"/>
  <c r="P3037" i="19"/>
  <c r="P3036" i="19"/>
  <c r="P3035" i="19"/>
  <c r="P3034" i="19"/>
  <c r="P3033" i="19"/>
  <c r="P3032" i="19"/>
  <c r="P3031" i="19"/>
  <c r="P3030" i="19"/>
  <c r="P3029" i="19"/>
  <c r="P3028" i="19"/>
  <c r="P3027" i="19"/>
  <c r="P3025" i="19"/>
  <c r="P3024" i="19"/>
  <c r="P3023" i="19"/>
  <c r="P3022" i="19"/>
  <c r="P3021" i="19"/>
  <c r="P3020" i="19"/>
  <c r="P3019" i="19"/>
  <c r="P3018" i="19"/>
  <c r="P3017" i="19"/>
  <c r="P3016" i="19"/>
  <c r="P3015" i="19"/>
  <c r="P3014" i="19"/>
  <c r="P3013" i="19"/>
  <c r="P3012" i="19"/>
  <c r="P3011" i="19"/>
  <c r="P3010" i="19"/>
  <c r="P3009" i="19"/>
  <c r="P3008" i="19"/>
  <c r="P3007" i="19"/>
  <c r="P3004" i="19"/>
  <c r="O3004" i="19"/>
  <c r="P3003" i="19"/>
  <c r="O3003" i="19"/>
  <c r="P3002" i="19"/>
  <c r="O3002" i="19"/>
  <c r="P3001" i="19"/>
  <c r="O3001" i="19"/>
  <c r="P3000" i="19"/>
  <c r="O3000" i="19"/>
  <c r="P2999" i="19"/>
  <c r="O2999" i="19"/>
  <c r="P2998" i="19"/>
  <c r="O2998" i="19"/>
  <c r="P2997" i="19"/>
  <c r="O2997" i="19"/>
  <c r="P2996" i="19"/>
  <c r="O2996" i="19"/>
  <c r="P2995" i="19"/>
  <c r="O2995" i="19"/>
  <c r="P2994" i="19"/>
  <c r="O2994" i="19"/>
  <c r="O2993" i="19"/>
  <c r="P2992" i="19"/>
  <c r="P2991" i="19"/>
  <c r="P2989" i="19"/>
  <c r="P2986" i="19"/>
  <c r="P2985" i="19"/>
  <c r="P2984" i="19"/>
  <c r="P2983" i="19"/>
  <c r="P2982" i="19"/>
  <c r="P2981" i="19"/>
  <c r="P2980" i="19"/>
  <c r="P2979" i="19"/>
  <c r="P2978" i="19"/>
  <c r="P2977" i="19"/>
  <c r="P2976" i="19"/>
  <c r="P2975" i="19"/>
  <c r="P2974" i="19"/>
  <c r="P2973" i="19"/>
  <c r="P2972" i="19"/>
  <c r="P2970" i="19"/>
  <c r="P2969" i="19"/>
  <c r="P2968" i="19"/>
  <c r="P2967" i="19"/>
  <c r="P2966" i="19"/>
  <c r="P2965" i="19"/>
  <c r="P2964" i="19"/>
  <c r="P2963" i="19"/>
  <c r="P2962" i="19"/>
  <c r="P2961" i="19"/>
  <c r="P2960" i="19"/>
  <c r="P2959" i="19"/>
  <c r="P2958" i="19"/>
  <c r="P2957" i="19"/>
  <c r="P2956" i="19"/>
  <c r="P2955" i="19"/>
  <c r="P2954" i="19"/>
  <c r="P2953" i="19"/>
  <c r="P2952" i="19"/>
  <c r="P2949" i="19"/>
  <c r="O2949" i="19"/>
  <c r="P2948" i="19"/>
  <c r="O2948" i="19"/>
  <c r="P2947" i="19"/>
  <c r="O2947" i="19"/>
  <c r="P2946" i="19"/>
  <c r="O2946" i="19"/>
  <c r="P2945" i="19"/>
  <c r="O2945" i="19"/>
  <c r="P2944" i="19"/>
  <c r="O2944" i="19"/>
  <c r="P2943" i="19"/>
  <c r="O2943" i="19"/>
  <c r="P2942" i="19"/>
  <c r="O2942" i="19"/>
  <c r="P2941" i="19"/>
  <c r="O2941" i="19"/>
  <c r="P2940" i="19"/>
  <c r="O2940" i="19"/>
  <c r="P2939" i="19"/>
  <c r="O2939" i="19"/>
  <c r="O2938" i="19"/>
  <c r="P2937" i="19"/>
  <c r="P2936" i="19"/>
  <c r="P2934" i="19"/>
  <c r="P2931" i="19"/>
  <c r="P2930" i="19"/>
  <c r="P2929" i="19"/>
  <c r="P2928" i="19"/>
  <c r="P2927" i="19"/>
  <c r="P2926" i="19"/>
  <c r="P2925" i="19"/>
  <c r="P2924" i="19"/>
  <c r="P2923" i="19"/>
  <c r="P2922" i="19"/>
  <c r="P2921" i="19"/>
  <c r="P2920" i="19"/>
  <c r="P2919" i="19"/>
  <c r="P2918" i="19"/>
  <c r="P2917" i="19"/>
  <c r="P2915" i="19"/>
  <c r="P2914" i="19"/>
  <c r="P2913" i="19"/>
  <c r="P2912" i="19"/>
  <c r="P2911" i="19"/>
  <c r="P2910" i="19"/>
  <c r="P2909" i="19"/>
  <c r="P2908" i="19"/>
  <c r="P2907" i="19"/>
  <c r="P2906" i="19"/>
  <c r="P2905" i="19"/>
  <c r="P2904" i="19"/>
  <c r="P2903" i="19"/>
  <c r="P2902" i="19"/>
  <c r="P2901" i="19"/>
  <c r="P2900" i="19"/>
  <c r="P2899" i="19"/>
  <c r="P2898" i="19"/>
  <c r="P2897" i="19"/>
  <c r="P2894" i="19"/>
  <c r="O2894" i="19"/>
  <c r="P2893" i="19"/>
  <c r="O2893" i="19"/>
  <c r="P2892" i="19"/>
  <c r="O2892" i="19"/>
  <c r="P2891" i="19"/>
  <c r="O2891" i="19"/>
  <c r="P2890" i="19"/>
  <c r="O2890" i="19"/>
  <c r="P2889" i="19"/>
  <c r="O2889" i="19"/>
  <c r="P2888" i="19"/>
  <c r="O2888" i="19"/>
  <c r="P2887" i="19"/>
  <c r="O2887" i="19"/>
  <c r="P2886" i="19"/>
  <c r="O2886" i="19"/>
  <c r="P2885" i="19"/>
  <c r="O2885" i="19"/>
  <c r="P2884" i="19"/>
  <c r="O2884" i="19"/>
  <c r="O2883" i="19"/>
  <c r="P2882" i="19"/>
  <c r="P2881" i="19"/>
  <c r="P2879" i="19"/>
  <c r="P2876" i="19"/>
  <c r="P2875" i="19"/>
  <c r="P2874" i="19"/>
  <c r="P2873" i="19"/>
  <c r="P2872" i="19"/>
  <c r="P2871" i="19"/>
  <c r="P2870" i="19"/>
  <c r="P2869" i="19"/>
  <c r="P2868" i="19"/>
  <c r="P2867" i="19"/>
  <c r="P2866" i="19"/>
  <c r="P2865" i="19"/>
  <c r="P2864" i="19"/>
  <c r="P2863" i="19"/>
  <c r="P2862" i="19"/>
  <c r="P2860" i="19"/>
  <c r="P2859" i="19"/>
  <c r="P2858" i="19"/>
  <c r="P2857" i="19"/>
  <c r="P2856" i="19"/>
  <c r="P2855" i="19"/>
  <c r="P2854" i="19"/>
  <c r="P2853" i="19"/>
  <c r="P2852" i="19"/>
  <c r="P2851" i="19"/>
  <c r="P2850" i="19"/>
  <c r="P2849" i="19"/>
  <c r="P2848" i="19"/>
  <c r="P2847" i="19"/>
  <c r="P2846" i="19"/>
  <c r="P2845" i="19"/>
  <c r="P2844" i="19"/>
  <c r="P2843" i="19"/>
  <c r="P2842" i="19"/>
  <c r="P2839" i="19"/>
  <c r="O2839" i="19"/>
  <c r="P2838" i="19"/>
  <c r="O2838" i="19"/>
  <c r="P2837" i="19"/>
  <c r="O2837" i="19"/>
  <c r="P2836" i="19"/>
  <c r="O2836" i="19"/>
  <c r="P2835" i="19"/>
  <c r="O2835" i="19"/>
  <c r="P2834" i="19"/>
  <c r="O2834" i="19"/>
  <c r="P2833" i="19"/>
  <c r="O2833" i="19"/>
  <c r="P2832" i="19"/>
  <c r="O2832" i="19"/>
  <c r="P2831" i="19"/>
  <c r="O2831" i="19"/>
  <c r="P2830" i="19"/>
  <c r="O2830" i="19"/>
  <c r="P2829" i="19"/>
  <c r="O2829" i="19"/>
  <c r="O2828" i="19"/>
  <c r="P2827" i="19"/>
  <c r="P2826" i="19"/>
  <c r="P2824" i="19"/>
  <c r="P2821" i="19"/>
  <c r="P2820" i="19"/>
  <c r="P2819" i="19"/>
  <c r="P2818" i="19"/>
  <c r="P2817" i="19"/>
  <c r="P2816" i="19"/>
  <c r="P2815" i="19"/>
  <c r="P2814" i="19"/>
  <c r="P2813" i="19"/>
  <c r="P2812" i="19"/>
  <c r="P2811" i="19"/>
  <c r="P2810" i="19"/>
  <c r="P2809" i="19"/>
  <c r="P2808" i="19"/>
  <c r="P2807" i="19"/>
  <c r="P2805" i="19"/>
  <c r="P2804" i="19"/>
  <c r="P2803" i="19"/>
  <c r="P2802" i="19"/>
  <c r="P2801" i="19"/>
  <c r="P2800" i="19"/>
  <c r="P2799" i="19"/>
  <c r="P2798" i="19"/>
  <c r="P2797" i="19"/>
  <c r="P2796" i="19"/>
  <c r="P2795" i="19"/>
  <c r="P2794" i="19"/>
  <c r="P2793" i="19"/>
  <c r="P2792" i="19"/>
  <c r="P2791" i="19"/>
  <c r="P2790" i="19"/>
  <c r="P2789" i="19"/>
  <c r="P2788" i="19"/>
  <c r="P2787" i="19"/>
  <c r="P2784" i="19"/>
  <c r="O2784" i="19"/>
  <c r="P2783" i="19"/>
  <c r="O2783" i="19"/>
  <c r="P2782" i="19"/>
  <c r="O2782" i="19"/>
  <c r="P2781" i="19"/>
  <c r="O2781" i="19"/>
  <c r="P2780" i="19"/>
  <c r="O2780" i="19"/>
  <c r="P2779" i="19"/>
  <c r="O2779" i="19"/>
  <c r="P2778" i="19"/>
  <c r="O2778" i="19"/>
  <c r="P2777" i="19"/>
  <c r="O2777" i="19"/>
  <c r="P2776" i="19"/>
  <c r="O2776" i="19"/>
  <c r="P2775" i="19"/>
  <c r="O2775" i="19"/>
  <c r="P2774" i="19"/>
  <c r="O2774" i="19"/>
  <c r="O2773" i="19"/>
  <c r="P2772" i="19"/>
  <c r="P2771" i="19"/>
  <c r="P2769" i="19"/>
  <c r="P2766" i="19"/>
  <c r="P2765" i="19"/>
  <c r="P2764" i="19"/>
  <c r="P2763" i="19"/>
  <c r="P2762" i="19"/>
  <c r="P2761" i="19"/>
  <c r="P2760" i="19"/>
  <c r="P2759" i="19"/>
  <c r="P2758" i="19"/>
  <c r="P2757" i="19"/>
  <c r="P2756" i="19"/>
  <c r="P2755" i="19"/>
  <c r="P2754" i="19"/>
  <c r="P2753" i="19"/>
  <c r="P2752" i="19"/>
  <c r="U54" i="24"/>
  <c r="U55" i="24"/>
  <c r="U56" i="24"/>
  <c r="U57" i="24"/>
  <c r="U58" i="24"/>
  <c r="U59" i="24"/>
  <c r="U60" i="24"/>
  <c r="U61" i="24"/>
  <c r="U62" i="24"/>
  <c r="U63" i="24"/>
  <c r="U64" i="24"/>
  <c r="U65" i="24"/>
  <c r="U66" i="24"/>
  <c r="U67" i="24"/>
  <c r="U68" i="24"/>
  <c r="U69" i="24"/>
  <c r="U70" i="24"/>
  <c r="U71" i="24"/>
  <c r="U72" i="24"/>
  <c r="U73" i="24"/>
  <c r="U74" i="24"/>
  <c r="U75" i="24"/>
  <c r="U76" i="24"/>
  <c r="U77" i="24"/>
  <c r="U78" i="24"/>
  <c r="U79" i="24"/>
  <c r="U80" i="24"/>
  <c r="U81" i="24"/>
  <c r="U82" i="24"/>
  <c r="U83" i="24"/>
  <c r="U84" i="24"/>
  <c r="U85" i="24"/>
  <c r="U86" i="24"/>
  <c r="U87" i="24"/>
  <c r="U88" i="24"/>
  <c r="U89" i="24"/>
  <c r="U90" i="24"/>
  <c r="U91" i="24"/>
  <c r="U92" i="24"/>
  <c r="U93" i="24"/>
  <c r="U94" i="24"/>
  <c r="U95" i="24"/>
  <c r="U96" i="24"/>
  <c r="U97" i="24"/>
  <c r="U98" i="24"/>
  <c r="U99" i="24"/>
  <c r="U100" i="24"/>
  <c r="U101" i="24"/>
  <c r="U102" i="24"/>
  <c r="U103" i="24"/>
  <c r="U104" i="24"/>
  <c r="U105" i="24"/>
  <c r="U106" i="24"/>
  <c r="U107" i="24"/>
  <c r="U108" i="24"/>
  <c r="U109" i="24"/>
  <c r="U110" i="24"/>
  <c r="U111" i="24"/>
  <c r="U112" i="24"/>
  <c r="U113" i="24"/>
  <c r="U114" i="24"/>
  <c r="U115" i="24"/>
  <c r="U116" i="24"/>
  <c r="U117" i="24"/>
  <c r="U118" i="24"/>
  <c r="U119" i="24"/>
  <c r="U120" i="24"/>
  <c r="U121" i="24"/>
  <c r="U122" i="24"/>
  <c r="U123" i="24"/>
  <c r="U124" i="24"/>
  <c r="U125" i="24"/>
  <c r="U126" i="24"/>
  <c r="U127" i="24"/>
  <c r="U128" i="24"/>
  <c r="U129" i="24"/>
  <c r="U130" i="24"/>
  <c r="U131" i="24"/>
  <c r="U132" i="24"/>
  <c r="U133" i="24"/>
  <c r="U134" i="24"/>
  <c r="U135" i="24"/>
  <c r="U136" i="24"/>
  <c r="U137" i="24"/>
  <c r="U138" i="24"/>
  <c r="U139" i="24"/>
  <c r="U140" i="24"/>
  <c r="U141" i="24"/>
  <c r="U142" i="24"/>
  <c r="U143" i="24"/>
  <c r="U144" i="24"/>
  <c r="U145" i="24"/>
  <c r="U146" i="24"/>
  <c r="U147" i="24"/>
  <c r="U148" i="24"/>
  <c r="U149" i="24"/>
  <c r="U150" i="24"/>
  <c r="U151" i="24"/>
  <c r="U152" i="24"/>
  <c r="U153" i="24"/>
  <c r="U154" i="24"/>
  <c r="U155" i="24"/>
  <c r="U156" i="24"/>
  <c r="U157" i="24"/>
  <c r="U4" i="24"/>
  <c r="U5" i="24"/>
  <c r="U6" i="24"/>
  <c r="U7" i="24"/>
  <c r="U8" i="24"/>
  <c r="U9" i="24"/>
  <c r="U10" i="24"/>
  <c r="U11" i="24"/>
  <c r="U12" i="24"/>
  <c r="U13" i="24"/>
  <c r="U14" i="24"/>
  <c r="U15" i="24"/>
  <c r="U16" i="24"/>
  <c r="U17" i="24"/>
  <c r="U18" i="24"/>
  <c r="U19" i="24"/>
  <c r="U20" i="24"/>
  <c r="U21" i="24"/>
  <c r="U22" i="24"/>
  <c r="U23" i="24"/>
  <c r="U24" i="24"/>
  <c r="U25" i="24"/>
  <c r="U26" i="24"/>
  <c r="U27" i="24"/>
  <c r="U28" i="24"/>
  <c r="U29" i="24"/>
  <c r="U30" i="24"/>
  <c r="U31" i="24"/>
  <c r="U32" i="24"/>
  <c r="U33" i="24"/>
  <c r="U34" i="24"/>
  <c r="U35" i="24"/>
  <c r="U36" i="24"/>
  <c r="U37" i="24"/>
  <c r="U38" i="24"/>
  <c r="U39" i="24"/>
  <c r="U40" i="24"/>
  <c r="U41" i="24"/>
  <c r="U42" i="24"/>
  <c r="U43" i="24"/>
  <c r="U44" i="24"/>
  <c r="U45" i="24"/>
  <c r="U46" i="24"/>
  <c r="U47" i="24"/>
  <c r="U48" i="24"/>
  <c r="U49" i="24"/>
  <c r="U50" i="24"/>
  <c r="U51" i="24"/>
  <c r="U52" i="24"/>
  <c r="U53" i="24"/>
  <c r="U3" i="24"/>
  <c r="AA11" i="11"/>
  <c r="AA12" i="11"/>
  <c r="AA13" i="11"/>
  <c r="AA15" i="11"/>
  <c r="AA16" i="11"/>
  <c r="AA17" i="11"/>
  <c r="AA19" i="11"/>
  <c r="AA20" i="11"/>
  <c r="AA22" i="11"/>
  <c r="AA23" i="11"/>
  <c r="AA24" i="11"/>
  <c r="AA26" i="11"/>
  <c r="AA27" i="11"/>
  <c r="AA28" i="11"/>
  <c r="AA30" i="11"/>
  <c r="AA31" i="11"/>
  <c r="AA32" i="11"/>
  <c r="AA34" i="11"/>
  <c r="AA35" i="11"/>
  <c r="AA36" i="11"/>
  <c r="AA38" i="11"/>
  <c r="AA39" i="11"/>
  <c r="AA40" i="11"/>
  <c r="AA42" i="11"/>
  <c r="AA43" i="11"/>
  <c r="AA44" i="11"/>
  <c r="AA46" i="11"/>
  <c r="AA47" i="11"/>
  <c r="AA48" i="11"/>
  <c r="AA49" i="11"/>
  <c r="AA51" i="11"/>
  <c r="AA52" i="11"/>
  <c r="AA53" i="11"/>
  <c r="AA55" i="11"/>
  <c r="AA56" i="11"/>
  <c r="AA58" i="11"/>
  <c r="AA59" i="11"/>
  <c r="AA60" i="11"/>
  <c r="AA62" i="11"/>
  <c r="AA63" i="11"/>
  <c r="AA64" i="11"/>
  <c r="AA66" i="11"/>
  <c r="AA67" i="11"/>
  <c r="AA68" i="11"/>
  <c r="AA70" i="11"/>
  <c r="AA71" i="11"/>
  <c r="AA72" i="11"/>
  <c r="AA74" i="11"/>
  <c r="AA75" i="11"/>
  <c r="AA76" i="11"/>
  <c r="AA78" i="11"/>
  <c r="AA79" i="11"/>
  <c r="AA80" i="11"/>
  <c r="AA82" i="11"/>
  <c r="AA83" i="11"/>
  <c r="AA84" i="11"/>
  <c r="AA86" i="11"/>
  <c r="AA87" i="11"/>
  <c r="AA88" i="11"/>
  <c r="AA90" i="11"/>
  <c r="AA92" i="11"/>
  <c r="AA93" i="11"/>
  <c r="AA94" i="11"/>
  <c r="AA96" i="11"/>
  <c r="AA97" i="11"/>
  <c r="AA98" i="11"/>
  <c r="AA100" i="11"/>
  <c r="AA101" i="11"/>
  <c r="AA103" i="11"/>
  <c r="AA104" i="11"/>
  <c r="AA105" i="11"/>
  <c r="AA107" i="11"/>
  <c r="AA108" i="11"/>
  <c r="AA109" i="11"/>
  <c r="AA111" i="11"/>
  <c r="AA112" i="11"/>
  <c r="AA113" i="11"/>
  <c r="AA115" i="11"/>
  <c r="AA116" i="11"/>
  <c r="AA117" i="11"/>
  <c r="AA118" i="11"/>
  <c r="AA120" i="11"/>
  <c r="AA121" i="11"/>
  <c r="AA122" i="11"/>
  <c r="AA123" i="11"/>
  <c r="AA125" i="11"/>
  <c r="AA126" i="11"/>
  <c r="AA127" i="11"/>
  <c r="AA128" i="11"/>
  <c r="AA129" i="11"/>
  <c r="AA131" i="11"/>
  <c r="AA132" i="11"/>
  <c r="AA134" i="11"/>
  <c r="AA135" i="11"/>
  <c r="AA136" i="11"/>
  <c r="AA138" i="11"/>
  <c r="AA139" i="11"/>
  <c r="AA141" i="11"/>
  <c r="AA142" i="11"/>
  <c r="AA143" i="11"/>
  <c r="AA145" i="11"/>
  <c r="AA146" i="11"/>
  <c r="AA148" i="11"/>
  <c r="AA149" i="11"/>
  <c r="AA151" i="11"/>
  <c r="AA152" i="11"/>
  <c r="AA154" i="11"/>
  <c r="AA155" i="11"/>
  <c r="AA157" i="11"/>
  <c r="AA158" i="11"/>
  <c r="AA160" i="11"/>
  <c r="AA161" i="11"/>
  <c r="AA163" i="11"/>
  <c r="AA165" i="11"/>
  <c r="AA167" i="11"/>
  <c r="AA168" i="11"/>
  <c r="AA170" i="11"/>
  <c r="AA171" i="11"/>
  <c r="AA173" i="11"/>
  <c r="AA174" i="11"/>
  <c r="AA176" i="11"/>
  <c r="AA177" i="11"/>
  <c r="AA179" i="11"/>
  <c r="AA180" i="11"/>
  <c r="AA181" i="11"/>
  <c r="AA183" i="11"/>
  <c r="AA184" i="11"/>
  <c r="AA185" i="11"/>
  <c r="AA187" i="11"/>
  <c r="AA188" i="11"/>
  <c r="AA190" i="11"/>
  <c r="AA191" i="11"/>
  <c r="AA192" i="11"/>
  <c r="AA194" i="11"/>
  <c r="AA195" i="11"/>
  <c r="AA197" i="11"/>
  <c r="AA198" i="11"/>
  <c r="AA199" i="11"/>
  <c r="AA201" i="11"/>
  <c r="AA202" i="11"/>
  <c r="AA204" i="11"/>
  <c r="AA206" i="11"/>
  <c r="AA208" i="11"/>
  <c r="AA209"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119" i="11"/>
  <c r="B120" i="11"/>
  <c r="B121" i="11"/>
  <c r="B122" i="11"/>
  <c r="B123" i="11"/>
  <c r="B124" i="11"/>
  <c r="B125" i="11"/>
  <c r="B126" i="11"/>
  <c r="B127" i="11"/>
  <c r="B128" i="11"/>
  <c r="B129" i="11"/>
  <c r="B130" i="11"/>
  <c r="B131" i="11"/>
  <c r="B132" i="11"/>
  <c r="B133" i="11"/>
  <c r="B134" i="11"/>
  <c r="B135" i="11"/>
  <c r="B136" i="11"/>
  <c r="B137" i="11"/>
  <c r="B138" i="11"/>
  <c r="B139" i="11"/>
  <c r="B140" i="11"/>
  <c r="B141" i="11"/>
  <c r="B142" i="11"/>
  <c r="B143" i="11"/>
  <c r="B144" i="11"/>
  <c r="B145" i="11"/>
  <c r="B146" i="11"/>
  <c r="B147" i="11"/>
  <c r="B148" i="11"/>
  <c r="B149" i="11"/>
  <c r="B150" i="11"/>
  <c r="B151" i="11"/>
  <c r="B152" i="11"/>
  <c r="B153" i="11"/>
  <c r="B154" i="11"/>
  <c r="B155" i="11"/>
  <c r="B156" i="11"/>
  <c r="B157" i="11"/>
  <c r="B158" i="11"/>
  <c r="B159" i="11"/>
  <c r="B160" i="11"/>
  <c r="B161" i="11"/>
  <c r="B162" i="11"/>
  <c r="B163" i="11"/>
  <c r="B164" i="11"/>
  <c r="B165" i="11"/>
  <c r="B166" i="11"/>
  <c r="B167" i="11"/>
  <c r="B168" i="11"/>
  <c r="B169" i="11"/>
  <c r="B170" i="11"/>
  <c r="B171" i="11"/>
  <c r="B172" i="11"/>
  <c r="B173" i="11"/>
  <c r="B174" i="11"/>
  <c r="B175" i="11"/>
  <c r="B176" i="11"/>
  <c r="B177" i="11"/>
  <c r="B178" i="11"/>
  <c r="B179" i="11"/>
  <c r="B180" i="11"/>
  <c r="B181" i="11"/>
  <c r="B182" i="11"/>
  <c r="B183" i="11"/>
  <c r="B184" i="11"/>
  <c r="B185" i="11"/>
  <c r="B186" i="11"/>
  <c r="B187" i="11"/>
  <c r="B188" i="11"/>
  <c r="B189" i="11"/>
  <c r="B190" i="11"/>
  <c r="B191" i="11"/>
  <c r="B192" i="11"/>
  <c r="B193" i="11"/>
  <c r="B194" i="11"/>
  <c r="B195" i="11"/>
  <c r="B196" i="11"/>
  <c r="B197" i="11"/>
  <c r="B198" i="11"/>
  <c r="B199" i="11"/>
  <c r="B200" i="11"/>
  <c r="B201" i="11"/>
  <c r="B202" i="11"/>
  <c r="B203" i="11"/>
  <c r="B204" i="11"/>
  <c r="B205" i="11"/>
  <c r="B206" i="11"/>
  <c r="B207" i="11"/>
  <c r="B208" i="11"/>
  <c r="B209" i="11"/>
  <c r="B10" i="11"/>
  <c r="AC10" i="11" s="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G211" i="11"/>
  <c r="S209" i="11"/>
  <c r="R209" i="11"/>
  <c r="P209" i="11"/>
  <c r="O209" i="11"/>
  <c r="M209" i="11"/>
  <c r="L209" i="11"/>
  <c r="S206" i="11"/>
  <c r="R206" i="11"/>
  <c r="O206" i="11"/>
  <c r="M206" i="11"/>
  <c r="L206" i="11"/>
  <c r="S204" i="11"/>
  <c r="R204" i="11"/>
  <c r="O204" i="11"/>
  <c r="M204" i="11"/>
  <c r="L204" i="11"/>
  <c r="S202" i="11"/>
  <c r="R202" i="11"/>
  <c r="O202" i="11"/>
  <c r="M202" i="11"/>
  <c r="L202" i="11"/>
  <c r="S199" i="11"/>
  <c r="R199" i="11"/>
  <c r="O199" i="11"/>
  <c r="M199" i="11"/>
  <c r="L199" i="11"/>
  <c r="S195" i="11"/>
  <c r="R195" i="11"/>
  <c r="O195" i="11"/>
  <c r="M195" i="11"/>
  <c r="L195" i="11"/>
  <c r="S192" i="11"/>
  <c r="R192" i="11"/>
  <c r="O192" i="11"/>
  <c r="M192" i="11"/>
  <c r="L192" i="11"/>
  <c r="S188" i="11"/>
  <c r="R188" i="11"/>
  <c r="O188" i="11"/>
  <c r="M188" i="11"/>
  <c r="L188" i="11"/>
  <c r="S185" i="11"/>
  <c r="R185" i="11"/>
  <c r="O185" i="11"/>
  <c r="M185" i="11"/>
  <c r="L185" i="11"/>
  <c r="S181" i="11"/>
  <c r="R181" i="11"/>
  <c r="O181" i="11"/>
  <c r="M181" i="11"/>
  <c r="L181" i="11"/>
  <c r="S177" i="11"/>
  <c r="R177" i="11"/>
  <c r="O177" i="11"/>
  <c r="M177" i="11"/>
  <c r="L177" i="11"/>
  <c r="S174" i="11"/>
  <c r="R174" i="11"/>
  <c r="O174" i="11"/>
  <c r="M174" i="11"/>
  <c r="L174" i="11"/>
  <c r="S171" i="11"/>
  <c r="R171" i="11"/>
  <c r="O171" i="11"/>
  <c r="M171" i="11"/>
  <c r="L171" i="11"/>
  <c r="S168" i="11"/>
  <c r="R168" i="11"/>
  <c r="O168" i="11"/>
  <c r="M168" i="11"/>
  <c r="L168" i="11"/>
  <c r="S165" i="11"/>
  <c r="R165" i="11"/>
  <c r="O165" i="11"/>
  <c r="M165" i="11"/>
  <c r="L165" i="11"/>
  <c r="S163" i="11"/>
  <c r="R163" i="11"/>
  <c r="O163" i="11"/>
  <c r="M163" i="11"/>
  <c r="L163" i="11"/>
  <c r="S161" i="11"/>
  <c r="R161" i="11"/>
  <c r="O161" i="11"/>
  <c r="M161" i="11"/>
  <c r="L161" i="11"/>
  <c r="S158" i="11"/>
  <c r="R158" i="11"/>
  <c r="O158" i="11"/>
  <c r="M158" i="11"/>
  <c r="L158" i="11"/>
  <c r="S155" i="11"/>
  <c r="R155" i="11"/>
  <c r="O155" i="11"/>
  <c r="M155" i="11"/>
  <c r="L155" i="11"/>
  <c r="S152" i="11"/>
  <c r="R152" i="11"/>
  <c r="O152" i="11"/>
  <c r="M152" i="11"/>
  <c r="L152" i="11"/>
  <c r="S149" i="11"/>
  <c r="R149" i="11"/>
  <c r="O149" i="11"/>
  <c r="M149" i="11"/>
  <c r="L149" i="11"/>
  <c r="S146" i="11"/>
  <c r="R146" i="11"/>
  <c r="O146" i="11"/>
  <c r="M146" i="11"/>
  <c r="L146" i="11"/>
  <c r="S143" i="11"/>
  <c r="R143" i="11"/>
  <c r="O143" i="11"/>
  <c r="M143" i="11"/>
  <c r="L143" i="11"/>
  <c r="S139" i="11"/>
  <c r="R139" i="11"/>
  <c r="O139" i="11"/>
  <c r="M139" i="11"/>
  <c r="L139" i="11"/>
  <c r="S136" i="11"/>
  <c r="R136" i="11"/>
  <c r="O136" i="11"/>
  <c r="M136" i="11"/>
  <c r="L136" i="11"/>
  <c r="S132" i="11"/>
  <c r="R132" i="11"/>
  <c r="O132" i="11"/>
  <c r="M132" i="11"/>
  <c r="L132" i="11"/>
  <c r="S129" i="11"/>
  <c r="R129" i="11"/>
  <c r="O129" i="11"/>
  <c r="M129" i="11"/>
  <c r="L129" i="11"/>
  <c r="S123" i="11"/>
  <c r="R123" i="11"/>
  <c r="O123" i="11"/>
  <c r="M123" i="11"/>
  <c r="L123" i="11"/>
  <c r="S118" i="11"/>
  <c r="R118" i="11"/>
  <c r="O118" i="11"/>
  <c r="M118" i="11"/>
  <c r="L118" i="11"/>
  <c r="S113" i="11"/>
  <c r="R113" i="11"/>
  <c r="O113" i="11"/>
  <c r="M113" i="11"/>
  <c r="L113" i="11"/>
  <c r="S109" i="11"/>
  <c r="R109" i="11"/>
  <c r="O109" i="11"/>
  <c r="M109" i="11"/>
  <c r="L109" i="11"/>
  <c r="S105" i="11"/>
  <c r="R105" i="11"/>
  <c r="O105" i="11"/>
  <c r="M105" i="11"/>
  <c r="L105" i="11"/>
  <c r="S101" i="11"/>
  <c r="R101" i="11"/>
  <c r="O101" i="11"/>
  <c r="M101" i="11"/>
  <c r="L101" i="11"/>
  <c r="S98" i="11"/>
  <c r="R98" i="11"/>
  <c r="O98" i="11"/>
  <c r="M98" i="11"/>
  <c r="L98" i="11"/>
  <c r="S94" i="11"/>
  <c r="R94" i="11"/>
  <c r="O94" i="11"/>
  <c r="M94" i="11"/>
  <c r="L94" i="11"/>
  <c r="S90" i="11"/>
  <c r="R90" i="11"/>
  <c r="O90" i="11"/>
  <c r="M90" i="11"/>
  <c r="L90" i="11"/>
  <c r="S88" i="11"/>
  <c r="R88" i="11"/>
  <c r="O88" i="11"/>
  <c r="M88" i="11"/>
  <c r="L88" i="11"/>
  <c r="S84" i="11"/>
  <c r="R84" i="11"/>
  <c r="O84" i="11"/>
  <c r="M84" i="11"/>
  <c r="L84" i="11"/>
  <c r="S80" i="11"/>
  <c r="R80" i="11"/>
  <c r="O80" i="11"/>
  <c r="M80" i="11"/>
  <c r="L80" i="11"/>
  <c r="S76" i="11"/>
  <c r="R76" i="11"/>
  <c r="O76" i="11"/>
  <c r="M76" i="11"/>
  <c r="L76" i="11"/>
  <c r="S72" i="11"/>
  <c r="R72" i="11"/>
  <c r="O72" i="11"/>
  <c r="M72" i="11"/>
  <c r="L72" i="11"/>
  <c r="S68" i="11"/>
  <c r="R68" i="11"/>
  <c r="O68" i="11"/>
  <c r="M68" i="11"/>
  <c r="L68" i="11"/>
  <c r="S64" i="11"/>
  <c r="R64" i="11"/>
  <c r="O64" i="11"/>
  <c r="M64" i="11"/>
  <c r="L64" i="11"/>
  <c r="S60" i="11"/>
  <c r="R60" i="11"/>
  <c r="O60" i="11"/>
  <c r="M60" i="11"/>
  <c r="L60" i="11"/>
  <c r="S56" i="11"/>
  <c r="R56" i="11"/>
  <c r="O56" i="11"/>
  <c r="M56" i="11"/>
  <c r="L56" i="11"/>
  <c r="S53" i="11"/>
  <c r="R53" i="11"/>
  <c r="O53" i="11"/>
  <c r="M53" i="11"/>
  <c r="L53" i="11"/>
  <c r="S49" i="11"/>
  <c r="R49" i="11"/>
  <c r="O49" i="11"/>
  <c r="M49" i="11"/>
  <c r="L49" i="11"/>
  <c r="S44" i="11"/>
  <c r="R44" i="11"/>
  <c r="O44" i="11"/>
  <c r="M44" i="11"/>
  <c r="L44" i="11"/>
  <c r="S40" i="11"/>
  <c r="R40" i="11"/>
  <c r="O40" i="11"/>
  <c r="M40" i="11"/>
  <c r="L40" i="11"/>
  <c r="S36" i="11"/>
  <c r="R36" i="11"/>
  <c r="O36" i="11"/>
  <c r="M36" i="11"/>
  <c r="L36" i="11"/>
  <c r="S32" i="11"/>
  <c r="R32" i="11"/>
  <c r="O32" i="11"/>
  <c r="M32" i="11"/>
  <c r="L32" i="11"/>
  <c r="S28" i="11"/>
  <c r="R28" i="11"/>
  <c r="O28" i="11"/>
  <c r="M28" i="11"/>
  <c r="L28" i="11"/>
  <c r="S24" i="11"/>
  <c r="R24" i="11"/>
  <c r="O24" i="11"/>
  <c r="M24" i="11"/>
  <c r="L24" i="11"/>
  <c r="S20" i="11"/>
  <c r="R20" i="11"/>
  <c r="O20" i="11"/>
  <c r="M20" i="11"/>
  <c r="L20" i="11"/>
  <c r="S17" i="11"/>
  <c r="R17" i="11"/>
  <c r="O17" i="11"/>
  <c r="M17" i="11"/>
  <c r="L17" i="11"/>
  <c r="S13" i="11"/>
  <c r="R13" i="11"/>
  <c r="O13" i="11"/>
  <c r="M13" i="11"/>
  <c r="L13" i="11"/>
  <c r="K209" i="11"/>
  <c r="K206" i="11"/>
  <c r="K204" i="11"/>
  <c r="K202" i="11"/>
  <c r="K199" i="11"/>
  <c r="K195" i="11"/>
  <c r="K192" i="11"/>
  <c r="K188" i="11"/>
  <c r="K185" i="11"/>
  <c r="K181" i="11"/>
  <c r="K177" i="11"/>
  <c r="K174" i="11"/>
  <c r="K171" i="11"/>
  <c r="K168" i="11"/>
  <c r="K165" i="11"/>
  <c r="K163" i="11"/>
  <c r="K161" i="11"/>
  <c r="K158" i="11"/>
  <c r="K155" i="11"/>
  <c r="K152" i="11"/>
  <c r="K149" i="11"/>
  <c r="K146" i="11"/>
  <c r="K143" i="11"/>
  <c r="K139" i="11"/>
  <c r="K136" i="11"/>
  <c r="K132" i="11"/>
  <c r="K129" i="11"/>
  <c r="K123" i="11"/>
  <c r="K118" i="11"/>
  <c r="K113" i="11"/>
  <c r="K109" i="11"/>
  <c r="K105" i="11"/>
  <c r="K101" i="11"/>
  <c r="K98" i="11"/>
  <c r="K94" i="11"/>
  <c r="K90" i="11"/>
  <c r="K88" i="11"/>
  <c r="K84" i="11"/>
  <c r="K80" i="11"/>
  <c r="K76" i="11"/>
  <c r="K72" i="11"/>
  <c r="K68" i="11"/>
  <c r="K64" i="11"/>
  <c r="K60" i="11"/>
  <c r="K56" i="11"/>
  <c r="K53" i="11"/>
  <c r="K49" i="11"/>
  <c r="K44" i="11"/>
  <c r="K40" i="11"/>
  <c r="K36" i="11"/>
  <c r="K32" i="11"/>
  <c r="K28" i="11"/>
  <c r="K24" i="11"/>
  <c r="K20" i="11"/>
  <c r="K17" i="11"/>
  <c r="K13" i="11"/>
  <c r="Q158" i="24"/>
  <c r="Q157" i="24"/>
  <c r="Q156" i="24"/>
  <c r="Q155" i="24"/>
  <c r="Q154" i="24"/>
  <c r="Q153" i="24"/>
  <c r="Q152" i="24"/>
  <c r="Q151" i="24"/>
  <c r="Q150" i="24"/>
  <c r="Q149" i="24"/>
  <c r="Q148" i="24"/>
  <c r="Q147" i="24"/>
  <c r="Q146" i="24"/>
  <c r="Q145" i="24"/>
  <c r="Q144" i="24"/>
  <c r="Q143" i="24"/>
  <c r="Q142" i="24"/>
  <c r="Q141" i="24"/>
  <c r="Q140" i="24"/>
  <c r="Q139" i="24"/>
  <c r="Q138" i="24"/>
  <c r="Q137" i="24"/>
  <c r="Q136" i="24"/>
  <c r="Q135" i="24"/>
  <c r="Q134" i="24"/>
  <c r="Q133" i="24"/>
  <c r="Q132" i="24"/>
  <c r="Q131" i="24"/>
  <c r="Q130" i="24"/>
  <c r="Q129" i="24"/>
  <c r="Q128" i="24"/>
  <c r="Q127" i="24"/>
  <c r="Q126" i="24"/>
  <c r="Q125" i="24"/>
  <c r="Q124" i="24"/>
  <c r="Q123" i="24"/>
  <c r="Q122" i="24"/>
  <c r="Q121" i="24"/>
  <c r="Q120" i="24"/>
  <c r="Q119" i="24"/>
  <c r="Q118" i="24"/>
  <c r="Q117" i="24"/>
  <c r="Q116" i="24"/>
  <c r="Q115" i="24"/>
  <c r="Q114" i="24"/>
  <c r="Q113" i="24"/>
  <c r="Q112" i="24"/>
  <c r="Q111" i="24"/>
  <c r="Q110" i="24"/>
  <c r="Q109" i="24"/>
  <c r="Q108" i="24"/>
  <c r="Q107" i="24"/>
  <c r="Q106" i="24"/>
  <c r="Q105" i="24"/>
  <c r="Q104" i="24"/>
  <c r="Q103" i="24"/>
  <c r="Q102" i="24"/>
  <c r="Q101" i="24"/>
  <c r="Q100" i="24"/>
  <c r="Q99" i="24"/>
  <c r="Q98" i="24"/>
  <c r="Q97" i="24"/>
  <c r="Q96" i="24"/>
  <c r="Q95" i="24"/>
  <c r="Q94" i="24"/>
  <c r="Q93" i="24"/>
  <c r="Q92" i="24"/>
  <c r="Q91" i="24"/>
  <c r="Q90" i="24"/>
  <c r="Q89" i="24"/>
  <c r="Q88" i="24"/>
  <c r="Q87" i="24"/>
  <c r="Q86" i="24"/>
  <c r="Q85" i="24"/>
  <c r="Q84" i="24"/>
  <c r="Q83" i="24"/>
  <c r="Q82" i="24"/>
  <c r="Q81" i="24"/>
  <c r="Q80" i="24"/>
  <c r="Q79" i="24"/>
  <c r="Q78" i="24"/>
  <c r="Q77" i="24"/>
  <c r="Q76" i="24"/>
  <c r="Q75" i="24"/>
  <c r="Q74" i="24"/>
  <c r="Q73" i="24"/>
  <c r="Q72" i="24"/>
  <c r="Q71" i="24"/>
  <c r="Q70" i="24"/>
  <c r="Q69" i="24"/>
  <c r="Q68" i="24"/>
  <c r="Q67" i="24"/>
  <c r="Q66" i="24"/>
  <c r="Q65" i="24"/>
  <c r="Q64" i="24"/>
  <c r="Q63" i="24"/>
  <c r="Q62" i="24"/>
  <c r="Q61" i="24"/>
  <c r="Q60" i="24"/>
  <c r="Q59" i="24"/>
  <c r="Q58" i="24"/>
  <c r="Q57" i="24"/>
  <c r="Q56" i="24"/>
  <c r="Q55" i="24"/>
  <c r="Q54" i="24"/>
  <c r="Q53" i="24"/>
  <c r="Q52" i="24"/>
  <c r="Q51" i="24"/>
  <c r="Q50" i="24"/>
  <c r="Q49" i="24"/>
  <c r="Q48" i="24"/>
  <c r="Q47" i="24"/>
  <c r="Q46" i="24"/>
  <c r="Q45" i="24"/>
  <c r="Q44" i="24"/>
  <c r="Q43" i="24"/>
  <c r="Q42" i="24"/>
  <c r="Q41" i="24"/>
  <c r="Q40" i="24"/>
  <c r="Q39" i="24"/>
  <c r="Q38" i="24"/>
  <c r="Q37" i="24"/>
  <c r="Q36" i="24"/>
  <c r="Q35" i="24"/>
  <c r="Q34" i="24"/>
  <c r="Q33" i="24"/>
  <c r="Q32" i="24"/>
  <c r="Q31" i="24"/>
  <c r="Q30" i="24"/>
  <c r="Q29" i="24"/>
  <c r="Q28" i="24"/>
  <c r="Q27" i="24"/>
  <c r="Q26" i="24"/>
  <c r="Q25" i="24"/>
  <c r="Q24" i="24"/>
  <c r="Q23" i="24"/>
  <c r="Q22" i="24"/>
  <c r="Q21" i="24"/>
  <c r="Q20" i="24"/>
  <c r="Q19" i="24"/>
  <c r="Q18" i="24"/>
  <c r="Q17" i="24"/>
  <c r="Q16" i="24"/>
  <c r="Q15" i="24"/>
  <c r="Q14" i="24"/>
  <c r="Q13" i="24"/>
  <c r="Q12" i="24"/>
  <c r="Q11" i="24"/>
  <c r="Q10" i="24"/>
  <c r="Q9" i="24"/>
  <c r="Q8" i="24"/>
  <c r="Q7" i="24"/>
  <c r="Q6" i="24"/>
  <c r="Q5" i="24"/>
  <c r="Q4" i="24"/>
  <c r="Q3" i="24"/>
  <c r="AE13" i="11"/>
  <c r="AE17" i="11"/>
  <c r="AE20" i="11"/>
  <c r="AE24" i="11"/>
  <c r="AE28" i="11"/>
  <c r="AE32" i="11"/>
  <c r="AE36" i="11"/>
  <c r="AE40" i="11"/>
  <c r="AE44" i="11"/>
  <c r="AE49" i="11"/>
  <c r="AE53" i="11"/>
  <c r="AE56" i="11"/>
  <c r="AE60" i="11"/>
  <c r="AE64" i="11"/>
  <c r="AE68" i="11"/>
  <c r="AE72" i="11"/>
  <c r="AE76" i="11"/>
  <c r="AE80" i="11"/>
  <c r="AE84" i="11"/>
  <c r="AE88" i="11"/>
  <c r="AE90" i="11"/>
  <c r="AE94" i="11"/>
  <c r="AE98" i="11"/>
  <c r="AE101" i="11"/>
  <c r="AE105" i="11"/>
  <c r="AE109" i="11"/>
  <c r="AE113" i="11"/>
  <c r="AE118" i="11"/>
  <c r="AE123" i="11"/>
  <c r="AE129" i="11"/>
  <c r="AE132" i="11"/>
  <c r="AE136" i="11"/>
  <c r="AE139" i="11"/>
  <c r="AE143" i="11"/>
  <c r="AE146" i="11"/>
  <c r="AE149" i="11"/>
  <c r="AE152" i="11"/>
  <c r="AE155" i="11"/>
  <c r="AE158" i="11"/>
  <c r="AE161" i="11"/>
  <c r="AE163" i="11"/>
  <c r="AE165" i="11"/>
  <c r="AE168" i="11"/>
  <c r="AE171" i="11"/>
  <c r="AE174" i="11"/>
  <c r="AE177" i="11"/>
  <c r="AE181" i="11"/>
  <c r="AE185" i="11"/>
  <c r="AE188" i="11"/>
  <c r="AE192" i="11"/>
  <c r="AE195" i="11"/>
  <c r="AE199" i="11"/>
  <c r="AE202" i="11"/>
  <c r="AE204" i="11"/>
  <c r="AE206" i="11"/>
  <c r="AE209" i="11"/>
  <c r="Z10" i="11"/>
  <c r="Z11" i="11" s="1"/>
  <c r="Z12" i="11" s="1"/>
  <c r="Z13" i="11" s="1"/>
  <c r="Z14" i="11"/>
  <c r="Z15" i="11" s="1"/>
  <c r="Z16" i="11" s="1"/>
  <c r="Z17" i="11" s="1"/>
  <c r="Z18" i="11"/>
  <c r="Z19" i="11" s="1"/>
  <c r="Z20" i="11" s="1"/>
  <c r="Z21" i="11"/>
  <c r="Z22" i="11" s="1"/>
  <c r="Z23" i="11" s="1"/>
  <c r="Z24" i="11" s="1"/>
  <c r="Z25" i="11"/>
  <c r="Z26" i="11" s="1"/>
  <c r="Z27" i="11" s="1"/>
  <c r="Z28" i="11" s="1"/>
  <c r="Z29" i="11"/>
  <c r="Z30" i="11" s="1"/>
  <c r="Z31" i="11" s="1"/>
  <c r="Z32" i="11" s="1"/>
  <c r="Z33" i="11"/>
  <c r="Z34" i="11" s="1"/>
  <c r="Z35" i="11" s="1"/>
  <c r="Z36" i="11" s="1"/>
  <c r="Z37" i="11"/>
  <c r="Z38" i="11" s="1"/>
  <c r="Z39" i="11" s="1"/>
  <c r="Z40" i="11" s="1"/>
  <c r="Z41" i="11"/>
  <c r="Z42" i="11" s="1"/>
  <c r="Z43" i="11" s="1"/>
  <c r="Z44" i="11" s="1"/>
  <c r="Z45" i="11"/>
  <c r="Z46" i="11" s="1"/>
  <c r="Z47" i="11" s="1"/>
  <c r="Z48" i="11" s="1"/>
  <c r="Z49" i="11" s="1"/>
  <c r="Z50" i="11"/>
  <c r="Z51" i="11" s="1"/>
  <c r="Z52" i="11" s="1"/>
  <c r="Z53" i="11" s="1"/>
  <c r="Z54" i="11"/>
  <c r="Z55" i="11" s="1"/>
  <c r="Z56" i="11" s="1"/>
  <c r="Z57" i="11"/>
  <c r="Z58" i="11" s="1"/>
  <c r="Z59" i="11" s="1"/>
  <c r="Z60" i="11" s="1"/>
  <c r="Z61" i="11"/>
  <c r="Z62" i="11" s="1"/>
  <c r="Z63" i="11" s="1"/>
  <c r="Z64" i="11" s="1"/>
  <c r="Z65" i="11"/>
  <c r="Z66" i="11" s="1"/>
  <c r="Z67" i="11" s="1"/>
  <c r="Z68" i="11" s="1"/>
  <c r="Z69" i="11"/>
  <c r="Z70" i="11" s="1"/>
  <c r="Z71" i="11" s="1"/>
  <c r="Z72" i="11" s="1"/>
  <c r="Z73" i="11"/>
  <c r="Z74" i="11" s="1"/>
  <c r="Z75" i="11" s="1"/>
  <c r="Z76" i="11" s="1"/>
  <c r="Z77" i="11"/>
  <c r="Z78" i="11" s="1"/>
  <c r="Z79" i="11" s="1"/>
  <c r="Z80" i="11" s="1"/>
  <c r="Z81" i="11"/>
  <c r="Z82" i="11" s="1"/>
  <c r="Z83" i="11" s="1"/>
  <c r="Z84" i="11" s="1"/>
  <c r="Z85" i="11"/>
  <c r="Z86" i="11" s="1"/>
  <c r="Z87" i="11" s="1"/>
  <c r="Z88" i="11" s="1"/>
  <c r="Z89" i="11"/>
  <c r="Z90" i="11" s="1"/>
  <c r="Z91" i="11"/>
  <c r="Z92" i="11" s="1"/>
  <c r="Z93" i="11" s="1"/>
  <c r="Z94" i="11" s="1"/>
  <c r="Z95" i="11"/>
  <c r="Z96" i="11" s="1"/>
  <c r="Z97" i="11" s="1"/>
  <c r="Z98" i="11" s="1"/>
  <c r="Z99" i="11"/>
  <c r="Z100" i="11" s="1"/>
  <c r="Z101" i="11" s="1"/>
  <c r="Z102" i="11"/>
  <c r="Z103" i="11" s="1"/>
  <c r="Z104" i="11" s="1"/>
  <c r="Z105" i="11" s="1"/>
  <c r="Z106" i="11"/>
  <c r="Z107" i="11" s="1"/>
  <c r="Z108" i="11" s="1"/>
  <c r="Z109" i="11" s="1"/>
  <c r="Z110" i="11"/>
  <c r="Z111" i="11" s="1"/>
  <c r="Z112" i="11" s="1"/>
  <c r="Z113" i="11" s="1"/>
  <c r="Z114" i="11"/>
  <c r="Z115" i="11" s="1"/>
  <c r="Z116" i="11" s="1"/>
  <c r="Z117" i="11" s="1"/>
  <c r="Z118" i="11" s="1"/>
  <c r="Z119" i="11"/>
  <c r="Z120" i="11" s="1"/>
  <c r="Z121" i="11" s="1"/>
  <c r="Z122" i="11" s="1"/>
  <c r="Z123" i="11" s="1"/>
  <c r="Z124" i="11"/>
  <c r="Z125" i="11" s="1"/>
  <c r="Z126" i="11" s="1"/>
  <c r="Z127" i="11" s="1"/>
  <c r="Z128" i="11" s="1"/>
  <c r="Z129" i="11" s="1"/>
  <c r="Z130" i="11"/>
  <c r="Z131" i="11" s="1"/>
  <c r="Z132" i="11" s="1"/>
  <c r="Z133" i="11"/>
  <c r="Z134" i="11" s="1"/>
  <c r="Z135" i="11" s="1"/>
  <c r="Z136" i="11" s="1"/>
  <c r="Z137" i="11"/>
  <c r="Z138" i="11" s="1"/>
  <c r="Z139" i="11" s="1"/>
  <c r="Z140" i="11"/>
  <c r="Z141" i="11" s="1"/>
  <c r="Z142" i="11" s="1"/>
  <c r="Z143" i="11" s="1"/>
  <c r="Z144" i="11"/>
  <c r="Z145" i="11" s="1"/>
  <c r="Z146" i="11" s="1"/>
  <c r="Z147" i="11"/>
  <c r="Z148" i="11" s="1"/>
  <c r="Z149" i="11" s="1"/>
  <c r="Z150" i="11"/>
  <c r="Z151" i="11" s="1"/>
  <c r="Z152" i="11" s="1"/>
  <c r="Z153" i="11"/>
  <c r="Z154" i="11" s="1"/>
  <c r="Z155" i="11" s="1"/>
  <c r="Z156" i="11"/>
  <c r="Z157" i="11" s="1"/>
  <c r="Z158" i="11" s="1"/>
  <c r="Z159" i="11"/>
  <c r="Z160" i="11" s="1"/>
  <c r="Z161" i="11" s="1"/>
  <c r="Z162" i="11"/>
  <c r="Z163" i="11" s="1"/>
  <c r="Z164" i="11"/>
  <c r="Z165" i="11" s="1"/>
  <c r="Z166" i="11"/>
  <c r="Z167" i="11" s="1"/>
  <c r="Z168" i="11" s="1"/>
  <c r="Z169" i="11"/>
  <c r="Z170" i="11" s="1"/>
  <c r="Z171" i="11" s="1"/>
  <c r="Z172" i="11"/>
  <c r="Z173" i="11" s="1"/>
  <c r="Z174" i="11" s="1"/>
  <c r="Z175" i="11"/>
  <c r="Z176" i="11" s="1"/>
  <c r="Z177" i="11" s="1"/>
  <c r="Z178" i="11"/>
  <c r="Z179" i="11" s="1"/>
  <c r="Z180" i="11" s="1"/>
  <c r="Z181" i="11" s="1"/>
  <c r="Z182" i="11"/>
  <c r="Z183" i="11" s="1"/>
  <c r="Z184" i="11" s="1"/>
  <c r="Z185" i="11" s="1"/>
  <c r="Z186" i="11"/>
  <c r="Z187" i="11" s="1"/>
  <c r="Z188" i="11" s="1"/>
  <c r="Z189" i="11"/>
  <c r="Z190" i="11" s="1"/>
  <c r="Z191" i="11" s="1"/>
  <c r="Z192" i="11" s="1"/>
  <c r="Z193" i="11"/>
  <c r="Z194" i="11" s="1"/>
  <c r="Z195" i="11" s="1"/>
  <c r="Z196" i="11"/>
  <c r="Z197" i="11" s="1"/>
  <c r="Z198" i="11" s="1"/>
  <c r="Z199" i="11" s="1"/>
  <c r="Z200" i="11"/>
  <c r="Z201" i="11" s="1"/>
  <c r="Z202" i="11" s="1"/>
  <c r="Z203" i="11"/>
  <c r="Z204" i="11" s="1"/>
  <c r="Z205" i="11"/>
  <c r="Z206" i="11" s="1"/>
  <c r="Z207" i="11"/>
  <c r="Z208" i="11" s="1"/>
  <c r="Z209" i="11" s="1"/>
  <c r="N10" i="11"/>
  <c r="N11" i="11"/>
  <c r="Q11" i="11" s="1"/>
  <c r="N12" i="11"/>
  <c r="Q12" i="11" s="1"/>
  <c r="N14" i="11"/>
  <c r="N15" i="11"/>
  <c r="Q15" i="11" s="1"/>
  <c r="N16" i="11"/>
  <c r="Q16" i="11" s="1"/>
  <c r="N18" i="11"/>
  <c r="Q18" i="11" s="1"/>
  <c r="N19" i="11"/>
  <c r="Q19" i="11" s="1"/>
  <c r="N21" i="11"/>
  <c r="Q21" i="11" s="1"/>
  <c r="N22" i="11"/>
  <c r="N23" i="11"/>
  <c r="Q23" i="11" s="1"/>
  <c r="N25" i="11"/>
  <c r="Q25" i="11" s="1"/>
  <c r="N26" i="11"/>
  <c r="N27" i="11"/>
  <c r="Q27" i="11" s="1"/>
  <c r="N29" i="11"/>
  <c r="N30" i="11"/>
  <c r="Q30" i="11" s="1"/>
  <c r="N31" i="11"/>
  <c r="N33" i="11"/>
  <c r="Q33" i="11" s="1"/>
  <c r="N34" i="11"/>
  <c r="Q34" i="11" s="1"/>
  <c r="N35" i="11"/>
  <c r="Q35" i="11" s="1"/>
  <c r="N37" i="11"/>
  <c r="Q37" i="11" s="1"/>
  <c r="N38" i="11"/>
  <c r="Q38" i="11" s="1"/>
  <c r="N39" i="11"/>
  <c r="Q39" i="11" s="1"/>
  <c r="N41" i="11"/>
  <c r="Q41" i="11" s="1"/>
  <c r="N42" i="11"/>
  <c r="Q42" i="11" s="1"/>
  <c r="N43" i="11"/>
  <c r="N45" i="11"/>
  <c r="N46" i="11"/>
  <c r="N47" i="11"/>
  <c r="Q47" i="11" s="1"/>
  <c r="N48" i="11"/>
  <c r="Q48" i="11" s="1"/>
  <c r="N50" i="11"/>
  <c r="N51" i="11"/>
  <c r="Q51" i="11" s="1"/>
  <c r="N52" i="11"/>
  <c r="Q52" i="11" s="1"/>
  <c r="N54" i="11"/>
  <c r="N55" i="11"/>
  <c r="Q55" i="11" s="1"/>
  <c r="N57" i="11"/>
  <c r="N58" i="11"/>
  <c r="Q58" i="11" s="1"/>
  <c r="N59" i="11"/>
  <c r="N61" i="11"/>
  <c r="N62" i="11"/>
  <c r="Q62" i="11" s="1"/>
  <c r="N63" i="11"/>
  <c r="N65" i="11"/>
  <c r="N66" i="11"/>
  <c r="N67" i="11"/>
  <c r="Q67" i="11" s="1"/>
  <c r="N69" i="11"/>
  <c r="Q69" i="11" s="1"/>
  <c r="N70" i="11"/>
  <c r="Q70" i="11" s="1"/>
  <c r="N71" i="11"/>
  <c r="N73" i="11"/>
  <c r="N74" i="11"/>
  <c r="N75" i="11"/>
  <c r="Q75" i="11" s="1"/>
  <c r="N77" i="11"/>
  <c r="N78" i="11"/>
  <c r="Q78" i="11" s="1"/>
  <c r="N79" i="11"/>
  <c r="N81" i="11"/>
  <c r="N82" i="11"/>
  <c r="N83" i="11"/>
  <c r="Q83" i="11" s="1"/>
  <c r="N85" i="11"/>
  <c r="Q85" i="11" s="1"/>
  <c r="N86" i="11"/>
  <c r="Q86" i="11" s="1"/>
  <c r="N87" i="11"/>
  <c r="Q87" i="11" s="1"/>
  <c r="N89" i="11"/>
  <c r="Q89" i="11" s="1"/>
  <c r="Q90" i="11" s="1"/>
  <c r="N91" i="11"/>
  <c r="N92" i="11"/>
  <c r="Q92" i="11" s="1"/>
  <c r="N93" i="11"/>
  <c r="Q93" i="11" s="1"/>
  <c r="N95" i="11"/>
  <c r="Q95" i="11" s="1"/>
  <c r="N96" i="11"/>
  <c r="Q96" i="11" s="1"/>
  <c r="N97" i="11"/>
  <c r="Q97" i="11" s="1"/>
  <c r="N99" i="11"/>
  <c r="Q99" i="11" s="1"/>
  <c r="N100" i="11"/>
  <c r="Q100" i="11" s="1"/>
  <c r="N102" i="11"/>
  <c r="N103" i="11"/>
  <c r="Q103" i="11" s="1"/>
  <c r="N104" i="11"/>
  <c r="Q104" i="11" s="1"/>
  <c r="N106" i="11"/>
  <c r="N107" i="11"/>
  <c r="Q107" i="11" s="1"/>
  <c r="N108" i="11"/>
  <c r="Q108" i="11" s="1"/>
  <c r="N110" i="11"/>
  <c r="Q110" i="11" s="1"/>
  <c r="N111" i="11"/>
  <c r="Q111" i="11" s="1"/>
  <c r="N112" i="11"/>
  <c r="Q112" i="11" s="1"/>
  <c r="N114" i="11"/>
  <c r="N115" i="11"/>
  <c r="Q115" i="11" s="1"/>
  <c r="N116" i="11"/>
  <c r="Q116" i="11" s="1"/>
  <c r="N117" i="11"/>
  <c r="Q117" i="11" s="1"/>
  <c r="N119" i="11"/>
  <c r="N120" i="11"/>
  <c r="Q120" i="11" s="1"/>
  <c r="N121" i="11"/>
  <c r="Q121" i="11" s="1"/>
  <c r="N122" i="11"/>
  <c r="Q122" i="11" s="1"/>
  <c r="N124" i="11"/>
  <c r="N125" i="11"/>
  <c r="Q125" i="11" s="1"/>
  <c r="N126" i="11"/>
  <c r="Q126" i="11" s="1"/>
  <c r="N127" i="11"/>
  <c r="Q127" i="11" s="1"/>
  <c r="N128" i="11"/>
  <c r="Q128" i="11" s="1"/>
  <c r="N130" i="11"/>
  <c r="N131" i="11"/>
  <c r="Q131" i="11" s="1"/>
  <c r="N133" i="11"/>
  <c r="N134" i="11"/>
  <c r="Q134" i="11" s="1"/>
  <c r="N135" i="11"/>
  <c r="Q135" i="11" s="1"/>
  <c r="N137" i="11"/>
  <c r="N138" i="11"/>
  <c r="Q138" i="11" s="1"/>
  <c r="N140" i="11"/>
  <c r="N141" i="11"/>
  <c r="Q141" i="11" s="1"/>
  <c r="N142" i="11"/>
  <c r="Q142" i="11" s="1"/>
  <c r="N144" i="11"/>
  <c r="N145" i="11"/>
  <c r="Q145" i="11" s="1"/>
  <c r="N147" i="11"/>
  <c r="N148" i="11"/>
  <c r="Q148" i="11" s="1"/>
  <c r="N150" i="11"/>
  <c r="N151" i="11"/>
  <c r="Q151" i="11" s="1"/>
  <c r="N153" i="11"/>
  <c r="N154" i="11"/>
  <c r="Q154" i="11" s="1"/>
  <c r="N156" i="11"/>
  <c r="N157" i="11"/>
  <c r="Q157" i="11" s="1"/>
  <c r="N159" i="11"/>
  <c r="N160" i="11"/>
  <c r="Q160" i="11" s="1"/>
  <c r="N162" i="11"/>
  <c r="N164" i="11"/>
  <c r="N166" i="11"/>
  <c r="N167" i="11"/>
  <c r="Q167" i="11" s="1"/>
  <c r="N169" i="11"/>
  <c r="N170" i="11"/>
  <c r="Q170" i="11" s="1"/>
  <c r="N172" i="11"/>
  <c r="N173" i="11"/>
  <c r="Q173" i="11" s="1"/>
  <c r="N175" i="11"/>
  <c r="N176" i="11"/>
  <c r="Q176" i="11" s="1"/>
  <c r="N178" i="11"/>
  <c r="N179" i="11"/>
  <c r="Q179" i="11" s="1"/>
  <c r="N180" i="11"/>
  <c r="Q180" i="11" s="1"/>
  <c r="N182" i="11"/>
  <c r="N183" i="11"/>
  <c r="Q183" i="11" s="1"/>
  <c r="N184" i="11"/>
  <c r="Q184" i="11" s="1"/>
  <c r="N186" i="11"/>
  <c r="N187" i="11"/>
  <c r="Q187" i="11" s="1"/>
  <c r="N189" i="11"/>
  <c r="N190" i="11"/>
  <c r="Q190" i="11" s="1"/>
  <c r="N191" i="11"/>
  <c r="Q191" i="11" s="1"/>
  <c r="N193" i="11"/>
  <c r="N194" i="11"/>
  <c r="Q194" i="11" s="1"/>
  <c r="N196" i="11"/>
  <c r="N197" i="11"/>
  <c r="Q197" i="11" s="1"/>
  <c r="N198" i="11"/>
  <c r="Q198" i="11" s="1"/>
  <c r="N200" i="11"/>
  <c r="N201" i="11"/>
  <c r="Q201" i="11" s="1"/>
  <c r="N203" i="11"/>
  <c r="N205" i="11"/>
  <c r="N207" i="11"/>
  <c r="N208" i="11"/>
  <c r="Q208" i="11" s="1"/>
  <c r="B50" i="26" l="1"/>
  <c r="O211" i="11"/>
  <c r="L211" i="11"/>
  <c r="R211" i="11"/>
  <c r="M211" i="11"/>
  <c r="S211" i="11"/>
  <c r="Q101" i="11"/>
  <c r="Q20" i="11"/>
  <c r="K211" i="11"/>
  <c r="N56" i="11"/>
  <c r="Q88" i="11"/>
  <c r="N17" i="11"/>
  <c r="N80" i="11"/>
  <c r="N28" i="11"/>
  <c r="Q150" i="11"/>
  <c r="Q152" i="11" s="1"/>
  <c r="N152" i="11"/>
  <c r="Q106" i="11"/>
  <c r="Q109" i="11" s="1"/>
  <c r="N109" i="11"/>
  <c r="Q102" i="11"/>
  <c r="Q105" i="11" s="1"/>
  <c r="N105" i="11"/>
  <c r="Q91" i="11"/>
  <c r="Q94" i="11" s="1"/>
  <c r="N94" i="11"/>
  <c r="Q65" i="11"/>
  <c r="N68" i="11"/>
  <c r="Q29" i="11"/>
  <c r="N32" i="11"/>
  <c r="Q205" i="11"/>
  <c r="Q206" i="11" s="1"/>
  <c r="N206" i="11"/>
  <c r="Q200" i="11"/>
  <c r="Q202" i="11" s="1"/>
  <c r="N202" i="11"/>
  <c r="Q182" i="11"/>
  <c r="Q185" i="11" s="1"/>
  <c r="N185" i="11"/>
  <c r="Q164" i="11"/>
  <c r="Q165" i="11" s="1"/>
  <c r="N165" i="11"/>
  <c r="Q156" i="11"/>
  <c r="Q158" i="11" s="1"/>
  <c r="N158" i="11"/>
  <c r="Q140" i="11"/>
  <c r="Q143" i="11" s="1"/>
  <c r="N143" i="11"/>
  <c r="Q113" i="11"/>
  <c r="Q98" i="11"/>
  <c r="Q36" i="11"/>
  <c r="Q40" i="11"/>
  <c r="Q159" i="11"/>
  <c r="Q161" i="11" s="1"/>
  <c r="N161" i="11"/>
  <c r="Q147" i="11"/>
  <c r="Q149" i="11" s="1"/>
  <c r="N149" i="11"/>
  <c r="Q114" i="11"/>
  <c r="Q118" i="11" s="1"/>
  <c r="N118" i="11"/>
  <c r="Q57" i="11"/>
  <c r="N60" i="11"/>
  <c r="Q196" i="11"/>
  <c r="Q199" i="11" s="1"/>
  <c r="N199" i="11"/>
  <c r="Q189" i="11"/>
  <c r="Q192" i="11" s="1"/>
  <c r="N192" i="11"/>
  <c r="Q178" i="11"/>
  <c r="Q181" i="11" s="1"/>
  <c r="N181" i="11"/>
  <c r="Q172" i="11"/>
  <c r="Q174" i="11" s="1"/>
  <c r="N174" i="11"/>
  <c r="Q166" i="11"/>
  <c r="Q168" i="11" s="1"/>
  <c r="N168" i="11"/>
  <c r="Q130" i="11"/>
  <c r="Q132" i="11" s="1"/>
  <c r="N132" i="11"/>
  <c r="Q124" i="11"/>
  <c r="Q129" i="11" s="1"/>
  <c r="N129" i="11"/>
  <c r="Q73" i="11"/>
  <c r="N76" i="11"/>
  <c r="Q61" i="11"/>
  <c r="N64" i="11"/>
  <c r="N53" i="11"/>
  <c r="N36" i="11"/>
  <c r="N40" i="11"/>
  <c r="N24" i="11"/>
  <c r="N44" i="11"/>
  <c r="N72" i="11"/>
  <c r="Q207" i="11"/>
  <c r="Q209" i="11" s="1"/>
  <c r="N209" i="11"/>
  <c r="Q193" i="11"/>
  <c r="Q195" i="11" s="1"/>
  <c r="N195" i="11"/>
  <c r="Q186" i="11"/>
  <c r="Q188" i="11" s="1"/>
  <c r="N188" i="11"/>
  <c r="Q175" i="11"/>
  <c r="Q177" i="11" s="1"/>
  <c r="N177" i="11"/>
  <c r="Q169" i="11"/>
  <c r="Q171" i="11" s="1"/>
  <c r="N171" i="11"/>
  <c r="Q162" i="11"/>
  <c r="Q163" i="11" s="1"/>
  <c r="N163" i="11"/>
  <c r="Q144" i="11"/>
  <c r="Q146" i="11" s="1"/>
  <c r="N146" i="11"/>
  <c r="Q133" i="11"/>
  <c r="Q136" i="11" s="1"/>
  <c r="N136" i="11"/>
  <c r="Q81" i="11"/>
  <c r="N84" i="11"/>
  <c r="Q203" i="11"/>
  <c r="Q204" i="11" s="1"/>
  <c r="N204" i="11"/>
  <c r="Q153" i="11"/>
  <c r="Q155" i="11" s="1"/>
  <c r="N155" i="11"/>
  <c r="Q137" i="11"/>
  <c r="Q139" i="11" s="1"/>
  <c r="N139" i="11"/>
  <c r="Q119" i="11"/>
  <c r="Q123" i="11" s="1"/>
  <c r="N123" i="11"/>
  <c r="Q45" i="11"/>
  <c r="N49" i="11"/>
  <c r="N13" i="11"/>
  <c r="N20" i="11"/>
  <c r="N88" i="11"/>
  <c r="N90" i="11"/>
  <c r="N98" i="11"/>
  <c r="N101" i="11"/>
  <c r="N113" i="11"/>
  <c r="K2040" i="20"/>
  <c r="K2003" i="20"/>
  <c r="B2000" i="20" s="1"/>
  <c r="K1966" i="20"/>
  <c r="K1929" i="20"/>
  <c r="B1926" i="20"/>
  <c r="K1892" i="20"/>
  <c r="K1855" i="20"/>
  <c r="B56" i="26" l="1"/>
  <c r="J1856" i="20"/>
  <c r="J1930" i="20"/>
  <c r="J2004" i="20"/>
  <c r="B1963" i="20"/>
  <c r="J1967" i="20"/>
  <c r="J1893" i="20"/>
  <c r="B1889" i="20"/>
  <c r="B1852" i="20"/>
  <c r="J2041" i="20"/>
  <c r="B2037" i="20"/>
  <c r="P2680" i="19"/>
  <c r="P2580" i="19"/>
  <c r="P2480" i="19"/>
  <c r="P2380" i="19"/>
  <c r="P2280" i="19"/>
  <c r="O2280" i="19"/>
  <c r="P2080" i="19"/>
  <c r="P1980" i="19"/>
  <c r="P1880" i="19"/>
  <c r="P1809" i="19"/>
  <c r="P1808" i="19"/>
  <c r="P1807" i="19"/>
  <c r="P1806" i="19"/>
  <c r="P1805" i="19"/>
  <c r="P1804" i="19"/>
  <c r="P1803" i="19"/>
  <c r="P1802" i="19"/>
  <c r="P1801" i="19"/>
  <c r="P1800" i="19"/>
  <c r="P1680" i="19"/>
  <c r="O1680" i="19"/>
  <c r="P1580" i="19"/>
  <c r="P1480" i="19"/>
  <c r="P1380" i="19"/>
  <c r="P1280" i="19"/>
  <c r="P1180" i="19"/>
  <c r="O1180" i="19"/>
  <c r="P980" i="19"/>
  <c r="P880" i="19"/>
  <c r="P809" i="19"/>
  <c r="P808" i="19"/>
  <c r="P807" i="19"/>
  <c r="P804" i="19"/>
  <c r="O804" i="19"/>
  <c r="P803" i="19"/>
  <c r="O803" i="19"/>
  <c r="P802" i="19"/>
  <c r="O802" i="19"/>
  <c r="P801" i="19"/>
  <c r="O801" i="19"/>
  <c r="P800" i="19"/>
  <c r="O800" i="19"/>
  <c r="P780" i="19"/>
  <c r="P580" i="19"/>
  <c r="O580" i="19"/>
  <c r="P480" i="19"/>
  <c r="P380" i="19"/>
  <c r="P280" i="19"/>
  <c r="P180" i="19"/>
  <c r="P80" i="19"/>
  <c r="O80" i="19"/>
  <c r="P2682" i="19"/>
  <c r="P2582" i="19"/>
  <c r="P2482" i="19"/>
  <c r="P2282" i="19"/>
  <c r="O2282" i="19"/>
  <c r="P2182" i="19"/>
  <c r="P2082" i="19"/>
  <c r="P1982" i="19"/>
  <c r="P1882" i="19"/>
  <c r="P1829" i="19"/>
  <c r="P1828" i="19"/>
  <c r="P1827" i="19"/>
  <c r="P1826" i="19"/>
  <c r="P1825" i="19"/>
  <c r="P1824" i="19"/>
  <c r="P1823" i="19"/>
  <c r="P1822" i="19"/>
  <c r="P1821" i="19"/>
  <c r="P1820" i="19"/>
  <c r="P1782" i="19"/>
  <c r="P1682" i="19"/>
  <c r="O1682" i="19"/>
  <c r="P1582" i="19"/>
  <c r="P1482" i="19"/>
  <c r="P1382" i="19"/>
  <c r="P1182" i="19"/>
  <c r="O1182" i="19"/>
  <c r="P1082" i="19"/>
  <c r="P982" i="19"/>
  <c r="P882" i="19"/>
  <c r="P829" i="19"/>
  <c r="P828" i="19"/>
  <c r="P827" i="19"/>
  <c r="P825" i="19"/>
  <c r="P824" i="19"/>
  <c r="P823" i="19"/>
  <c r="P822" i="19"/>
  <c r="P821" i="19"/>
  <c r="P820" i="19"/>
  <c r="P782" i="19"/>
  <c r="P682" i="19"/>
  <c r="P582" i="19"/>
  <c r="O582" i="19"/>
  <c r="P482" i="19"/>
  <c r="P382" i="19"/>
  <c r="P282" i="19"/>
  <c r="P82" i="19"/>
  <c r="O82" i="19"/>
  <c r="P2685" i="19"/>
  <c r="P2585" i="19"/>
  <c r="P2485" i="19"/>
  <c r="P2285" i="19"/>
  <c r="O2285" i="19"/>
  <c r="P2185" i="19"/>
  <c r="P2085" i="19"/>
  <c r="P1985" i="19"/>
  <c r="P1885" i="19"/>
  <c r="P1859" i="19"/>
  <c r="P1858" i="19"/>
  <c r="P1857" i="19"/>
  <c r="P1856" i="19"/>
  <c r="P1855" i="19"/>
  <c r="P1854" i="19"/>
  <c r="P1853" i="19"/>
  <c r="P1852" i="19"/>
  <c r="P1785" i="19"/>
  <c r="O1785" i="19"/>
  <c r="P1585" i="19"/>
  <c r="P1485" i="19"/>
  <c r="P1385" i="19"/>
  <c r="P1185" i="19"/>
  <c r="O1185" i="19"/>
  <c r="P1085" i="19"/>
  <c r="P985" i="19"/>
  <c r="P885" i="19"/>
  <c r="P859" i="19"/>
  <c r="O859" i="19"/>
  <c r="P858" i="19"/>
  <c r="O858" i="19"/>
  <c r="P857" i="19"/>
  <c r="O857" i="19"/>
  <c r="P856" i="19"/>
  <c r="O856" i="19"/>
  <c r="P855" i="19"/>
  <c r="O855" i="19"/>
  <c r="P854" i="19"/>
  <c r="O854" i="19"/>
  <c r="P853" i="19"/>
  <c r="O853" i="19"/>
  <c r="P852" i="19"/>
  <c r="O852" i="19"/>
  <c r="P851" i="19"/>
  <c r="O851" i="19"/>
  <c r="P850" i="19"/>
  <c r="O850" i="19"/>
  <c r="P785" i="19"/>
  <c r="P685" i="19"/>
  <c r="O685" i="19"/>
  <c r="P485" i="19"/>
  <c r="P385" i="19"/>
  <c r="P285" i="19"/>
  <c r="P85" i="19"/>
  <c r="O85" i="19"/>
  <c r="P2684" i="19"/>
  <c r="P2584" i="19"/>
  <c r="P2484" i="19"/>
  <c r="P2384" i="19"/>
  <c r="P2284" i="19"/>
  <c r="O2284" i="19"/>
  <c r="P2184" i="19"/>
  <c r="P2084" i="19"/>
  <c r="P1984" i="19"/>
  <c r="P1884" i="19"/>
  <c r="P1849" i="19"/>
  <c r="O1849" i="19"/>
  <c r="P1848" i="19"/>
  <c r="O1848" i="19"/>
  <c r="P1847" i="19"/>
  <c r="O1847" i="19"/>
  <c r="P1846" i="19"/>
  <c r="O1846" i="19"/>
  <c r="P1845" i="19"/>
  <c r="O1845" i="19"/>
  <c r="P1844" i="19"/>
  <c r="O1844" i="19"/>
  <c r="P1843" i="19"/>
  <c r="O1843" i="19"/>
  <c r="P1842" i="19"/>
  <c r="O1842" i="19"/>
  <c r="P1841" i="19"/>
  <c r="O1841" i="19"/>
  <c r="P1840" i="19"/>
  <c r="O1840" i="19"/>
  <c r="P1784" i="19"/>
  <c r="O1784" i="19"/>
  <c r="P1684" i="19"/>
  <c r="O1684" i="19"/>
  <c r="P1584" i="19"/>
  <c r="P1484" i="19"/>
  <c r="P1384" i="19"/>
  <c r="P1284" i="19"/>
  <c r="P1184" i="19"/>
  <c r="O1184" i="19"/>
  <c r="P1084" i="19"/>
  <c r="P984" i="19"/>
  <c r="P884" i="19"/>
  <c r="P849" i="19"/>
  <c r="O849" i="19"/>
  <c r="O848" i="19"/>
  <c r="P847" i="19"/>
  <c r="P846" i="19"/>
  <c r="P844" i="19"/>
  <c r="P841" i="19"/>
  <c r="P840" i="19"/>
  <c r="P784" i="19"/>
  <c r="P684" i="19"/>
  <c r="O684" i="19"/>
  <c r="P584" i="19"/>
  <c r="O584" i="19"/>
  <c r="P484" i="19"/>
  <c r="P384" i="19"/>
  <c r="P284" i="19"/>
  <c r="P184" i="19"/>
  <c r="P84" i="19"/>
  <c r="O84" i="19"/>
  <c r="P2686" i="19"/>
  <c r="P2486" i="19"/>
  <c r="P2386" i="19"/>
  <c r="P2286" i="19"/>
  <c r="O2286" i="19"/>
  <c r="P2186" i="19"/>
  <c r="P2086" i="19"/>
  <c r="P1986" i="19"/>
  <c r="P1886" i="19"/>
  <c r="P1869" i="19"/>
  <c r="P1868" i="19"/>
  <c r="P1867" i="19"/>
  <c r="P1866" i="19"/>
  <c r="P1865" i="19"/>
  <c r="P1864" i="19"/>
  <c r="P1863" i="19"/>
  <c r="P1862" i="19"/>
  <c r="P1861" i="19"/>
  <c r="P1860" i="19"/>
  <c r="P1786" i="19"/>
  <c r="O1786" i="19"/>
  <c r="P1586" i="19"/>
  <c r="P1386" i="19"/>
  <c r="P1286" i="19"/>
  <c r="P1186" i="19"/>
  <c r="O1186" i="19"/>
  <c r="P1086" i="19"/>
  <c r="P986" i="19"/>
  <c r="P886" i="19"/>
  <c r="P869" i="19"/>
  <c r="P868" i="19"/>
  <c r="P867" i="19"/>
  <c r="P866" i="19"/>
  <c r="P865" i="19"/>
  <c r="P864" i="19"/>
  <c r="P863" i="19"/>
  <c r="P862" i="19"/>
  <c r="P786" i="19"/>
  <c r="P686" i="19"/>
  <c r="O686" i="19"/>
  <c r="P486" i="19"/>
  <c r="P286" i="19"/>
  <c r="P186" i="19"/>
  <c r="P86" i="19"/>
  <c r="O86" i="19"/>
  <c r="P2688" i="19"/>
  <c r="P2588" i="19"/>
  <c r="P2488" i="19"/>
  <c r="O2388" i="19"/>
  <c r="P2288" i="19"/>
  <c r="O2288" i="19"/>
  <c r="P2188" i="19"/>
  <c r="P2088" i="19"/>
  <c r="P1988" i="19"/>
  <c r="P1889" i="19"/>
  <c r="P1883" i="19"/>
  <c r="P1881" i="19"/>
  <c r="P1788" i="19"/>
  <c r="O1788" i="19"/>
  <c r="P1688" i="19"/>
  <c r="P1588" i="19"/>
  <c r="P1488" i="19"/>
  <c r="P1388" i="19"/>
  <c r="O1288" i="19"/>
  <c r="P1188" i="19"/>
  <c r="O1188" i="19"/>
  <c r="P1088" i="19"/>
  <c r="P988" i="19"/>
  <c r="P889" i="19"/>
  <c r="P888" i="19"/>
  <c r="P887" i="19"/>
  <c r="P883" i="19"/>
  <c r="P688" i="19"/>
  <c r="O688" i="19"/>
  <c r="P588" i="19"/>
  <c r="P488" i="19"/>
  <c r="P388" i="19"/>
  <c r="P288" i="19"/>
  <c r="O188" i="19"/>
  <c r="P88" i="19"/>
  <c r="O88" i="19"/>
  <c r="P2750" i="19"/>
  <c r="P2749" i="19"/>
  <c r="P2748" i="19"/>
  <c r="P2747" i="19"/>
  <c r="P2746" i="19"/>
  <c r="P2745" i="19"/>
  <c r="P2744" i="19"/>
  <c r="P2743" i="19"/>
  <c r="P2742" i="19"/>
  <c r="P2741" i="19"/>
  <c r="P2740" i="19"/>
  <c r="P2739" i="19"/>
  <c r="P2738" i="19"/>
  <c r="P2737" i="19"/>
  <c r="P2736" i="19"/>
  <c r="P2735" i="19"/>
  <c r="P2734" i="19"/>
  <c r="P2733" i="19"/>
  <c r="P2732" i="19"/>
  <c r="P2729" i="19"/>
  <c r="O2729" i="19"/>
  <c r="P2728" i="19"/>
  <c r="O2728" i="19"/>
  <c r="P2727" i="19"/>
  <c r="O2727" i="19"/>
  <c r="P2726" i="19"/>
  <c r="O2726" i="19"/>
  <c r="P2725" i="19"/>
  <c r="O2725" i="19"/>
  <c r="P2724" i="19"/>
  <c r="O2724" i="19"/>
  <c r="P2723" i="19"/>
  <c r="O2723" i="19"/>
  <c r="P2722" i="19"/>
  <c r="O2722" i="19"/>
  <c r="P2721" i="19"/>
  <c r="O2721" i="19"/>
  <c r="P2720" i="19"/>
  <c r="O2720" i="19"/>
  <c r="P2719" i="19"/>
  <c r="O2719" i="19"/>
  <c r="O2718" i="19"/>
  <c r="P2717" i="19"/>
  <c r="P2716" i="19"/>
  <c r="P2714" i="19"/>
  <c r="P2711" i="19"/>
  <c r="P2710" i="19"/>
  <c r="P2709" i="19"/>
  <c r="P2708" i="19"/>
  <c r="P2707" i="19"/>
  <c r="P2706" i="19"/>
  <c r="P2705" i="19"/>
  <c r="P2704" i="19"/>
  <c r="P2703" i="19"/>
  <c r="P2702" i="19"/>
  <c r="P2701" i="19"/>
  <c r="P2700" i="19"/>
  <c r="P2699" i="19"/>
  <c r="P2698" i="19"/>
  <c r="P2697" i="19"/>
  <c r="P2695" i="19"/>
  <c r="P2694" i="19"/>
  <c r="P2693" i="19"/>
  <c r="P2692" i="19"/>
  <c r="P2691" i="19"/>
  <c r="P2690" i="19"/>
  <c r="P2689" i="19"/>
  <c r="P2687" i="19"/>
  <c r="P2683" i="19"/>
  <c r="P2681" i="19"/>
  <c r="P2679" i="19"/>
  <c r="P2678" i="19"/>
  <c r="P2677" i="19"/>
  <c r="P2674" i="19"/>
  <c r="O2674" i="19"/>
  <c r="P2673" i="19"/>
  <c r="O2673" i="19"/>
  <c r="P2672" i="19"/>
  <c r="O2672" i="19"/>
  <c r="P2671" i="19"/>
  <c r="O2671" i="19"/>
  <c r="P2670" i="19"/>
  <c r="O2670" i="19"/>
  <c r="P2669" i="19"/>
  <c r="O2669" i="19"/>
  <c r="P2668" i="19"/>
  <c r="O2668" i="19"/>
  <c r="P2667" i="19"/>
  <c r="O2667" i="19"/>
  <c r="P2666" i="19"/>
  <c r="O2666" i="19"/>
  <c r="P2665" i="19"/>
  <c r="O2665" i="19"/>
  <c r="P2664" i="19"/>
  <c r="O2664" i="19"/>
  <c r="O2663" i="19"/>
  <c r="P2662" i="19"/>
  <c r="P2661" i="19"/>
  <c r="P2659" i="19"/>
  <c r="P2656" i="19"/>
  <c r="P2655" i="19"/>
  <c r="P2654" i="19"/>
  <c r="P2653" i="19"/>
  <c r="P2652" i="19"/>
  <c r="P2651" i="19"/>
  <c r="P2650" i="19"/>
  <c r="P2649" i="19"/>
  <c r="P2648" i="19"/>
  <c r="P2647" i="19"/>
  <c r="P2646" i="19"/>
  <c r="P2645" i="19"/>
  <c r="P2644" i="19"/>
  <c r="P2643" i="19"/>
  <c r="P2642" i="19"/>
  <c r="P2640" i="19"/>
  <c r="P2639" i="19"/>
  <c r="P2638" i="19"/>
  <c r="P2637" i="19"/>
  <c r="P2636" i="19"/>
  <c r="P2635" i="19"/>
  <c r="P2634" i="19"/>
  <c r="P2633" i="19"/>
  <c r="P2632" i="19"/>
  <c r="P2631" i="19"/>
  <c r="P2630" i="19"/>
  <c r="P2629" i="19"/>
  <c r="P2628" i="19"/>
  <c r="P2627" i="19"/>
  <c r="P2626" i="19"/>
  <c r="P2625" i="19"/>
  <c r="P2624" i="19"/>
  <c r="P2623" i="19"/>
  <c r="P2622" i="19"/>
  <c r="P2619" i="19"/>
  <c r="O2619" i="19"/>
  <c r="P2618" i="19"/>
  <c r="O2618" i="19"/>
  <c r="P2617" i="19"/>
  <c r="O2617" i="19"/>
  <c r="P2616" i="19"/>
  <c r="O2616" i="19"/>
  <c r="P2615" i="19"/>
  <c r="O2615" i="19"/>
  <c r="P2614" i="19"/>
  <c r="O2614" i="19"/>
  <c r="P2613" i="19"/>
  <c r="O2613" i="19"/>
  <c r="P2612" i="19"/>
  <c r="O2612" i="19"/>
  <c r="P2611" i="19"/>
  <c r="O2611" i="19"/>
  <c r="P2610" i="19"/>
  <c r="O2610" i="19"/>
  <c r="P2609" i="19"/>
  <c r="O2609" i="19"/>
  <c r="O2608" i="19"/>
  <c r="P2607" i="19"/>
  <c r="P2606" i="19"/>
  <c r="P2604" i="19"/>
  <c r="P2601" i="19"/>
  <c r="P2600" i="19"/>
  <c r="P2599" i="19"/>
  <c r="P2598" i="19"/>
  <c r="P2597" i="19"/>
  <c r="P2596" i="19"/>
  <c r="P2595" i="19"/>
  <c r="P2594" i="19"/>
  <c r="P2593" i="19"/>
  <c r="P2592" i="19"/>
  <c r="P2591" i="19"/>
  <c r="P2590" i="19"/>
  <c r="P2589" i="19"/>
  <c r="P2587" i="19"/>
  <c r="P2583" i="19"/>
  <c r="P2581" i="19"/>
  <c r="P2579" i="19"/>
  <c r="P2578" i="19"/>
  <c r="P2577" i="19"/>
  <c r="P2576" i="19"/>
  <c r="P2575" i="19"/>
  <c r="P2574" i="19"/>
  <c r="P2573" i="19"/>
  <c r="P2572" i="19"/>
  <c r="P2571" i="19"/>
  <c r="P2570" i="19"/>
  <c r="P2569" i="19"/>
  <c r="P2568" i="19"/>
  <c r="P2567" i="19"/>
  <c r="P2564" i="19"/>
  <c r="O2564" i="19"/>
  <c r="P2563" i="19"/>
  <c r="O2563" i="19"/>
  <c r="P2562" i="19"/>
  <c r="O2562" i="19"/>
  <c r="P2561" i="19"/>
  <c r="O2561" i="19"/>
  <c r="P2560" i="19"/>
  <c r="O2560" i="19"/>
  <c r="P2559" i="19"/>
  <c r="O2559" i="19"/>
  <c r="P2558" i="19"/>
  <c r="O2558" i="19"/>
  <c r="P2557" i="19"/>
  <c r="O2557" i="19"/>
  <c r="P2556" i="19"/>
  <c r="O2556" i="19"/>
  <c r="P2555" i="19"/>
  <c r="O2555" i="19"/>
  <c r="P2554" i="19"/>
  <c r="O2554" i="19"/>
  <c r="O2553" i="19"/>
  <c r="P2552" i="19"/>
  <c r="P2551" i="19"/>
  <c r="P2549" i="19"/>
  <c r="P2546" i="19"/>
  <c r="P2545" i="19"/>
  <c r="P2544" i="19"/>
  <c r="P2543" i="19"/>
  <c r="P2542" i="19"/>
  <c r="P2541" i="19"/>
  <c r="P2540" i="19"/>
  <c r="P2539" i="19"/>
  <c r="P2538" i="19"/>
  <c r="P2537" i="19"/>
  <c r="P2536" i="19"/>
  <c r="P2535" i="19"/>
  <c r="P2534" i="19"/>
  <c r="P2533" i="19"/>
  <c r="P2532" i="19"/>
  <c r="P2530" i="19"/>
  <c r="P2529" i="19"/>
  <c r="P2528" i="19"/>
  <c r="P2527" i="19"/>
  <c r="P2526" i="19"/>
  <c r="P2525" i="19"/>
  <c r="P2524" i="19"/>
  <c r="P2523" i="19"/>
  <c r="P2522" i="19"/>
  <c r="P2521" i="19"/>
  <c r="P2520" i="19"/>
  <c r="P2519" i="19"/>
  <c r="P2518" i="19"/>
  <c r="P2517" i="19"/>
  <c r="P2516" i="19"/>
  <c r="P2515" i="19"/>
  <c r="P2514" i="19"/>
  <c r="P2513" i="19"/>
  <c r="P2512" i="19"/>
  <c r="P2509" i="19"/>
  <c r="O2509" i="19"/>
  <c r="P2508" i="19"/>
  <c r="O2508" i="19"/>
  <c r="P2507" i="19"/>
  <c r="O2507" i="19"/>
  <c r="P2506" i="19"/>
  <c r="O2506" i="19"/>
  <c r="P2505" i="19"/>
  <c r="O2505" i="19"/>
  <c r="P2504" i="19"/>
  <c r="O2504" i="19"/>
  <c r="P2503" i="19"/>
  <c r="O2503" i="19"/>
  <c r="P2502" i="19"/>
  <c r="O2502" i="19"/>
  <c r="P2501" i="19"/>
  <c r="O2501" i="19"/>
  <c r="P2500" i="19"/>
  <c r="O2500" i="19"/>
  <c r="P2499" i="19"/>
  <c r="O2499" i="19"/>
  <c r="O2498" i="19"/>
  <c r="P2497" i="19"/>
  <c r="P2496" i="19"/>
  <c r="P2494" i="19"/>
  <c r="P2491" i="19"/>
  <c r="P2490" i="19"/>
  <c r="P2489" i="19"/>
  <c r="P2487" i="19"/>
  <c r="P2483" i="19"/>
  <c r="P2481" i="19"/>
  <c r="P2479" i="19"/>
  <c r="P2478" i="19"/>
  <c r="P2477" i="19"/>
  <c r="P2475" i="19"/>
  <c r="P2474" i="19"/>
  <c r="P2473" i="19"/>
  <c r="P2472" i="19"/>
  <c r="P2471" i="19"/>
  <c r="P2470" i="19"/>
  <c r="P2469" i="19"/>
  <c r="P2468" i="19"/>
  <c r="P2467" i="19"/>
  <c r="P2466" i="19"/>
  <c r="P2465" i="19"/>
  <c r="P2464" i="19"/>
  <c r="P2463" i="19"/>
  <c r="P2462" i="19"/>
  <c r="P2461" i="19"/>
  <c r="P2460" i="19"/>
  <c r="P2459" i="19"/>
  <c r="P2458" i="19"/>
  <c r="P2457" i="19"/>
  <c r="P2454" i="19"/>
  <c r="O2454" i="19"/>
  <c r="P2453" i="19"/>
  <c r="O2453" i="19"/>
  <c r="P2452" i="19"/>
  <c r="O2452" i="19"/>
  <c r="P2451" i="19"/>
  <c r="O2451" i="19"/>
  <c r="P2450" i="19"/>
  <c r="O2450" i="19"/>
  <c r="P2449" i="19"/>
  <c r="O2449" i="19"/>
  <c r="P2448" i="19"/>
  <c r="O2448" i="19"/>
  <c r="P2447" i="19"/>
  <c r="O2447" i="19"/>
  <c r="P2446" i="19"/>
  <c r="O2446" i="19"/>
  <c r="P2445" i="19"/>
  <c r="O2445" i="19"/>
  <c r="P2444" i="19"/>
  <c r="O2444" i="19"/>
  <c r="O2443" i="19"/>
  <c r="P2442" i="19"/>
  <c r="P2441" i="19"/>
  <c r="P2439" i="19"/>
  <c r="P2436" i="19"/>
  <c r="P2435" i="19"/>
  <c r="P2434" i="19"/>
  <c r="P2433" i="19"/>
  <c r="P2432" i="19"/>
  <c r="P2431" i="19"/>
  <c r="P2430" i="19"/>
  <c r="P2429" i="19"/>
  <c r="P2428" i="19"/>
  <c r="P2427" i="19"/>
  <c r="P2426" i="19"/>
  <c r="P2425" i="19"/>
  <c r="P2424" i="19"/>
  <c r="P2423" i="19"/>
  <c r="P2422" i="19"/>
  <c r="P2420" i="19"/>
  <c r="P2419" i="19"/>
  <c r="P2418" i="19"/>
  <c r="P2417" i="19"/>
  <c r="P2416" i="19"/>
  <c r="P2415" i="19"/>
  <c r="P2414" i="19"/>
  <c r="P2413" i="19"/>
  <c r="P2412" i="19"/>
  <c r="P2411" i="19"/>
  <c r="P2410" i="19"/>
  <c r="P2409" i="19"/>
  <c r="P2408" i="19"/>
  <c r="P2407" i="19"/>
  <c r="P2406" i="19"/>
  <c r="P2405" i="19"/>
  <c r="P2404" i="19"/>
  <c r="P2403" i="19"/>
  <c r="P2402" i="19"/>
  <c r="P2399" i="19"/>
  <c r="O2399" i="19"/>
  <c r="P2398" i="19"/>
  <c r="O2398" i="19"/>
  <c r="P2397" i="19"/>
  <c r="O2397" i="19"/>
  <c r="P2396" i="19"/>
  <c r="O2396" i="19"/>
  <c r="P2395" i="19"/>
  <c r="O2395" i="19"/>
  <c r="P2394" i="19"/>
  <c r="O2394" i="19"/>
  <c r="P2393" i="19"/>
  <c r="O2393" i="19"/>
  <c r="P2392" i="19"/>
  <c r="O2392" i="19"/>
  <c r="P2391" i="19"/>
  <c r="O2391" i="19"/>
  <c r="P2390" i="19"/>
  <c r="O2390" i="19"/>
  <c r="P2389" i="19"/>
  <c r="O2389" i="19"/>
  <c r="P2387" i="19"/>
  <c r="P2381" i="19"/>
  <c r="P2379" i="19"/>
  <c r="P2378" i="19"/>
  <c r="P2377" i="19"/>
  <c r="P2376" i="19"/>
  <c r="P2375" i="19"/>
  <c r="P2374" i="19"/>
  <c r="P2373" i="19"/>
  <c r="P2372" i="19"/>
  <c r="P2371" i="19"/>
  <c r="P2370" i="19"/>
  <c r="P2369" i="19"/>
  <c r="P2368" i="19"/>
  <c r="P2367" i="19"/>
  <c r="P2365" i="19"/>
  <c r="P2364" i="19"/>
  <c r="P2363" i="19"/>
  <c r="P2362" i="19"/>
  <c r="P2361" i="19"/>
  <c r="P2360" i="19"/>
  <c r="P2359" i="19"/>
  <c r="P2358" i="19"/>
  <c r="P2357" i="19"/>
  <c r="P2356" i="19"/>
  <c r="P2355" i="19"/>
  <c r="P2354" i="19"/>
  <c r="P2353" i="19"/>
  <c r="P2352" i="19"/>
  <c r="P2351" i="19"/>
  <c r="P2350" i="19"/>
  <c r="P2349" i="19"/>
  <c r="P2348" i="19"/>
  <c r="P2347" i="19"/>
  <c r="P2344" i="19"/>
  <c r="O2344" i="19"/>
  <c r="P2343" i="19"/>
  <c r="O2343" i="19"/>
  <c r="P2342" i="19"/>
  <c r="O2342" i="19"/>
  <c r="P2341" i="19"/>
  <c r="O2341" i="19"/>
  <c r="P2340" i="19"/>
  <c r="O2340" i="19"/>
  <c r="P2339" i="19"/>
  <c r="O2339" i="19"/>
  <c r="P2338" i="19"/>
  <c r="O2338" i="19"/>
  <c r="P2337" i="19"/>
  <c r="O2337" i="19"/>
  <c r="P2336" i="19"/>
  <c r="O2336" i="19"/>
  <c r="P2335" i="19"/>
  <c r="O2335" i="19"/>
  <c r="P2334" i="19"/>
  <c r="O2334" i="19"/>
  <c r="O2333" i="19"/>
  <c r="P2332" i="19"/>
  <c r="P2331" i="19"/>
  <c r="P2329" i="19"/>
  <c r="P2326" i="19"/>
  <c r="P2325" i="19"/>
  <c r="P2324" i="19"/>
  <c r="P2323" i="19"/>
  <c r="P2322" i="19"/>
  <c r="P2321" i="19"/>
  <c r="P2320" i="19"/>
  <c r="P2319" i="19"/>
  <c r="P2318" i="19"/>
  <c r="P2317" i="19"/>
  <c r="P2316" i="19"/>
  <c r="P2315" i="19"/>
  <c r="P2314" i="19"/>
  <c r="P2313" i="19"/>
  <c r="P2312" i="19"/>
  <c r="P2310" i="19"/>
  <c r="P2309" i="19"/>
  <c r="P2308" i="19"/>
  <c r="P2307" i="19"/>
  <c r="P2306" i="19"/>
  <c r="P2305" i="19"/>
  <c r="P2304" i="19"/>
  <c r="P2303" i="19"/>
  <c r="P2302" i="19"/>
  <c r="P2301" i="19"/>
  <c r="P2300" i="19"/>
  <c r="P2299" i="19"/>
  <c r="P2298" i="19"/>
  <c r="P2297" i="19"/>
  <c r="P2296" i="19"/>
  <c r="P2295" i="19"/>
  <c r="P2294" i="19"/>
  <c r="P2293" i="19"/>
  <c r="P2292" i="19"/>
  <c r="P2289" i="19"/>
  <c r="O2289" i="19"/>
  <c r="P2287" i="19"/>
  <c r="O2287" i="19"/>
  <c r="P2283" i="19"/>
  <c r="O2283" i="19"/>
  <c r="P2281" i="19"/>
  <c r="O2281" i="19"/>
  <c r="P2279" i="19"/>
  <c r="O2279" i="19"/>
  <c r="O2278" i="19"/>
  <c r="P2277" i="19"/>
  <c r="P2276" i="19"/>
  <c r="P2274" i="19"/>
  <c r="P2271" i="19"/>
  <c r="P2270" i="19"/>
  <c r="P2269" i="19"/>
  <c r="P2268" i="19"/>
  <c r="P2267" i="19"/>
  <c r="P2266" i="19"/>
  <c r="P2265" i="19"/>
  <c r="P2264" i="19"/>
  <c r="P2263" i="19"/>
  <c r="P2262" i="19"/>
  <c r="P2261" i="19"/>
  <c r="P2260" i="19"/>
  <c r="P2259" i="19"/>
  <c r="P2258" i="19"/>
  <c r="P2257" i="19"/>
  <c r="P2255" i="19"/>
  <c r="P2254" i="19"/>
  <c r="P2253" i="19"/>
  <c r="P2252" i="19"/>
  <c r="P2251" i="19"/>
  <c r="P2250" i="19"/>
  <c r="P2249" i="19"/>
  <c r="P2248" i="19"/>
  <c r="P2247" i="19"/>
  <c r="P2246" i="19"/>
  <c r="P2245" i="19"/>
  <c r="P2244" i="19"/>
  <c r="P2243" i="19"/>
  <c r="P2242" i="19"/>
  <c r="P2241" i="19"/>
  <c r="P2240" i="19"/>
  <c r="P2239" i="19"/>
  <c r="P2238" i="19"/>
  <c r="P2237" i="19"/>
  <c r="P2234" i="19"/>
  <c r="O2234" i="19"/>
  <c r="P2233" i="19"/>
  <c r="O2233" i="19"/>
  <c r="P2232" i="19"/>
  <c r="O2232" i="19"/>
  <c r="P2231" i="19"/>
  <c r="O2231" i="19"/>
  <c r="P2230" i="19"/>
  <c r="O2230" i="19"/>
  <c r="P2229" i="19"/>
  <c r="O2229" i="19"/>
  <c r="P2228" i="19"/>
  <c r="O2228" i="19"/>
  <c r="P2227" i="19"/>
  <c r="O2227" i="19"/>
  <c r="P2226" i="19"/>
  <c r="O2226" i="19"/>
  <c r="P2225" i="19"/>
  <c r="O2225" i="19"/>
  <c r="P2224" i="19"/>
  <c r="O2224" i="19"/>
  <c r="O2223" i="19"/>
  <c r="P2222" i="19"/>
  <c r="P2221" i="19"/>
  <c r="P2219" i="19"/>
  <c r="P2216" i="19"/>
  <c r="P2215" i="19"/>
  <c r="P2214" i="19"/>
  <c r="P2213" i="19"/>
  <c r="P2212" i="19"/>
  <c r="P2211" i="19"/>
  <c r="P2210" i="19"/>
  <c r="P2209" i="19"/>
  <c r="P2208" i="19"/>
  <c r="P2207" i="19"/>
  <c r="P2206" i="19"/>
  <c r="P2205" i="19"/>
  <c r="P2204" i="19"/>
  <c r="P2203" i="19"/>
  <c r="P2202" i="19"/>
  <c r="P2200" i="19"/>
  <c r="P2199" i="19"/>
  <c r="P2198" i="19"/>
  <c r="P2197" i="19"/>
  <c r="P2196" i="19"/>
  <c r="P2195" i="19"/>
  <c r="P2193" i="19"/>
  <c r="P2192" i="19"/>
  <c r="P2191" i="19"/>
  <c r="P2190" i="19"/>
  <c r="P2189" i="19"/>
  <c r="P2187" i="19"/>
  <c r="P2183" i="19"/>
  <c r="P2179" i="19"/>
  <c r="O2179" i="19"/>
  <c r="P2178" i="19"/>
  <c r="O2178" i="19"/>
  <c r="P2177" i="19"/>
  <c r="O2177" i="19"/>
  <c r="P2176" i="19"/>
  <c r="O2176" i="19"/>
  <c r="P2175" i="19"/>
  <c r="O2175" i="19"/>
  <c r="P2174" i="19"/>
  <c r="O2174" i="19"/>
  <c r="P2173" i="19"/>
  <c r="O2173" i="19"/>
  <c r="P2172" i="19"/>
  <c r="O2172" i="19"/>
  <c r="P2171" i="19"/>
  <c r="O2171" i="19"/>
  <c r="P2170" i="19"/>
  <c r="O2170" i="19"/>
  <c r="P2169" i="19"/>
  <c r="O2169" i="19"/>
  <c r="O2168" i="19"/>
  <c r="P2167" i="19"/>
  <c r="P2166" i="19"/>
  <c r="P2164" i="19"/>
  <c r="P2161" i="19"/>
  <c r="P2160" i="19"/>
  <c r="P2159" i="19"/>
  <c r="P2158" i="19"/>
  <c r="P2157" i="19"/>
  <c r="P2156" i="19"/>
  <c r="P2155" i="19"/>
  <c r="P2154" i="19"/>
  <c r="P2153" i="19"/>
  <c r="P2152" i="19"/>
  <c r="P2151" i="19"/>
  <c r="P2150" i="19"/>
  <c r="P2149" i="19"/>
  <c r="P2148" i="19"/>
  <c r="P2147" i="19"/>
  <c r="P2145" i="19"/>
  <c r="P2144" i="19"/>
  <c r="P2143" i="19"/>
  <c r="P2142" i="19"/>
  <c r="P2141" i="19"/>
  <c r="P2140" i="19"/>
  <c r="P2139" i="19"/>
  <c r="P2138" i="19"/>
  <c r="P2137" i="19"/>
  <c r="P2136" i="19"/>
  <c r="P2135" i="19"/>
  <c r="P2134" i="19"/>
  <c r="P2133" i="19"/>
  <c r="P2132" i="19"/>
  <c r="P2131" i="19"/>
  <c r="P2130" i="19"/>
  <c r="P2129" i="19"/>
  <c r="P2128" i="19"/>
  <c r="P2127" i="19"/>
  <c r="P2124" i="19"/>
  <c r="O2124" i="19"/>
  <c r="P2123" i="19"/>
  <c r="O2123" i="19"/>
  <c r="P2122" i="19"/>
  <c r="O2122" i="19"/>
  <c r="P2121" i="19"/>
  <c r="O2121" i="19"/>
  <c r="P2120" i="19"/>
  <c r="O2120" i="19"/>
  <c r="P2119" i="19"/>
  <c r="O2119" i="19"/>
  <c r="P2118" i="19"/>
  <c r="O2118" i="19"/>
  <c r="P2117" i="19"/>
  <c r="O2117" i="19"/>
  <c r="P2116" i="19"/>
  <c r="O2116" i="19"/>
  <c r="P2115" i="19"/>
  <c r="O2115" i="19"/>
  <c r="P2114" i="19"/>
  <c r="O2114" i="19"/>
  <c r="O2113" i="19"/>
  <c r="P2112" i="19"/>
  <c r="P2111" i="19"/>
  <c r="P2109" i="19"/>
  <c r="P2106" i="19"/>
  <c r="P2105" i="19"/>
  <c r="P2104" i="19"/>
  <c r="P2103" i="19"/>
  <c r="P2102" i="19"/>
  <c r="P2101" i="19"/>
  <c r="P2100" i="19"/>
  <c r="P2099" i="19"/>
  <c r="P2098" i="19"/>
  <c r="P2097" i="19"/>
  <c r="P2096" i="19"/>
  <c r="P2095" i="19"/>
  <c r="P2094" i="19"/>
  <c r="P2093" i="19"/>
  <c r="P2092" i="19"/>
  <c r="P2090" i="19"/>
  <c r="P2089" i="19"/>
  <c r="P2087" i="19"/>
  <c r="P2083" i="19"/>
  <c r="P2081" i="19"/>
  <c r="P2079" i="19"/>
  <c r="P2078" i="19"/>
  <c r="P2077" i="19"/>
  <c r="P2076" i="19"/>
  <c r="P2075" i="19"/>
  <c r="P2074" i="19"/>
  <c r="P2073" i="19"/>
  <c r="P2072" i="19"/>
  <c r="P2069" i="19"/>
  <c r="O2069" i="19"/>
  <c r="P2068" i="19"/>
  <c r="O2068" i="19"/>
  <c r="P2067" i="19"/>
  <c r="O2067" i="19"/>
  <c r="P2066" i="19"/>
  <c r="O2066" i="19"/>
  <c r="P2065" i="19"/>
  <c r="O2065" i="19"/>
  <c r="P2064" i="19"/>
  <c r="O2064" i="19"/>
  <c r="P2063" i="19"/>
  <c r="O2063" i="19"/>
  <c r="P2062" i="19"/>
  <c r="O2062" i="19"/>
  <c r="P2061" i="19"/>
  <c r="O2061" i="19"/>
  <c r="P2060" i="19"/>
  <c r="O2060" i="19"/>
  <c r="P2059" i="19"/>
  <c r="O2059" i="19"/>
  <c r="O2058" i="19"/>
  <c r="P2057" i="19"/>
  <c r="P2056" i="19"/>
  <c r="P2054" i="19"/>
  <c r="P2051" i="19"/>
  <c r="P2050" i="19"/>
  <c r="P2049" i="19"/>
  <c r="P2048" i="19"/>
  <c r="P2047" i="19"/>
  <c r="P2046" i="19"/>
  <c r="P2045" i="19"/>
  <c r="P2044" i="19"/>
  <c r="P2043" i="19"/>
  <c r="P2042" i="19"/>
  <c r="P2041" i="19"/>
  <c r="P2040" i="19"/>
  <c r="P2039" i="19"/>
  <c r="P2038" i="19"/>
  <c r="P2037" i="19"/>
  <c r="P2035" i="19"/>
  <c r="P2034" i="19"/>
  <c r="P2033" i="19"/>
  <c r="P2032" i="19"/>
  <c r="P2031" i="19"/>
  <c r="P2030" i="19"/>
  <c r="P2029" i="19"/>
  <c r="P2028" i="19"/>
  <c r="P2027" i="19"/>
  <c r="P2026" i="19"/>
  <c r="P2025" i="19"/>
  <c r="P2024" i="19"/>
  <c r="P2023" i="19"/>
  <c r="P2022" i="19"/>
  <c r="P2021" i="19"/>
  <c r="P2020" i="19"/>
  <c r="P2019" i="19"/>
  <c r="P2018" i="19"/>
  <c r="P2017" i="19"/>
  <c r="P2014" i="19"/>
  <c r="O2014" i="19"/>
  <c r="P2013" i="19"/>
  <c r="O2013" i="19"/>
  <c r="P2012" i="19"/>
  <c r="O2012" i="19"/>
  <c r="P2011" i="19"/>
  <c r="O2011" i="19"/>
  <c r="P2010" i="19"/>
  <c r="O2010" i="19"/>
  <c r="P2009" i="19"/>
  <c r="O2009" i="19"/>
  <c r="P2008" i="19"/>
  <c r="O2008" i="19"/>
  <c r="P2007" i="19"/>
  <c r="O2007" i="19"/>
  <c r="P2006" i="19"/>
  <c r="O2006" i="19"/>
  <c r="P2005" i="19"/>
  <c r="O2005" i="19"/>
  <c r="P2004" i="19"/>
  <c r="O2004" i="19"/>
  <c r="O2003" i="19"/>
  <c r="P2002" i="19"/>
  <c r="P2001" i="19"/>
  <c r="P1999" i="19"/>
  <c r="P1996" i="19"/>
  <c r="P1995" i="19"/>
  <c r="P1994" i="19"/>
  <c r="P1993" i="19"/>
  <c r="P1992" i="19"/>
  <c r="P1991" i="19"/>
  <c r="P1990" i="19"/>
  <c r="P1989" i="19"/>
  <c r="P1987" i="19"/>
  <c r="P1983" i="19"/>
  <c r="P1979" i="19"/>
  <c r="P1978" i="19"/>
  <c r="P1977" i="19"/>
  <c r="P1976" i="19"/>
  <c r="P1975" i="19"/>
  <c r="P1974" i="19"/>
  <c r="P1973" i="19"/>
  <c r="P1972" i="19"/>
  <c r="P1971" i="19"/>
  <c r="P1970" i="19"/>
  <c r="P1969" i="19"/>
  <c r="P1968" i="19"/>
  <c r="P1967" i="19"/>
  <c r="P1966" i="19"/>
  <c r="P1965" i="19"/>
  <c r="P1964" i="19"/>
  <c r="P1963" i="19"/>
  <c r="P1962" i="19"/>
  <c r="P1959" i="19"/>
  <c r="O1959" i="19"/>
  <c r="P1958" i="19"/>
  <c r="O1958" i="19"/>
  <c r="P1957" i="19"/>
  <c r="O1957" i="19"/>
  <c r="P1956" i="19"/>
  <c r="O1956" i="19"/>
  <c r="P1955" i="19"/>
  <c r="O1955" i="19"/>
  <c r="P1954" i="19"/>
  <c r="O1954" i="19"/>
  <c r="P1953" i="19"/>
  <c r="O1953" i="19"/>
  <c r="P1952" i="19"/>
  <c r="O1952" i="19"/>
  <c r="P1951" i="19"/>
  <c r="O1951" i="19"/>
  <c r="P1950" i="19"/>
  <c r="O1950" i="19"/>
  <c r="P1939" i="19"/>
  <c r="P1938" i="19"/>
  <c r="P1937" i="19"/>
  <c r="P1936" i="19"/>
  <c r="P1935" i="19"/>
  <c r="P1934" i="19"/>
  <c r="P1933" i="19"/>
  <c r="P1932" i="19"/>
  <c r="P1931" i="19"/>
  <c r="P1930" i="19"/>
  <c r="P1929" i="19"/>
  <c r="P1928" i="19"/>
  <c r="P1927" i="19"/>
  <c r="P1925" i="19"/>
  <c r="P1924" i="19"/>
  <c r="P1923" i="19"/>
  <c r="P1922" i="19"/>
  <c r="P1921" i="19"/>
  <c r="P1920" i="19"/>
  <c r="P1919" i="19"/>
  <c r="P1918" i="19"/>
  <c r="P1917" i="19"/>
  <c r="P1916" i="19"/>
  <c r="P1915" i="19"/>
  <c r="P1914" i="19"/>
  <c r="P1913" i="19"/>
  <c r="P1912" i="19"/>
  <c r="P1911" i="19"/>
  <c r="P1910" i="19"/>
  <c r="P1909" i="19"/>
  <c r="P1908" i="19"/>
  <c r="P1907" i="19"/>
  <c r="P1904" i="19"/>
  <c r="O1904" i="19"/>
  <c r="P1903" i="19"/>
  <c r="O1903" i="19"/>
  <c r="P1902" i="19"/>
  <c r="O1902" i="19"/>
  <c r="P1901" i="19"/>
  <c r="O1901" i="19"/>
  <c r="P1900" i="19"/>
  <c r="O1900" i="19"/>
  <c r="P1899" i="19"/>
  <c r="O1899" i="19"/>
  <c r="P1898" i="19"/>
  <c r="O1898" i="19"/>
  <c r="P1897" i="19"/>
  <c r="O1897" i="19"/>
  <c r="P1896" i="19"/>
  <c r="O1896" i="19"/>
  <c r="P1895" i="19"/>
  <c r="O1895" i="19"/>
  <c r="P1894" i="19"/>
  <c r="O1894" i="19"/>
  <c r="O1893" i="19"/>
  <c r="P1892" i="19"/>
  <c r="P1891" i="19"/>
  <c r="P1879" i="19"/>
  <c r="P1878" i="19"/>
  <c r="P1877" i="19"/>
  <c r="P1876" i="19"/>
  <c r="P1875" i="19"/>
  <c r="P1874" i="19"/>
  <c r="P1873" i="19"/>
  <c r="P1872" i="19"/>
  <c r="P1870" i="19"/>
  <c r="P1839" i="19"/>
  <c r="O1839" i="19"/>
  <c r="O1838" i="19"/>
  <c r="P1837" i="19"/>
  <c r="P1836" i="19"/>
  <c r="P1834" i="19"/>
  <c r="P1831" i="19"/>
  <c r="P1830" i="19"/>
  <c r="P1819" i="19"/>
  <c r="P1818" i="19"/>
  <c r="P1817" i="19"/>
  <c r="P1815" i="19"/>
  <c r="P1814" i="19"/>
  <c r="P1813" i="19"/>
  <c r="P1812" i="19"/>
  <c r="P1811" i="19"/>
  <c r="P1810" i="19"/>
  <c r="P1799" i="19"/>
  <c r="P1798" i="19"/>
  <c r="P1797" i="19"/>
  <c r="P1794" i="19"/>
  <c r="O1794" i="19"/>
  <c r="P1793" i="19"/>
  <c r="O1793" i="19"/>
  <c r="P1792" i="19"/>
  <c r="O1792" i="19"/>
  <c r="P1791" i="19"/>
  <c r="O1791" i="19"/>
  <c r="P1790" i="19"/>
  <c r="O1790" i="19"/>
  <c r="P1789" i="19"/>
  <c r="O1789" i="19"/>
  <c r="P1787" i="19"/>
  <c r="O1787" i="19"/>
  <c r="O1783" i="19"/>
  <c r="P1781" i="19"/>
  <c r="P1779" i="19"/>
  <c r="P1776" i="19"/>
  <c r="P1775" i="19"/>
  <c r="P1774" i="19"/>
  <c r="P1773" i="19"/>
  <c r="P1772" i="19"/>
  <c r="P1771" i="19"/>
  <c r="P1770" i="19"/>
  <c r="P1769" i="19"/>
  <c r="P1768" i="19"/>
  <c r="P1767" i="19"/>
  <c r="P1766" i="19"/>
  <c r="P1765" i="19"/>
  <c r="P1764" i="19"/>
  <c r="P1763" i="19"/>
  <c r="P1762" i="19"/>
  <c r="P1760" i="19"/>
  <c r="P1759" i="19"/>
  <c r="P1758" i="19"/>
  <c r="P1757" i="19"/>
  <c r="P1756" i="19"/>
  <c r="P1755" i="19"/>
  <c r="P1754" i="19"/>
  <c r="P1753" i="19"/>
  <c r="P1752" i="19"/>
  <c r="P1751" i="19"/>
  <c r="P1750" i="19"/>
  <c r="P1749" i="19"/>
  <c r="P1748" i="19"/>
  <c r="P1747" i="19"/>
  <c r="P1746" i="19"/>
  <c r="P1745" i="19"/>
  <c r="P1744" i="19"/>
  <c r="P1743" i="19"/>
  <c r="P1742" i="19"/>
  <c r="P1739" i="19"/>
  <c r="O1739" i="19"/>
  <c r="P1738" i="19"/>
  <c r="O1738" i="19"/>
  <c r="P1737" i="19"/>
  <c r="O1737" i="19"/>
  <c r="P1736" i="19"/>
  <c r="O1736" i="19"/>
  <c r="P1735" i="19"/>
  <c r="O1735" i="19"/>
  <c r="P1734" i="19"/>
  <c r="O1734" i="19"/>
  <c r="P1733" i="19"/>
  <c r="O1733" i="19"/>
  <c r="P1732" i="19"/>
  <c r="O1732" i="19"/>
  <c r="P1731" i="19"/>
  <c r="O1731" i="19"/>
  <c r="P1730" i="19"/>
  <c r="O1730" i="19"/>
  <c r="P1729" i="19"/>
  <c r="O1729" i="19"/>
  <c r="O1728" i="19"/>
  <c r="P1727" i="19"/>
  <c r="P1726" i="19"/>
  <c r="P1724" i="19"/>
  <c r="P1721" i="19"/>
  <c r="P1720" i="19"/>
  <c r="P1719" i="19"/>
  <c r="P1718" i="19"/>
  <c r="P1717" i="19"/>
  <c r="P1716" i="19"/>
  <c r="P1715" i="19"/>
  <c r="P1714" i="19"/>
  <c r="P1713" i="19"/>
  <c r="P1712" i="19"/>
  <c r="P1711" i="19"/>
  <c r="P1710" i="19"/>
  <c r="P1709" i="19"/>
  <c r="P1708" i="19"/>
  <c r="P1707" i="19"/>
  <c r="P1705" i="19"/>
  <c r="P1704" i="19"/>
  <c r="P1703" i="19"/>
  <c r="P1702" i="19"/>
  <c r="P1701" i="19"/>
  <c r="P1700" i="19"/>
  <c r="P1699" i="19"/>
  <c r="P1698" i="19"/>
  <c r="P1697" i="19"/>
  <c r="P1696" i="19"/>
  <c r="P1695" i="19"/>
  <c r="P1694" i="19"/>
  <c r="P1693" i="19"/>
  <c r="P1692" i="19"/>
  <c r="P1691" i="19"/>
  <c r="P1690" i="19"/>
  <c r="P1689" i="19"/>
  <c r="P1687" i="19"/>
  <c r="P1683" i="19"/>
  <c r="O1683" i="19"/>
  <c r="P1681" i="19"/>
  <c r="O1681" i="19"/>
  <c r="P1679" i="19"/>
  <c r="O1679" i="19"/>
  <c r="P1678" i="19"/>
  <c r="O1678" i="19"/>
  <c r="P1677" i="19"/>
  <c r="O1677" i="19"/>
  <c r="P1676" i="19"/>
  <c r="O1676" i="19"/>
  <c r="P1675" i="19"/>
  <c r="O1675" i="19"/>
  <c r="P1674" i="19"/>
  <c r="O1674" i="19"/>
  <c r="O1673" i="19"/>
  <c r="P1672" i="19"/>
  <c r="P1671" i="19"/>
  <c r="P1669" i="19"/>
  <c r="P1666" i="19"/>
  <c r="P1665" i="19"/>
  <c r="P1664" i="19"/>
  <c r="P1663" i="19"/>
  <c r="P1662" i="19"/>
  <c r="P1661" i="19"/>
  <c r="P1660" i="19"/>
  <c r="P1659" i="19"/>
  <c r="P1658" i="19"/>
  <c r="P1657" i="19"/>
  <c r="P1656" i="19"/>
  <c r="P1655" i="19"/>
  <c r="P1654" i="19"/>
  <c r="P1653" i="19"/>
  <c r="P1652" i="19"/>
  <c r="P1650" i="19"/>
  <c r="P1649" i="19"/>
  <c r="P1648" i="19"/>
  <c r="P1647" i="19"/>
  <c r="P1646" i="19"/>
  <c r="P1645" i="19"/>
  <c r="P1644" i="19"/>
  <c r="P1643" i="19"/>
  <c r="P1642" i="19"/>
  <c r="P1641" i="19"/>
  <c r="P1640" i="19"/>
  <c r="P1639" i="19"/>
  <c r="P1638" i="19"/>
  <c r="P1637" i="19"/>
  <c r="P1636" i="19"/>
  <c r="P1635" i="19"/>
  <c r="P1634" i="19"/>
  <c r="P1633" i="19"/>
  <c r="P1632" i="19"/>
  <c r="P1629" i="19"/>
  <c r="O1629" i="19"/>
  <c r="P1628" i="19"/>
  <c r="O1628" i="19"/>
  <c r="P1627" i="19"/>
  <c r="O1627" i="19"/>
  <c r="P1626" i="19"/>
  <c r="O1626" i="19"/>
  <c r="P1625" i="19"/>
  <c r="O1625" i="19"/>
  <c r="P1624" i="19"/>
  <c r="O1624" i="19"/>
  <c r="P1623" i="19"/>
  <c r="O1623" i="19"/>
  <c r="P1622" i="19"/>
  <c r="O1622" i="19"/>
  <c r="P1621" i="19"/>
  <c r="O1621" i="19"/>
  <c r="P1620" i="19"/>
  <c r="O1620" i="19"/>
  <c r="P1619" i="19"/>
  <c r="O1619" i="19"/>
  <c r="O1618" i="19"/>
  <c r="P1617" i="19"/>
  <c r="P1616" i="19"/>
  <c r="P1614" i="19"/>
  <c r="P1611" i="19"/>
  <c r="P1610" i="19"/>
  <c r="P1609" i="19"/>
  <c r="P1608" i="19"/>
  <c r="P1607" i="19"/>
  <c r="P1606" i="19"/>
  <c r="P1605" i="19"/>
  <c r="P1604" i="19"/>
  <c r="P1603" i="19"/>
  <c r="P1602" i="19"/>
  <c r="P1601" i="19"/>
  <c r="P1600" i="19"/>
  <c r="P1599" i="19"/>
  <c r="P1598" i="19"/>
  <c r="P1597" i="19"/>
  <c r="P1595" i="19"/>
  <c r="P1594" i="19"/>
  <c r="P1593" i="19"/>
  <c r="P1592" i="19"/>
  <c r="P1591" i="19"/>
  <c r="P1590" i="19"/>
  <c r="P1589" i="19"/>
  <c r="P1587" i="19"/>
  <c r="P1583" i="19"/>
  <c r="P1581" i="19"/>
  <c r="P1579" i="19"/>
  <c r="P1578" i="19"/>
  <c r="P1577" i="19"/>
  <c r="P1574" i="19"/>
  <c r="O1574" i="19"/>
  <c r="P1573" i="19"/>
  <c r="O1573" i="19"/>
  <c r="P1572" i="19"/>
  <c r="O1572" i="19"/>
  <c r="P1571" i="19"/>
  <c r="O1571" i="19"/>
  <c r="P1570" i="19"/>
  <c r="O1570" i="19"/>
  <c r="P1569" i="19"/>
  <c r="O1569" i="19"/>
  <c r="P1568" i="19"/>
  <c r="O1568" i="19"/>
  <c r="P1567" i="19"/>
  <c r="O1567" i="19"/>
  <c r="P1566" i="19"/>
  <c r="O1566" i="19"/>
  <c r="P1565" i="19"/>
  <c r="O1565" i="19"/>
  <c r="P1564" i="19"/>
  <c r="O1564" i="19"/>
  <c r="O1563" i="19"/>
  <c r="P1562" i="19"/>
  <c r="P1561" i="19"/>
  <c r="P1559" i="19"/>
  <c r="P1556" i="19"/>
  <c r="P1555" i="19"/>
  <c r="P1554" i="19"/>
  <c r="P1553" i="19"/>
  <c r="P1552" i="19"/>
  <c r="P1551" i="19"/>
  <c r="P1550" i="19"/>
  <c r="P1549" i="19"/>
  <c r="P1548" i="19"/>
  <c r="P1547" i="19"/>
  <c r="P1546" i="19"/>
  <c r="P1545" i="19"/>
  <c r="P1544" i="19"/>
  <c r="P1543" i="19"/>
  <c r="P1542" i="19"/>
  <c r="P1540" i="19"/>
  <c r="P1539" i="19"/>
  <c r="P1538" i="19"/>
  <c r="P1537" i="19"/>
  <c r="P1536" i="19"/>
  <c r="P1535" i="19"/>
  <c r="P1534" i="19"/>
  <c r="P1533" i="19"/>
  <c r="P1532" i="19"/>
  <c r="P1531" i="19"/>
  <c r="P1530" i="19"/>
  <c r="P1529" i="19"/>
  <c r="P1528" i="19"/>
  <c r="P1527" i="19"/>
  <c r="P1526" i="19"/>
  <c r="P1525" i="19"/>
  <c r="P1524" i="19"/>
  <c r="P1523" i="19"/>
  <c r="P1522" i="19"/>
  <c r="P1519" i="19"/>
  <c r="O1519" i="19"/>
  <c r="P1518" i="19"/>
  <c r="O1518" i="19"/>
  <c r="P1517" i="19"/>
  <c r="O1517" i="19"/>
  <c r="P1516" i="19"/>
  <c r="O1516" i="19"/>
  <c r="P1515" i="19"/>
  <c r="O1515" i="19"/>
  <c r="P1514" i="19"/>
  <c r="O1514" i="19"/>
  <c r="P1513" i="19"/>
  <c r="O1513" i="19"/>
  <c r="P1512" i="19"/>
  <c r="O1512" i="19"/>
  <c r="P1511" i="19"/>
  <c r="O1511" i="19"/>
  <c r="P1510" i="19"/>
  <c r="O1510" i="19"/>
  <c r="P1509" i="19"/>
  <c r="O1509" i="19"/>
  <c r="O1508" i="19"/>
  <c r="P1507" i="19"/>
  <c r="P1506" i="19"/>
  <c r="P1504" i="19"/>
  <c r="P1501" i="19"/>
  <c r="P1500" i="19"/>
  <c r="P1499" i="19"/>
  <c r="P1498" i="19"/>
  <c r="P1497" i="19"/>
  <c r="P1496" i="19"/>
  <c r="P1495" i="19"/>
  <c r="P1494" i="19"/>
  <c r="P1493" i="19"/>
  <c r="P1492" i="19"/>
  <c r="P1491" i="19"/>
  <c r="P1490" i="19"/>
  <c r="P1489" i="19"/>
  <c r="P1487" i="19"/>
  <c r="P1483" i="19"/>
  <c r="P1481" i="19"/>
  <c r="P1479" i="19"/>
  <c r="P1478" i="19"/>
  <c r="P1477" i="19"/>
  <c r="P1476" i="19"/>
  <c r="P1475" i="19"/>
  <c r="P1474" i="19"/>
  <c r="P1473" i="19"/>
  <c r="P1472" i="19"/>
  <c r="P1471" i="19"/>
  <c r="P1470" i="19"/>
  <c r="P1469" i="19"/>
  <c r="P1468" i="19"/>
  <c r="P1467" i="19"/>
  <c r="P1464" i="19"/>
  <c r="O1464" i="19"/>
  <c r="P1463" i="19"/>
  <c r="O1463" i="19"/>
  <c r="P1462" i="19"/>
  <c r="O1462" i="19"/>
  <c r="P1461" i="19"/>
  <c r="O1461" i="19"/>
  <c r="P1460" i="19"/>
  <c r="O1460" i="19"/>
  <c r="P1459" i="19"/>
  <c r="O1459" i="19"/>
  <c r="P1458" i="19"/>
  <c r="O1458" i="19"/>
  <c r="P1457" i="19"/>
  <c r="O1457" i="19"/>
  <c r="P1456" i="19"/>
  <c r="O1456" i="19"/>
  <c r="P1455" i="19"/>
  <c r="O1455" i="19"/>
  <c r="P1454" i="19"/>
  <c r="O1454" i="19"/>
  <c r="O1453" i="19"/>
  <c r="P1452" i="19"/>
  <c r="P1451" i="19"/>
  <c r="P1449" i="19"/>
  <c r="P1446" i="19"/>
  <c r="P1445" i="19"/>
  <c r="P1444" i="19"/>
  <c r="P1443" i="19"/>
  <c r="P1442" i="19"/>
  <c r="P1441" i="19"/>
  <c r="P1440" i="19"/>
  <c r="P1439" i="19"/>
  <c r="P1438" i="19"/>
  <c r="P1437" i="19"/>
  <c r="P1436" i="19"/>
  <c r="P1435" i="19"/>
  <c r="P1434" i="19"/>
  <c r="P1433" i="19"/>
  <c r="P1432" i="19"/>
  <c r="P1430" i="19"/>
  <c r="P1429" i="19"/>
  <c r="P1428" i="19"/>
  <c r="P1427" i="19"/>
  <c r="P1426" i="19"/>
  <c r="P1425" i="19"/>
  <c r="P1424" i="19"/>
  <c r="P1423" i="19"/>
  <c r="P1422" i="19"/>
  <c r="P1421" i="19"/>
  <c r="P1420" i="19"/>
  <c r="P1419" i="19"/>
  <c r="P1418" i="19"/>
  <c r="P1417" i="19"/>
  <c r="P1416" i="19"/>
  <c r="P1415" i="19"/>
  <c r="P1414" i="19"/>
  <c r="P1413" i="19"/>
  <c r="P1412" i="19"/>
  <c r="P1409" i="19"/>
  <c r="O1409" i="19"/>
  <c r="P1408" i="19"/>
  <c r="O1408" i="19"/>
  <c r="P1407" i="19"/>
  <c r="O1407" i="19"/>
  <c r="P1406" i="19"/>
  <c r="O1406" i="19"/>
  <c r="P1405" i="19"/>
  <c r="O1405" i="19"/>
  <c r="P1404" i="19"/>
  <c r="O1404" i="19"/>
  <c r="P1403" i="19"/>
  <c r="O1403" i="19"/>
  <c r="P1402" i="19"/>
  <c r="O1402" i="19"/>
  <c r="P1401" i="19"/>
  <c r="O1401" i="19"/>
  <c r="P1400" i="19"/>
  <c r="O1400" i="19"/>
  <c r="P1399" i="19"/>
  <c r="O1399" i="19"/>
  <c r="O1398" i="19"/>
  <c r="P1397" i="19"/>
  <c r="P1396" i="19"/>
  <c r="P1394" i="19"/>
  <c r="P1391" i="19"/>
  <c r="P1390" i="19"/>
  <c r="P1389" i="19"/>
  <c r="P1387" i="19"/>
  <c r="P1383" i="19"/>
  <c r="P1381" i="19"/>
  <c r="P1379" i="19"/>
  <c r="P1378" i="19"/>
  <c r="P1377" i="19"/>
  <c r="P1375" i="19"/>
  <c r="P1374" i="19"/>
  <c r="P1373" i="19"/>
  <c r="P1372" i="19"/>
  <c r="P1371" i="19"/>
  <c r="P1370" i="19"/>
  <c r="P1369" i="19"/>
  <c r="P1368" i="19"/>
  <c r="P1367" i="19"/>
  <c r="P1366" i="19"/>
  <c r="P1365" i="19"/>
  <c r="P1364" i="19"/>
  <c r="P1363" i="19"/>
  <c r="P1362" i="19"/>
  <c r="P1361" i="19"/>
  <c r="P1360" i="19"/>
  <c r="P1359" i="19"/>
  <c r="P1358" i="19"/>
  <c r="P1357" i="19"/>
  <c r="P1354" i="19"/>
  <c r="O1354" i="19"/>
  <c r="P1353" i="19"/>
  <c r="O1353" i="19"/>
  <c r="P1352" i="19"/>
  <c r="O1352" i="19"/>
  <c r="P1351" i="19"/>
  <c r="O1351" i="19"/>
  <c r="P1350" i="19"/>
  <c r="O1350" i="19"/>
  <c r="P1349" i="19"/>
  <c r="O1349" i="19"/>
  <c r="P1348" i="19"/>
  <c r="O1348" i="19"/>
  <c r="P1347" i="19"/>
  <c r="O1347" i="19"/>
  <c r="P1346" i="19"/>
  <c r="O1346" i="19"/>
  <c r="P1345" i="19"/>
  <c r="O1345" i="19"/>
  <c r="P1344" i="19"/>
  <c r="O1344" i="19"/>
  <c r="O1343" i="19"/>
  <c r="P1342" i="19"/>
  <c r="P1341" i="19"/>
  <c r="P1339" i="19"/>
  <c r="P1336" i="19"/>
  <c r="P1335" i="19"/>
  <c r="P1334" i="19"/>
  <c r="P1333" i="19"/>
  <c r="P1332" i="19"/>
  <c r="P1331" i="19"/>
  <c r="P1330" i="19"/>
  <c r="P1329" i="19"/>
  <c r="P1328" i="19"/>
  <c r="P1327" i="19"/>
  <c r="P1326" i="19"/>
  <c r="P1325" i="19"/>
  <c r="P1324" i="19"/>
  <c r="P1323" i="19"/>
  <c r="P1322" i="19"/>
  <c r="P1320" i="19"/>
  <c r="P1319" i="19"/>
  <c r="P1318" i="19"/>
  <c r="P1317" i="19"/>
  <c r="P1316" i="19"/>
  <c r="P1315" i="19"/>
  <c r="P1314" i="19"/>
  <c r="P1313" i="19"/>
  <c r="P1312" i="19"/>
  <c r="P1311" i="19"/>
  <c r="P1310" i="19"/>
  <c r="P1309" i="19"/>
  <c r="P1308" i="19"/>
  <c r="P1307" i="19"/>
  <c r="P1306" i="19"/>
  <c r="P1305" i="19"/>
  <c r="P1304" i="19"/>
  <c r="P1303" i="19"/>
  <c r="P1302" i="19"/>
  <c r="P1299" i="19"/>
  <c r="O1299" i="19"/>
  <c r="P1298" i="19"/>
  <c r="O1298" i="19"/>
  <c r="P1297" i="19"/>
  <c r="O1297" i="19"/>
  <c r="P1296" i="19"/>
  <c r="O1296" i="19"/>
  <c r="P1295" i="19"/>
  <c r="O1295" i="19"/>
  <c r="P1294" i="19"/>
  <c r="O1294" i="19"/>
  <c r="P1293" i="19"/>
  <c r="O1293" i="19"/>
  <c r="P1292" i="19"/>
  <c r="O1292" i="19"/>
  <c r="P1291" i="19"/>
  <c r="O1291" i="19"/>
  <c r="P1290" i="19"/>
  <c r="O1290" i="19"/>
  <c r="P1289" i="19"/>
  <c r="O1289" i="19"/>
  <c r="P1287" i="19"/>
  <c r="P1281" i="19"/>
  <c r="P1279" i="19"/>
  <c r="P1278" i="19"/>
  <c r="P1277" i="19"/>
  <c r="P1276" i="19"/>
  <c r="P1275" i="19"/>
  <c r="P1274" i="19"/>
  <c r="P1273" i="19"/>
  <c r="P1272" i="19"/>
  <c r="P1271" i="19"/>
  <c r="P1270" i="19"/>
  <c r="P1269" i="19"/>
  <c r="P1268" i="19"/>
  <c r="P1267" i="19"/>
  <c r="P1265" i="19"/>
  <c r="P1264" i="19"/>
  <c r="P1263" i="19"/>
  <c r="P1262" i="19"/>
  <c r="P1261" i="19"/>
  <c r="P1260" i="19"/>
  <c r="P1259" i="19"/>
  <c r="P1258" i="19"/>
  <c r="P1257" i="19"/>
  <c r="P1256" i="19"/>
  <c r="P1255" i="19"/>
  <c r="P1254" i="19"/>
  <c r="P1253" i="19"/>
  <c r="P1252" i="19"/>
  <c r="P1251" i="19"/>
  <c r="P1250" i="19"/>
  <c r="P1249" i="19"/>
  <c r="P1248" i="19"/>
  <c r="P1247" i="19"/>
  <c r="P1244" i="19"/>
  <c r="O1244" i="19"/>
  <c r="P1243" i="19"/>
  <c r="O1243" i="19"/>
  <c r="P1242" i="19"/>
  <c r="O1242" i="19"/>
  <c r="P1241" i="19"/>
  <c r="O1241" i="19"/>
  <c r="P1240" i="19"/>
  <c r="O1240" i="19"/>
  <c r="P1239" i="19"/>
  <c r="O1239" i="19"/>
  <c r="P1238" i="19"/>
  <c r="O1238" i="19"/>
  <c r="P1237" i="19"/>
  <c r="O1237" i="19"/>
  <c r="P1236" i="19"/>
  <c r="O1236" i="19"/>
  <c r="P1235" i="19"/>
  <c r="O1235" i="19"/>
  <c r="P1234" i="19"/>
  <c r="O1234" i="19"/>
  <c r="O1233" i="19"/>
  <c r="P1232" i="19"/>
  <c r="P1231" i="19"/>
  <c r="P1229" i="19"/>
  <c r="P1226" i="19"/>
  <c r="P1225" i="19"/>
  <c r="P1224" i="19"/>
  <c r="P1223" i="19"/>
  <c r="P1222" i="19"/>
  <c r="P1221" i="19"/>
  <c r="P1220" i="19"/>
  <c r="P1219" i="19"/>
  <c r="P1218" i="19"/>
  <c r="P1217" i="19"/>
  <c r="P1216" i="19"/>
  <c r="P1215" i="19"/>
  <c r="P1214" i="19"/>
  <c r="P1213" i="19"/>
  <c r="P1212" i="19"/>
  <c r="P1210" i="19"/>
  <c r="P1209" i="19"/>
  <c r="P1208" i="19"/>
  <c r="P1207" i="19"/>
  <c r="P1206" i="19"/>
  <c r="P1205" i="19"/>
  <c r="P1204" i="19"/>
  <c r="P1203" i="19"/>
  <c r="P1202" i="19"/>
  <c r="P1201" i="19"/>
  <c r="P1200" i="19"/>
  <c r="P1199" i="19"/>
  <c r="P1198" i="19"/>
  <c r="P1197" i="19"/>
  <c r="P1196" i="19"/>
  <c r="P1195" i="19"/>
  <c r="P1193" i="19"/>
  <c r="P1192" i="19"/>
  <c r="P1189" i="19"/>
  <c r="O1189" i="19"/>
  <c r="P1187" i="19"/>
  <c r="O1187" i="19"/>
  <c r="P1183" i="19"/>
  <c r="O1183" i="19"/>
  <c r="P1181" i="19"/>
  <c r="O1181" i="19"/>
  <c r="P1179" i="19"/>
  <c r="O1179" i="19"/>
  <c r="O1178" i="19"/>
  <c r="P1177" i="19"/>
  <c r="P1176" i="19"/>
  <c r="P1174" i="19"/>
  <c r="P1171" i="19"/>
  <c r="P1170" i="19"/>
  <c r="P1169" i="19"/>
  <c r="P1168" i="19"/>
  <c r="P1167" i="19"/>
  <c r="P1166" i="19"/>
  <c r="P1165" i="19"/>
  <c r="P1164" i="19"/>
  <c r="P1163" i="19"/>
  <c r="P1162" i="19"/>
  <c r="P1161" i="19"/>
  <c r="P1160" i="19"/>
  <c r="P1159" i="19"/>
  <c r="P1158" i="19"/>
  <c r="P1157" i="19"/>
  <c r="P1155" i="19"/>
  <c r="P1154" i="19"/>
  <c r="P1153" i="19"/>
  <c r="P1152" i="19"/>
  <c r="P1151" i="19"/>
  <c r="P1150" i="19"/>
  <c r="P1149" i="19"/>
  <c r="P1148" i="19"/>
  <c r="P1147" i="19"/>
  <c r="P1146" i="19"/>
  <c r="P1145" i="19"/>
  <c r="P1144" i="19"/>
  <c r="P1143" i="19"/>
  <c r="P1142" i="19"/>
  <c r="P1141" i="19"/>
  <c r="P1140" i="19"/>
  <c r="P1139" i="19"/>
  <c r="P1138" i="19"/>
  <c r="P1137" i="19"/>
  <c r="P1134" i="19"/>
  <c r="O1134" i="19"/>
  <c r="P1133" i="19"/>
  <c r="O1133" i="19"/>
  <c r="P1132" i="19"/>
  <c r="O1132" i="19"/>
  <c r="P1131" i="19"/>
  <c r="O1131" i="19"/>
  <c r="P1130" i="19"/>
  <c r="O1130" i="19"/>
  <c r="P1129" i="19"/>
  <c r="O1129" i="19"/>
  <c r="P1128" i="19"/>
  <c r="O1128" i="19"/>
  <c r="P1127" i="19"/>
  <c r="O1127" i="19"/>
  <c r="P1126" i="19"/>
  <c r="O1126" i="19"/>
  <c r="P1125" i="19"/>
  <c r="O1125" i="19"/>
  <c r="P1124" i="19"/>
  <c r="O1124" i="19"/>
  <c r="O1123" i="19"/>
  <c r="P1122" i="19"/>
  <c r="P1121" i="19"/>
  <c r="P1119" i="19"/>
  <c r="P1116" i="19"/>
  <c r="P1115" i="19"/>
  <c r="P1114" i="19"/>
  <c r="P1113" i="19"/>
  <c r="P1112" i="19"/>
  <c r="P1111" i="19"/>
  <c r="P1110" i="19"/>
  <c r="P1109" i="19"/>
  <c r="P1108" i="19"/>
  <c r="P1107" i="19"/>
  <c r="P1106" i="19"/>
  <c r="P1105" i="19"/>
  <c r="P1104" i="19"/>
  <c r="P1103" i="19"/>
  <c r="P1102" i="19"/>
  <c r="P1100" i="19"/>
  <c r="P1099" i="19"/>
  <c r="P1098" i="19"/>
  <c r="P1097" i="19"/>
  <c r="P1096" i="19"/>
  <c r="P1095" i="19"/>
  <c r="P1094" i="19"/>
  <c r="P1093" i="19"/>
  <c r="P1092" i="19"/>
  <c r="P1091" i="19"/>
  <c r="P1090" i="19"/>
  <c r="P1089" i="19"/>
  <c r="P1087" i="19"/>
  <c r="P1083" i="19"/>
  <c r="P1079" i="19"/>
  <c r="O1079" i="19"/>
  <c r="P1078" i="19"/>
  <c r="O1078" i="19"/>
  <c r="P1077" i="19"/>
  <c r="O1077" i="19"/>
  <c r="P1076" i="19"/>
  <c r="O1076" i="19"/>
  <c r="P1075" i="19"/>
  <c r="O1075" i="19"/>
  <c r="P1074" i="19"/>
  <c r="O1074" i="19"/>
  <c r="P1073" i="19"/>
  <c r="O1073" i="19"/>
  <c r="P1072" i="19"/>
  <c r="O1072" i="19"/>
  <c r="P1071" i="19"/>
  <c r="O1071" i="19"/>
  <c r="P1070" i="19"/>
  <c r="O1070" i="19"/>
  <c r="P1069" i="19"/>
  <c r="O1069" i="19"/>
  <c r="O1068" i="19"/>
  <c r="P1067" i="19"/>
  <c r="P1066" i="19"/>
  <c r="P1064" i="19"/>
  <c r="P1061" i="19"/>
  <c r="P1060" i="19"/>
  <c r="P1059" i="19"/>
  <c r="P1058" i="19"/>
  <c r="P1057" i="19"/>
  <c r="P1056" i="19"/>
  <c r="P1055" i="19"/>
  <c r="P1054" i="19"/>
  <c r="P1053" i="19"/>
  <c r="P1052" i="19"/>
  <c r="P1051" i="19"/>
  <c r="P1050" i="19"/>
  <c r="P1049" i="19"/>
  <c r="P1048" i="19"/>
  <c r="P1047" i="19"/>
  <c r="P1045" i="19"/>
  <c r="P1044" i="19"/>
  <c r="P1043" i="19"/>
  <c r="P1042" i="19"/>
  <c r="P1041" i="19"/>
  <c r="P1040" i="19"/>
  <c r="P1039" i="19"/>
  <c r="P1038" i="19"/>
  <c r="P1037" i="19"/>
  <c r="P1036" i="19"/>
  <c r="P1035" i="19"/>
  <c r="P1034" i="19"/>
  <c r="P1033" i="19"/>
  <c r="P1032" i="19"/>
  <c r="P1031" i="19"/>
  <c r="P1030" i="19"/>
  <c r="P1029" i="19"/>
  <c r="P1028" i="19"/>
  <c r="P1027" i="19"/>
  <c r="P1024" i="19"/>
  <c r="O1024" i="19"/>
  <c r="P1023" i="19"/>
  <c r="O1023" i="19"/>
  <c r="P1022" i="19"/>
  <c r="O1022" i="19"/>
  <c r="P1021" i="19"/>
  <c r="O1021" i="19"/>
  <c r="P1020" i="19"/>
  <c r="O1020" i="19"/>
  <c r="P1019" i="19"/>
  <c r="O1019" i="19"/>
  <c r="P1018" i="19"/>
  <c r="O1018" i="19"/>
  <c r="P1017" i="19"/>
  <c r="O1017" i="19"/>
  <c r="P1016" i="19"/>
  <c r="O1016" i="19"/>
  <c r="P1015" i="19"/>
  <c r="O1015" i="19"/>
  <c r="P1014" i="19"/>
  <c r="O1014" i="19"/>
  <c r="O1013" i="19"/>
  <c r="P1012" i="19"/>
  <c r="P1011" i="19"/>
  <c r="P1009" i="19"/>
  <c r="P1006" i="19"/>
  <c r="P1005" i="19"/>
  <c r="P1004" i="19"/>
  <c r="P1003" i="19"/>
  <c r="P1002" i="19"/>
  <c r="P1001" i="19"/>
  <c r="P1000" i="19"/>
  <c r="P999" i="19"/>
  <c r="P998" i="19"/>
  <c r="P997" i="19"/>
  <c r="P996" i="19"/>
  <c r="P995" i="19"/>
  <c r="P994" i="19"/>
  <c r="P993" i="19"/>
  <c r="P992" i="19"/>
  <c r="P990" i="19"/>
  <c r="P989" i="19"/>
  <c r="P987" i="19"/>
  <c r="P983" i="19"/>
  <c r="P981" i="19"/>
  <c r="P979" i="19"/>
  <c r="P978" i="19"/>
  <c r="P977" i="19"/>
  <c r="P976" i="19"/>
  <c r="P975" i="19"/>
  <c r="P974" i="19"/>
  <c r="P973" i="19"/>
  <c r="P972" i="19"/>
  <c r="P969" i="19"/>
  <c r="O969" i="19"/>
  <c r="P968" i="19"/>
  <c r="O968" i="19"/>
  <c r="P967" i="19"/>
  <c r="O967" i="19"/>
  <c r="P966" i="19"/>
  <c r="O966" i="19"/>
  <c r="P965" i="19"/>
  <c r="O965" i="19"/>
  <c r="P964" i="19"/>
  <c r="O964" i="19"/>
  <c r="P963" i="19"/>
  <c r="O963" i="19"/>
  <c r="P962" i="19"/>
  <c r="O962" i="19"/>
  <c r="P961" i="19"/>
  <c r="O961" i="19"/>
  <c r="P960" i="19"/>
  <c r="O960" i="19"/>
  <c r="P959" i="19"/>
  <c r="O959" i="19"/>
  <c r="O958" i="19"/>
  <c r="P957" i="19"/>
  <c r="P956" i="19"/>
  <c r="P954" i="19"/>
  <c r="P951" i="19"/>
  <c r="P950" i="19"/>
  <c r="P949" i="19"/>
  <c r="P948" i="19"/>
  <c r="P947" i="19"/>
  <c r="P946" i="19"/>
  <c r="P945" i="19"/>
  <c r="P944" i="19"/>
  <c r="P943" i="19"/>
  <c r="P942" i="19"/>
  <c r="P941" i="19"/>
  <c r="P940" i="19"/>
  <c r="P939" i="19"/>
  <c r="P938" i="19"/>
  <c r="P937" i="19"/>
  <c r="P935" i="19"/>
  <c r="P934" i="19"/>
  <c r="P933" i="19"/>
  <c r="P932" i="19"/>
  <c r="P931" i="19"/>
  <c r="P930" i="19"/>
  <c r="P929" i="19"/>
  <c r="P928" i="19"/>
  <c r="P927" i="19"/>
  <c r="P926" i="19"/>
  <c r="P925" i="19"/>
  <c r="P924" i="19"/>
  <c r="P923" i="19"/>
  <c r="P922" i="19"/>
  <c r="P921" i="19"/>
  <c r="P920" i="19"/>
  <c r="P919" i="19"/>
  <c r="P918" i="19"/>
  <c r="P917" i="19"/>
  <c r="P914" i="19"/>
  <c r="O914" i="19"/>
  <c r="P913" i="19"/>
  <c r="O913" i="19"/>
  <c r="P912" i="19"/>
  <c r="O912" i="19"/>
  <c r="P911" i="19"/>
  <c r="O911" i="19"/>
  <c r="P910" i="19"/>
  <c r="O910" i="19"/>
  <c r="P909" i="19"/>
  <c r="O909" i="19"/>
  <c r="P908" i="19"/>
  <c r="O908" i="19"/>
  <c r="P907" i="19"/>
  <c r="O907" i="19"/>
  <c r="P906" i="19"/>
  <c r="O906" i="19"/>
  <c r="P905" i="19"/>
  <c r="O905" i="19"/>
  <c r="P904" i="19"/>
  <c r="O904" i="19"/>
  <c r="O903" i="19"/>
  <c r="P902" i="19"/>
  <c r="P901" i="19"/>
  <c r="P899" i="19"/>
  <c r="P896" i="19"/>
  <c r="P895" i="19"/>
  <c r="P894" i="19"/>
  <c r="P893" i="19"/>
  <c r="P892" i="19"/>
  <c r="P891" i="19"/>
  <c r="P890" i="19"/>
  <c r="P879" i="19"/>
  <c r="P878" i="19"/>
  <c r="P877" i="19"/>
  <c r="P876" i="19"/>
  <c r="P875" i="19"/>
  <c r="P874" i="19"/>
  <c r="P873" i="19"/>
  <c r="P872" i="19"/>
  <c r="P871" i="19"/>
  <c r="P870" i="19"/>
  <c r="P839" i="19"/>
  <c r="P838" i="19"/>
  <c r="P837" i="19"/>
  <c r="P836" i="19"/>
  <c r="P835" i="19"/>
  <c r="P834" i="19"/>
  <c r="P833" i="19"/>
  <c r="P832" i="19"/>
  <c r="P831" i="19"/>
  <c r="P830" i="19"/>
  <c r="P819" i="19"/>
  <c r="P818" i="19"/>
  <c r="P817" i="19"/>
  <c r="P816" i="19"/>
  <c r="P815" i="19"/>
  <c r="P814" i="19"/>
  <c r="P813" i="19"/>
  <c r="P812" i="19"/>
  <c r="P811" i="19"/>
  <c r="P810" i="19"/>
  <c r="P799" i="19"/>
  <c r="O799" i="19"/>
  <c r="P798" i="19"/>
  <c r="O798" i="19"/>
  <c r="P797" i="19"/>
  <c r="O797" i="19"/>
  <c r="P796" i="19"/>
  <c r="O796" i="19"/>
  <c r="P795" i="19"/>
  <c r="O795" i="19"/>
  <c r="P794" i="19"/>
  <c r="O794" i="19"/>
  <c r="O793" i="19"/>
  <c r="P792" i="19"/>
  <c r="P791" i="19"/>
  <c r="P789" i="19"/>
  <c r="P783" i="19"/>
  <c r="P781" i="19"/>
  <c r="P779" i="19"/>
  <c r="P778" i="19"/>
  <c r="P777" i="19"/>
  <c r="P776" i="19"/>
  <c r="P775" i="19"/>
  <c r="P774" i="19"/>
  <c r="P773" i="19"/>
  <c r="P772" i="19"/>
  <c r="P770" i="19"/>
  <c r="P769" i="19"/>
  <c r="P768" i="19"/>
  <c r="P767" i="19"/>
  <c r="P766" i="19"/>
  <c r="P765" i="19"/>
  <c r="P764" i="19"/>
  <c r="P763" i="19"/>
  <c r="P762" i="19"/>
  <c r="P761" i="19"/>
  <c r="P760" i="19"/>
  <c r="P759" i="19"/>
  <c r="P758" i="19"/>
  <c r="P757" i="19"/>
  <c r="P756" i="19"/>
  <c r="P755" i="19"/>
  <c r="P754" i="19"/>
  <c r="P753" i="19"/>
  <c r="P752" i="19"/>
  <c r="P749" i="19"/>
  <c r="O749" i="19"/>
  <c r="P748" i="19"/>
  <c r="O748" i="19"/>
  <c r="P747" i="19"/>
  <c r="O747" i="19"/>
  <c r="P746" i="19"/>
  <c r="O746" i="19"/>
  <c r="P745" i="19"/>
  <c r="O745" i="19"/>
  <c r="P744" i="19"/>
  <c r="O744" i="19"/>
  <c r="P743" i="19"/>
  <c r="O743" i="19"/>
  <c r="P742" i="19"/>
  <c r="O742" i="19"/>
  <c r="P741" i="19"/>
  <c r="O741" i="19"/>
  <c r="P740" i="19"/>
  <c r="O740" i="19"/>
  <c r="P739" i="19"/>
  <c r="O739" i="19"/>
  <c r="O738" i="19"/>
  <c r="P737" i="19"/>
  <c r="P736" i="19"/>
  <c r="P734" i="19"/>
  <c r="P731" i="19"/>
  <c r="P730" i="19"/>
  <c r="P729" i="19"/>
  <c r="P728" i="19"/>
  <c r="P727" i="19"/>
  <c r="P726" i="19"/>
  <c r="P725" i="19"/>
  <c r="P724" i="19"/>
  <c r="P723" i="19"/>
  <c r="P722" i="19"/>
  <c r="P721" i="19"/>
  <c r="P720" i="19"/>
  <c r="P719" i="19"/>
  <c r="P718" i="19"/>
  <c r="P717" i="19"/>
  <c r="P715" i="19"/>
  <c r="P714" i="19"/>
  <c r="P713" i="19"/>
  <c r="P712" i="19"/>
  <c r="P711" i="19"/>
  <c r="P710" i="19"/>
  <c r="P709" i="19"/>
  <c r="P708" i="19"/>
  <c r="P707" i="19"/>
  <c r="P706" i="19"/>
  <c r="P705" i="19"/>
  <c r="P704" i="19"/>
  <c r="P703" i="19"/>
  <c r="P702" i="19"/>
  <c r="P701" i="19"/>
  <c r="P700" i="19"/>
  <c r="P699" i="19"/>
  <c r="P698" i="19"/>
  <c r="P697" i="19"/>
  <c r="P694" i="19"/>
  <c r="O694" i="19"/>
  <c r="P693" i="19"/>
  <c r="O693" i="19"/>
  <c r="P692" i="19"/>
  <c r="O692" i="19"/>
  <c r="P691" i="19"/>
  <c r="O691" i="19"/>
  <c r="P690" i="19"/>
  <c r="O690" i="19"/>
  <c r="P689" i="19"/>
  <c r="O689" i="19"/>
  <c r="P687" i="19"/>
  <c r="O687" i="19"/>
  <c r="O683" i="19"/>
  <c r="P681" i="19"/>
  <c r="P679" i="19"/>
  <c r="P676" i="19"/>
  <c r="P675" i="19"/>
  <c r="P674" i="19"/>
  <c r="P673" i="19"/>
  <c r="P672" i="19"/>
  <c r="P671" i="19"/>
  <c r="P670" i="19"/>
  <c r="P669" i="19"/>
  <c r="P668" i="19"/>
  <c r="P667" i="19"/>
  <c r="P666" i="19"/>
  <c r="P665" i="19"/>
  <c r="P664" i="19"/>
  <c r="P663" i="19"/>
  <c r="P662" i="19"/>
  <c r="P660" i="19"/>
  <c r="P659" i="19"/>
  <c r="P658" i="19"/>
  <c r="P657" i="19"/>
  <c r="P656" i="19"/>
  <c r="P655" i="19"/>
  <c r="P654" i="19"/>
  <c r="P653" i="19"/>
  <c r="P652" i="19"/>
  <c r="P651" i="19"/>
  <c r="P650" i="19"/>
  <c r="P649" i="19"/>
  <c r="P648" i="19"/>
  <c r="P647" i="19"/>
  <c r="P646" i="19"/>
  <c r="P645" i="19"/>
  <c r="P644" i="19"/>
  <c r="P643" i="19"/>
  <c r="P642" i="19"/>
  <c r="P639" i="19"/>
  <c r="O639" i="19"/>
  <c r="P638" i="19"/>
  <c r="O638" i="19"/>
  <c r="P637" i="19"/>
  <c r="O637" i="19"/>
  <c r="P636" i="19"/>
  <c r="O636" i="19"/>
  <c r="P635" i="19"/>
  <c r="O635" i="19"/>
  <c r="P634" i="19"/>
  <c r="O634" i="19"/>
  <c r="P633" i="19"/>
  <c r="O633" i="19"/>
  <c r="P632" i="19"/>
  <c r="O632" i="19"/>
  <c r="P631" i="19"/>
  <c r="O631" i="19"/>
  <c r="P630" i="19"/>
  <c r="O630" i="19"/>
  <c r="P629" i="19"/>
  <c r="O629" i="19"/>
  <c r="O628" i="19"/>
  <c r="P627" i="19"/>
  <c r="P626" i="19"/>
  <c r="P624" i="19"/>
  <c r="P621" i="19"/>
  <c r="P620" i="19"/>
  <c r="P619" i="19"/>
  <c r="P618" i="19"/>
  <c r="P617" i="19"/>
  <c r="P616" i="19"/>
  <c r="P615" i="19"/>
  <c r="P614" i="19"/>
  <c r="P613" i="19"/>
  <c r="P612" i="19"/>
  <c r="P611" i="19"/>
  <c r="P610" i="19"/>
  <c r="P609" i="19"/>
  <c r="P608" i="19"/>
  <c r="P607" i="19"/>
  <c r="P605" i="19"/>
  <c r="P604" i="19"/>
  <c r="P603" i="19"/>
  <c r="P602" i="19"/>
  <c r="P601" i="19"/>
  <c r="P600" i="19"/>
  <c r="P599" i="19"/>
  <c r="P598" i="19"/>
  <c r="P597" i="19"/>
  <c r="P596" i="19"/>
  <c r="P595" i="19"/>
  <c r="P594" i="19"/>
  <c r="P593" i="19"/>
  <c r="P592" i="19"/>
  <c r="P591" i="19"/>
  <c r="P590" i="19"/>
  <c r="P589" i="19"/>
  <c r="P587" i="19"/>
  <c r="P583" i="19"/>
  <c r="O583" i="19"/>
  <c r="P581" i="19"/>
  <c r="O581" i="19"/>
  <c r="P579" i="19"/>
  <c r="O579" i="19"/>
  <c r="P578" i="19"/>
  <c r="O578" i="19"/>
  <c r="P577" i="19"/>
  <c r="O577" i="19"/>
  <c r="P576" i="19"/>
  <c r="O576" i="19"/>
  <c r="P575" i="19"/>
  <c r="O575" i="19"/>
  <c r="P574" i="19"/>
  <c r="O574" i="19"/>
  <c r="O573" i="19"/>
  <c r="P572" i="19"/>
  <c r="P571" i="19"/>
  <c r="P569" i="19"/>
  <c r="P566" i="19"/>
  <c r="P565" i="19"/>
  <c r="P564" i="19"/>
  <c r="P563" i="19"/>
  <c r="P562" i="19"/>
  <c r="P561" i="19"/>
  <c r="P560" i="19"/>
  <c r="P559" i="19"/>
  <c r="P558" i="19"/>
  <c r="P557" i="19"/>
  <c r="P556" i="19"/>
  <c r="P555" i="19"/>
  <c r="P554" i="19"/>
  <c r="P553" i="19"/>
  <c r="P552" i="19"/>
  <c r="P550" i="19"/>
  <c r="P549" i="19"/>
  <c r="P548" i="19"/>
  <c r="P547" i="19"/>
  <c r="P546" i="19"/>
  <c r="P545" i="19"/>
  <c r="P544" i="19"/>
  <c r="P543" i="19"/>
  <c r="P542" i="19"/>
  <c r="P541" i="19"/>
  <c r="P540" i="19"/>
  <c r="P539" i="19"/>
  <c r="P538" i="19"/>
  <c r="P537" i="19"/>
  <c r="P536" i="19"/>
  <c r="P535" i="19"/>
  <c r="P534" i="19"/>
  <c r="P533" i="19"/>
  <c r="P532" i="19"/>
  <c r="P529" i="19"/>
  <c r="O529" i="19"/>
  <c r="P528" i="19"/>
  <c r="O528" i="19"/>
  <c r="P527" i="19"/>
  <c r="O527" i="19"/>
  <c r="P526" i="19"/>
  <c r="O526" i="19"/>
  <c r="P525" i="19"/>
  <c r="O525" i="19"/>
  <c r="P524" i="19"/>
  <c r="O524" i="19"/>
  <c r="P523" i="19"/>
  <c r="O523" i="19"/>
  <c r="P522" i="19"/>
  <c r="O522" i="19"/>
  <c r="P521" i="19"/>
  <c r="O521" i="19"/>
  <c r="P520" i="19"/>
  <c r="O520" i="19"/>
  <c r="P519" i="19"/>
  <c r="O519" i="19"/>
  <c r="O518" i="19"/>
  <c r="P517" i="19"/>
  <c r="P516" i="19"/>
  <c r="P514" i="19"/>
  <c r="P511" i="19"/>
  <c r="P510" i="19"/>
  <c r="P509" i="19"/>
  <c r="P508" i="19"/>
  <c r="P507" i="19"/>
  <c r="P506" i="19"/>
  <c r="P505" i="19"/>
  <c r="P504" i="19"/>
  <c r="P503" i="19"/>
  <c r="P502" i="19"/>
  <c r="P501" i="19"/>
  <c r="P500" i="19"/>
  <c r="P499" i="19"/>
  <c r="P498" i="19"/>
  <c r="P497" i="19"/>
  <c r="P495" i="19"/>
  <c r="P494" i="19"/>
  <c r="P493" i="19"/>
  <c r="P492" i="19"/>
  <c r="P491" i="19"/>
  <c r="P490" i="19"/>
  <c r="P489" i="19"/>
  <c r="P487" i="19"/>
  <c r="P483" i="19"/>
  <c r="P481" i="19"/>
  <c r="P479" i="19"/>
  <c r="P478" i="19"/>
  <c r="P477" i="19"/>
  <c r="P474" i="19"/>
  <c r="O474" i="19"/>
  <c r="P473" i="19"/>
  <c r="O473" i="19"/>
  <c r="P472" i="19"/>
  <c r="O472" i="19"/>
  <c r="P471" i="19"/>
  <c r="O471" i="19"/>
  <c r="P470" i="19"/>
  <c r="O470" i="19"/>
  <c r="P469" i="19"/>
  <c r="O469" i="19"/>
  <c r="P468" i="19"/>
  <c r="O468" i="19"/>
  <c r="P467" i="19"/>
  <c r="O467" i="19"/>
  <c r="P466" i="19"/>
  <c r="O466" i="19"/>
  <c r="P465" i="19"/>
  <c r="O465" i="19"/>
  <c r="P464" i="19"/>
  <c r="O464" i="19"/>
  <c r="O463" i="19"/>
  <c r="P462" i="19"/>
  <c r="P461" i="19"/>
  <c r="P459" i="19"/>
  <c r="P456" i="19"/>
  <c r="P455" i="19"/>
  <c r="P454" i="19"/>
  <c r="P453" i="19"/>
  <c r="P452" i="19"/>
  <c r="P451" i="19"/>
  <c r="P450" i="19"/>
  <c r="P449" i="19"/>
  <c r="P448" i="19"/>
  <c r="P447" i="19"/>
  <c r="P446" i="19"/>
  <c r="P445" i="19"/>
  <c r="P444" i="19"/>
  <c r="P443" i="19"/>
  <c r="P442" i="19"/>
  <c r="P440" i="19"/>
  <c r="P439" i="19"/>
  <c r="P438" i="19"/>
  <c r="P437" i="19"/>
  <c r="P436" i="19"/>
  <c r="P435" i="19"/>
  <c r="P434" i="19"/>
  <c r="P433" i="19"/>
  <c r="P432" i="19"/>
  <c r="P431" i="19"/>
  <c r="P430" i="19"/>
  <c r="P429" i="19"/>
  <c r="P428" i="19"/>
  <c r="P427" i="19"/>
  <c r="P426" i="19"/>
  <c r="P425" i="19"/>
  <c r="P424" i="19"/>
  <c r="P423" i="19"/>
  <c r="P422" i="19"/>
  <c r="P419" i="19"/>
  <c r="O419" i="19"/>
  <c r="P418" i="19"/>
  <c r="O418" i="19"/>
  <c r="P417" i="19"/>
  <c r="O417" i="19"/>
  <c r="P416" i="19"/>
  <c r="O416" i="19"/>
  <c r="P415" i="19"/>
  <c r="O415" i="19"/>
  <c r="P414" i="19"/>
  <c r="O414" i="19"/>
  <c r="P413" i="19"/>
  <c r="O413" i="19"/>
  <c r="P412" i="19"/>
  <c r="O412" i="19"/>
  <c r="P411" i="19"/>
  <c r="O411" i="19"/>
  <c r="P410" i="19"/>
  <c r="O410" i="19"/>
  <c r="P409" i="19"/>
  <c r="O409" i="19"/>
  <c r="O408" i="19"/>
  <c r="P407" i="19"/>
  <c r="P406" i="19"/>
  <c r="P404" i="19"/>
  <c r="P401" i="19"/>
  <c r="P400" i="19"/>
  <c r="P399" i="19"/>
  <c r="P398" i="19"/>
  <c r="P397" i="19"/>
  <c r="P396" i="19"/>
  <c r="P395" i="19"/>
  <c r="P394" i="19"/>
  <c r="P393" i="19"/>
  <c r="P392" i="19"/>
  <c r="P391" i="19"/>
  <c r="P390" i="19"/>
  <c r="P389" i="19"/>
  <c r="P387" i="19"/>
  <c r="P383" i="19"/>
  <c r="P381" i="19"/>
  <c r="P379" i="19"/>
  <c r="P378" i="19"/>
  <c r="P377" i="19"/>
  <c r="P376" i="19"/>
  <c r="P375" i="19"/>
  <c r="P374" i="19"/>
  <c r="P373" i="19"/>
  <c r="P372" i="19"/>
  <c r="P371" i="19"/>
  <c r="P370" i="19"/>
  <c r="P369" i="19"/>
  <c r="P368" i="19"/>
  <c r="P367" i="19"/>
  <c r="P364" i="19"/>
  <c r="O364" i="19"/>
  <c r="P363" i="19"/>
  <c r="O363" i="19"/>
  <c r="P362" i="19"/>
  <c r="O362" i="19"/>
  <c r="P361" i="19"/>
  <c r="O361" i="19"/>
  <c r="P360" i="19"/>
  <c r="O360" i="19"/>
  <c r="P359" i="19"/>
  <c r="O359" i="19"/>
  <c r="P358" i="19"/>
  <c r="O358" i="19"/>
  <c r="P357" i="19"/>
  <c r="O357" i="19"/>
  <c r="P356" i="19"/>
  <c r="O356" i="19"/>
  <c r="P355" i="19"/>
  <c r="O355" i="19"/>
  <c r="P354" i="19"/>
  <c r="O354" i="19"/>
  <c r="O353" i="19"/>
  <c r="P352" i="19"/>
  <c r="P351" i="19"/>
  <c r="P349" i="19"/>
  <c r="P346" i="19"/>
  <c r="P345" i="19"/>
  <c r="P344" i="19"/>
  <c r="P343" i="19"/>
  <c r="P342" i="19"/>
  <c r="P341" i="19"/>
  <c r="P340" i="19"/>
  <c r="P339" i="19"/>
  <c r="P338" i="19"/>
  <c r="P337" i="19"/>
  <c r="P336" i="19"/>
  <c r="P335" i="19"/>
  <c r="P334" i="19"/>
  <c r="P333" i="19"/>
  <c r="P332" i="19"/>
  <c r="P330" i="19"/>
  <c r="P329" i="19"/>
  <c r="P328" i="19"/>
  <c r="P327" i="19"/>
  <c r="P326" i="19"/>
  <c r="P325" i="19"/>
  <c r="P324" i="19"/>
  <c r="P323" i="19"/>
  <c r="P322" i="19"/>
  <c r="P321" i="19"/>
  <c r="P320" i="19"/>
  <c r="P319" i="19"/>
  <c r="P318" i="19"/>
  <c r="P317" i="19"/>
  <c r="P316" i="19"/>
  <c r="P315" i="19"/>
  <c r="P314" i="19"/>
  <c r="P313" i="19"/>
  <c r="P312" i="19"/>
  <c r="P309" i="19"/>
  <c r="O309" i="19"/>
  <c r="P308" i="19"/>
  <c r="O308" i="19"/>
  <c r="P307" i="19"/>
  <c r="O307" i="19"/>
  <c r="P306" i="19"/>
  <c r="O306" i="19"/>
  <c r="P305" i="19"/>
  <c r="O305" i="19"/>
  <c r="P304" i="19"/>
  <c r="O304" i="19"/>
  <c r="P303" i="19"/>
  <c r="O303" i="19"/>
  <c r="P302" i="19"/>
  <c r="O302" i="19"/>
  <c r="P301" i="19"/>
  <c r="O301" i="19"/>
  <c r="P300" i="19"/>
  <c r="O300" i="19"/>
  <c r="P299" i="19"/>
  <c r="O299" i="19"/>
  <c r="O298" i="19"/>
  <c r="P297" i="19"/>
  <c r="P296" i="19"/>
  <c r="P294" i="19"/>
  <c r="P291" i="19"/>
  <c r="P290" i="19"/>
  <c r="P289" i="19"/>
  <c r="P287" i="19"/>
  <c r="P283" i="19"/>
  <c r="P281" i="19"/>
  <c r="P279" i="19"/>
  <c r="P278" i="19"/>
  <c r="P277" i="19"/>
  <c r="A73" i="19"/>
  <c r="A72" i="19" s="1"/>
  <c r="A17" i="19"/>
  <c r="K1707" i="20"/>
  <c r="P275" i="19"/>
  <c r="P274" i="19"/>
  <c r="P273" i="19"/>
  <c r="P272" i="19"/>
  <c r="P271" i="19"/>
  <c r="P270" i="19"/>
  <c r="P269" i="19"/>
  <c r="P268" i="19"/>
  <c r="P267" i="19"/>
  <c r="P266" i="19"/>
  <c r="P265" i="19"/>
  <c r="P264" i="19"/>
  <c r="P263" i="19"/>
  <c r="P262" i="19"/>
  <c r="P261" i="19"/>
  <c r="P260" i="19"/>
  <c r="P259" i="19"/>
  <c r="P258" i="19"/>
  <c r="P257" i="19"/>
  <c r="P254" i="19"/>
  <c r="O254" i="19"/>
  <c r="P253" i="19"/>
  <c r="O253" i="19"/>
  <c r="P252" i="19"/>
  <c r="O252" i="19"/>
  <c r="P251" i="19"/>
  <c r="O251" i="19"/>
  <c r="P250" i="19"/>
  <c r="O250" i="19"/>
  <c r="P249" i="19"/>
  <c r="O249" i="19"/>
  <c r="P248" i="19"/>
  <c r="O248" i="19"/>
  <c r="P247" i="19"/>
  <c r="O247" i="19"/>
  <c r="P246" i="19"/>
  <c r="O246" i="19"/>
  <c r="P245" i="19"/>
  <c r="O245" i="19"/>
  <c r="P244" i="19"/>
  <c r="O244" i="19"/>
  <c r="O243" i="19"/>
  <c r="P242" i="19"/>
  <c r="P241" i="19"/>
  <c r="P239" i="19"/>
  <c r="P236" i="19"/>
  <c r="P235" i="19"/>
  <c r="P234" i="19"/>
  <c r="P233" i="19"/>
  <c r="P232" i="19"/>
  <c r="P231" i="19"/>
  <c r="P230" i="19"/>
  <c r="P229" i="19"/>
  <c r="P228" i="19"/>
  <c r="P227" i="19"/>
  <c r="P226" i="19"/>
  <c r="P225" i="19"/>
  <c r="P224" i="19"/>
  <c r="P223" i="19"/>
  <c r="P222" i="19"/>
  <c r="P220" i="19"/>
  <c r="P219" i="19"/>
  <c r="P218" i="19"/>
  <c r="P217" i="19"/>
  <c r="P216" i="19"/>
  <c r="P215" i="19"/>
  <c r="P214" i="19"/>
  <c r="P213" i="19"/>
  <c r="P212" i="19"/>
  <c r="P211" i="19"/>
  <c r="P210" i="19"/>
  <c r="P209" i="19"/>
  <c r="P208" i="19"/>
  <c r="P207" i="19"/>
  <c r="P206" i="19"/>
  <c r="P205" i="19"/>
  <c r="P204" i="19"/>
  <c r="P203" i="19"/>
  <c r="P202" i="19"/>
  <c r="P199" i="19"/>
  <c r="O199" i="19"/>
  <c r="P198" i="19"/>
  <c r="O198" i="19"/>
  <c r="P197" i="19"/>
  <c r="O197" i="19"/>
  <c r="P196" i="19"/>
  <c r="O196" i="19"/>
  <c r="P195" i="19"/>
  <c r="O195" i="19"/>
  <c r="P193" i="19"/>
  <c r="O193" i="19"/>
  <c r="P192" i="19"/>
  <c r="O192" i="19"/>
  <c r="P191" i="19"/>
  <c r="O191" i="19"/>
  <c r="P190" i="19"/>
  <c r="O190" i="19"/>
  <c r="P189" i="19"/>
  <c r="O189" i="19"/>
  <c r="P187" i="19"/>
  <c r="P181" i="19"/>
  <c r="P179" i="19"/>
  <c r="P178" i="19"/>
  <c r="P177" i="19"/>
  <c r="P176" i="19"/>
  <c r="P175" i="19"/>
  <c r="P174" i="19"/>
  <c r="P173" i="19"/>
  <c r="P172" i="19"/>
  <c r="P171" i="19"/>
  <c r="P170" i="19"/>
  <c r="P169" i="19"/>
  <c r="P168" i="19"/>
  <c r="P167" i="19"/>
  <c r="P144" i="19"/>
  <c r="O144" i="19"/>
  <c r="P143" i="19"/>
  <c r="O143" i="19"/>
  <c r="P142" i="19"/>
  <c r="O142" i="19"/>
  <c r="P141" i="19"/>
  <c r="O141" i="19"/>
  <c r="P140" i="19"/>
  <c r="O140" i="19"/>
  <c r="P139" i="19"/>
  <c r="O139" i="19"/>
  <c r="P138" i="19"/>
  <c r="O138" i="19"/>
  <c r="P137" i="19"/>
  <c r="O137" i="19"/>
  <c r="P136" i="19"/>
  <c r="O136" i="19"/>
  <c r="P135" i="19"/>
  <c r="O135" i="19"/>
  <c r="P134" i="19"/>
  <c r="O134" i="19"/>
  <c r="O133" i="19"/>
  <c r="P132" i="19"/>
  <c r="P131" i="19"/>
  <c r="P129" i="19"/>
  <c r="P112" i="19"/>
  <c r="P113" i="19"/>
  <c r="P114" i="19"/>
  <c r="P115" i="19"/>
  <c r="P116" i="19"/>
  <c r="P117" i="19"/>
  <c r="P118" i="19"/>
  <c r="P119" i="19"/>
  <c r="P120" i="19"/>
  <c r="P121" i="19"/>
  <c r="P122" i="19"/>
  <c r="P123" i="19"/>
  <c r="P124" i="19"/>
  <c r="P125" i="19"/>
  <c r="P126" i="19"/>
  <c r="P147" i="19"/>
  <c r="P148" i="19"/>
  <c r="P149" i="19"/>
  <c r="P150" i="19"/>
  <c r="P151" i="19"/>
  <c r="P152" i="19"/>
  <c r="P153" i="19"/>
  <c r="P154" i="19"/>
  <c r="P155" i="19"/>
  <c r="P156" i="19"/>
  <c r="P157" i="19"/>
  <c r="P158" i="19"/>
  <c r="P159" i="19"/>
  <c r="P160" i="19"/>
  <c r="P161" i="19"/>
  <c r="P162" i="19"/>
  <c r="P163" i="19"/>
  <c r="P164" i="19"/>
  <c r="P165" i="19"/>
  <c r="B62" i="26" l="1"/>
  <c r="A128" i="19"/>
  <c r="A127" i="19" s="1"/>
  <c r="P127" i="19" s="1"/>
  <c r="B68" i="26" l="1"/>
  <c r="A183" i="19"/>
  <c r="P128" i="19"/>
  <c r="B74" i="26" l="1"/>
  <c r="A238" i="19"/>
  <c r="P183" i="19"/>
  <c r="A182" i="19"/>
  <c r="P182" i="19" s="1"/>
  <c r="B80" i="26" l="1"/>
  <c r="A293" i="19"/>
  <c r="A237" i="19"/>
  <c r="P237" i="19" s="1"/>
  <c r="P238" i="19"/>
  <c r="B86" i="26" l="1"/>
  <c r="A292" i="19"/>
  <c r="P292" i="19" s="1"/>
  <c r="A348" i="19"/>
  <c r="P293" i="19"/>
  <c r="B92" i="26" l="1"/>
  <c r="A347" i="19"/>
  <c r="P347" i="19" s="1"/>
  <c r="A403" i="19"/>
  <c r="P348" i="19"/>
  <c r="B98" i="26" l="1"/>
  <c r="A402" i="19"/>
  <c r="P402" i="19" s="1"/>
  <c r="A458" i="19"/>
  <c r="P403" i="19"/>
  <c r="B104" i="26" l="1"/>
  <c r="A457" i="19"/>
  <c r="P457" i="19" s="1"/>
  <c r="A513" i="19"/>
  <c r="P458" i="19"/>
  <c r="B110" i="26" l="1"/>
  <c r="A512" i="19"/>
  <c r="P512" i="19" s="1"/>
  <c r="A568" i="19"/>
  <c r="P513" i="19"/>
  <c r="B116" i="26" l="1"/>
  <c r="A623" i="19"/>
  <c r="P568" i="19"/>
  <c r="A567" i="19"/>
  <c r="P567" i="19" s="1"/>
  <c r="B122" i="26" l="1"/>
  <c r="P623" i="19"/>
  <c r="A678" i="19"/>
  <c r="A622" i="19"/>
  <c r="P622" i="19" s="1"/>
  <c r="B128" i="26" l="1"/>
  <c r="A677" i="19"/>
  <c r="P677" i="19" s="1"/>
  <c r="P678" i="19"/>
  <c r="A733" i="19"/>
  <c r="B134" i="26" l="1"/>
  <c r="A788" i="19"/>
  <c r="A732" i="19"/>
  <c r="P732" i="19" s="1"/>
  <c r="P733" i="19"/>
  <c r="B140" i="26" l="1"/>
  <c r="P788" i="19"/>
  <c r="A787" i="19"/>
  <c r="P787" i="19" s="1"/>
  <c r="A843" i="19"/>
  <c r="B146" i="26" l="1"/>
  <c r="P843" i="19"/>
  <c r="A842" i="19"/>
  <c r="P842" i="19" s="1"/>
  <c r="A898" i="19"/>
  <c r="A953" i="19" s="1"/>
  <c r="P898" i="19"/>
  <c r="B152" i="26" l="1"/>
  <c r="A897" i="19"/>
  <c r="P897" i="19" s="1"/>
  <c r="A1008" i="19"/>
  <c r="A952" i="19"/>
  <c r="P952" i="19" s="1"/>
  <c r="P953" i="19"/>
  <c r="B158" i="26" l="1"/>
  <c r="P1008" i="19"/>
  <c r="A1063" i="19"/>
  <c r="A1007" i="19"/>
  <c r="P1007" i="19" s="1"/>
  <c r="B164" i="26" l="1"/>
  <c r="A1062" i="19"/>
  <c r="P1062" i="19" s="1"/>
  <c r="P1063" i="19"/>
  <c r="A1118" i="19"/>
  <c r="B170" i="26" l="1"/>
  <c r="A1173" i="19"/>
  <c r="A1117" i="19"/>
  <c r="P1117" i="19" s="1"/>
  <c r="P1118" i="19"/>
  <c r="B176" i="26" l="1"/>
  <c r="A1228" i="19"/>
  <c r="A1172" i="19"/>
  <c r="P1172" i="19" s="1"/>
  <c r="P1173" i="19"/>
  <c r="B182" i="26" l="1"/>
  <c r="A1283" i="19"/>
  <c r="P1228" i="19"/>
  <c r="A1227" i="19"/>
  <c r="P1227" i="19" s="1"/>
  <c r="B188" i="26" l="1"/>
  <c r="A1338" i="19"/>
  <c r="A1282" i="19"/>
  <c r="P1282" i="19" s="1"/>
  <c r="P1283" i="19"/>
  <c r="B194" i="26" l="1"/>
  <c r="P1338" i="19"/>
  <c r="A1393" i="19"/>
  <c r="A1337" i="19"/>
  <c r="P1337" i="19" s="1"/>
  <c r="B200" i="26" l="1"/>
  <c r="A1392" i="19"/>
  <c r="P1392" i="19" s="1"/>
  <c r="P1393" i="19"/>
  <c r="A1448" i="19"/>
  <c r="B206" i="26" l="1"/>
  <c r="A1447" i="19"/>
  <c r="P1447" i="19" s="1"/>
  <c r="P1448" i="19"/>
  <c r="A1503" i="19"/>
  <c r="B212" i="26" l="1"/>
  <c r="A1558" i="19"/>
  <c r="A1502" i="19"/>
  <c r="P1502" i="19" s="1"/>
  <c r="P1503" i="19"/>
  <c r="B218" i="26" l="1"/>
  <c r="A1613" i="19"/>
  <c r="A1557" i="19"/>
  <c r="P1557" i="19" s="1"/>
  <c r="P1558" i="19"/>
  <c r="B224" i="26" l="1"/>
  <c r="A1612" i="19"/>
  <c r="P1612" i="19" s="1"/>
  <c r="P1613" i="19"/>
  <c r="A1668" i="19"/>
  <c r="B230" i="26" l="1"/>
  <c r="A1667" i="19"/>
  <c r="P1667" i="19" s="1"/>
  <c r="P1668" i="19"/>
  <c r="A1723" i="19"/>
  <c r="B236" i="26" l="1"/>
  <c r="A1722" i="19"/>
  <c r="P1722" i="19" s="1"/>
  <c r="P1723" i="19"/>
  <c r="A1778" i="19"/>
  <c r="B242" i="26" l="1"/>
  <c r="P1778" i="19"/>
  <c r="A1833" i="19"/>
  <c r="A1777" i="19"/>
  <c r="P1777" i="19" s="1"/>
  <c r="B248" i="26" l="1"/>
  <c r="A1888" i="19"/>
  <c r="A1832" i="19"/>
  <c r="P1832" i="19" s="1"/>
  <c r="P1833" i="19"/>
  <c r="B254" i="26" l="1"/>
  <c r="A1887" i="19"/>
  <c r="P1887" i="19" s="1"/>
  <c r="P1888" i="19"/>
  <c r="A1943" i="19"/>
  <c r="B260" i="26" l="1"/>
  <c r="A1942" i="19"/>
  <c r="P1942" i="19" s="1"/>
  <c r="A1998" i="19"/>
  <c r="A1997" i="19" s="1"/>
  <c r="P1997" i="19" s="1"/>
  <c r="P1943" i="19"/>
  <c r="P1998" i="19"/>
  <c r="B266" i="26" l="1"/>
  <c r="A2053" i="19"/>
  <c r="P2053" i="19"/>
  <c r="A2108" i="19"/>
  <c r="A2052" i="19"/>
  <c r="P2052" i="19" s="1"/>
  <c r="B272" i="26" l="1"/>
  <c r="A2163" i="19"/>
  <c r="A2107" i="19"/>
  <c r="P2107" i="19" s="1"/>
  <c r="P2108" i="19"/>
  <c r="B278" i="26" l="1"/>
  <c r="A2218" i="19"/>
  <c r="A2162" i="19"/>
  <c r="P2162" i="19" s="1"/>
  <c r="P2163" i="19"/>
  <c r="B284" i="26" l="1"/>
  <c r="P2218" i="19"/>
  <c r="A2273" i="19"/>
  <c r="A2217" i="19"/>
  <c r="P2217" i="19" s="1"/>
  <c r="B290" i="26" l="1"/>
  <c r="A2272" i="19"/>
  <c r="P2272" i="19" s="1"/>
  <c r="P2273" i="19"/>
  <c r="A2328" i="19"/>
  <c r="B296" i="26" l="1"/>
  <c r="A2383" i="19"/>
  <c r="A2327" i="19"/>
  <c r="P2327" i="19" s="1"/>
  <c r="P2328" i="19"/>
  <c r="B302" i="26" l="1"/>
  <c r="A2382" i="19"/>
  <c r="P2382" i="19" s="1"/>
  <c r="P2383" i="19"/>
  <c r="A2438" i="19"/>
  <c r="B308" i="26" l="1"/>
  <c r="A2437" i="19"/>
  <c r="P2437" i="19" s="1"/>
  <c r="P2438" i="19"/>
  <c r="A2493" i="19"/>
  <c r="B314" i="26" l="1"/>
  <c r="A2492" i="19"/>
  <c r="P2492" i="19" s="1"/>
  <c r="P2493" i="19"/>
  <c r="A2548" i="19"/>
  <c r="B320" i="26" l="1"/>
  <c r="A2547" i="19"/>
  <c r="P2547" i="19" s="1"/>
  <c r="P2548" i="19"/>
  <c r="A2603" i="19"/>
  <c r="B326" i="26" l="1"/>
  <c r="A2658" i="19"/>
  <c r="A2602" i="19"/>
  <c r="P2602" i="19" s="1"/>
  <c r="P2603" i="19"/>
  <c r="B332" i="26" l="1"/>
  <c r="A2657" i="19"/>
  <c r="P2657" i="19" s="1"/>
  <c r="P2658" i="19"/>
  <c r="A2713" i="19"/>
  <c r="A2768" i="19" s="1"/>
  <c r="B338" i="26" l="1"/>
  <c r="P2768" i="19"/>
  <c r="A2823" i="19"/>
  <c r="A2767" i="19"/>
  <c r="P2767" i="19" s="1"/>
  <c r="A2712" i="19"/>
  <c r="P2712" i="19" s="1"/>
  <c r="P2713" i="19"/>
  <c r="B344" i="26" l="1"/>
  <c r="A2822" i="19"/>
  <c r="P2822" i="19" s="1"/>
  <c r="A2878" i="19"/>
  <c r="P2823" i="19"/>
  <c r="O89" i="19"/>
  <c r="O87" i="19"/>
  <c r="O83" i="19"/>
  <c r="O81" i="19"/>
  <c r="O79" i="19"/>
  <c r="O78" i="19"/>
  <c r="P70" i="19"/>
  <c r="P71" i="19"/>
  <c r="P72" i="19"/>
  <c r="P74" i="19"/>
  <c r="P76" i="19"/>
  <c r="P77" i="19"/>
  <c r="P78" i="19"/>
  <c r="P79" i="19"/>
  <c r="P81" i="19"/>
  <c r="P83" i="19"/>
  <c r="P87" i="19"/>
  <c r="P89" i="19"/>
  <c r="P92" i="19"/>
  <c r="P93" i="19"/>
  <c r="P94" i="19"/>
  <c r="P95" i="19"/>
  <c r="P96" i="19"/>
  <c r="P97" i="19"/>
  <c r="P98" i="19"/>
  <c r="P99" i="19"/>
  <c r="P100" i="19"/>
  <c r="P101" i="19"/>
  <c r="P102" i="19"/>
  <c r="P103" i="19"/>
  <c r="P104" i="19"/>
  <c r="P105" i="19"/>
  <c r="P106" i="19"/>
  <c r="P107" i="19"/>
  <c r="P108" i="19"/>
  <c r="P109" i="19"/>
  <c r="P110" i="19"/>
  <c r="P111" i="19"/>
  <c r="O24" i="19"/>
  <c r="O25" i="19"/>
  <c r="O26" i="19"/>
  <c r="O27" i="19"/>
  <c r="O28" i="19"/>
  <c r="O29" i="19"/>
  <c r="O30" i="19"/>
  <c r="O31" i="19"/>
  <c r="O32" i="19"/>
  <c r="O33" i="19"/>
  <c r="O34" i="19"/>
  <c r="O23" i="19"/>
  <c r="B350" i="26" l="1"/>
  <c r="A2933" i="19"/>
  <c r="A2877" i="19"/>
  <c r="P2877" i="19" s="1"/>
  <c r="P2878" i="19"/>
  <c r="K1818" i="20"/>
  <c r="K1781" i="20"/>
  <c r="K1744" i="20"/>
  <c r="K1670" i="20"/>
  <c r="K1633" i="20"/>
  <c r="K1596" i="20"/>
  <c r="K1559" i="20"/>
  <c r="K1522" i="20"/>
  <c r="K1485" i="20"/>
  <c r="B1482" i="20" s="1"/>
  <c r="K1448" i="20"/>
  <c r="B1445" i="20" s="1"/>
  <c r="K1411" i="20"/>
  <c r="K1374" i="20"/>
  <c r="K1337" i="20"/>
  <c r="B1334" i="20" s="1"/>
  <c r="K1300" i="20"/>
  <c r="K1263" i="20"/>
  <c r="K1226" i="20"/>
  <c r="K1189" i="20"/>
  <c r="K1152" i="20"/>
  <c r="K1115" i="20"/>
  <c r="K1078" i="20"/>
  <c r="K1041" i="20"/>
  <c r="K1004" i="20"/>
  <c r="K967" i="20"/>
  <c r="M61" i="10"/>
  <c r="P2933" i="19" l="1"/>
  <c r="A2988" i="19"/>
  <c r="A2932" i="19"/>
  <c r="P2932" i="19" s="1"/>
  <c r="J1819" i="20"/>
  <c r="J1671" i="20"/>
  <c r="J1042" i="20"/>
  <c r="J1005" i="20"/>
  <c r="B1297" i="20"/>
  <c r="J1116" i="20"/>
  <c r="J1523" i="20"/>
  <c r="J1412" i="20"/>
  <c r="B1001" i="20"/>
  <c r="B1075" i="20"/>
  <c r="J1264" i="20"/>
  <c r="J1301" i="20"/>
  <c r="B1519" i="20"/>
  <c r="B1593" i="20"/>
  <c r="B1630" i="20"/>
  <c r="B1815" i="20"/>
  <c r="J1153" i="20"/>
  <c r="J1745" i="20"/>
  <c r="B1149" i="20"/>
  <c r="J1449" i="20"/>
  <c r="B1667" i="20"/>
  <c r="B1741" i="20"/>
  <c r="B1778" i="20"/>
  <c r="J1079" i="20"/>
  <c r="J1597" i="20"/>
  <c r="J1190" i="20"/>
  <c r="J1375" i="20"/>
  <c r="J968" i="20"/>
  <c r="B1038" i="20"/>
  <c r="B1186" i="20"/>
  <c r="J1227" i="20"/>
  <c r="B1371" i="20"/>
  <c r="B1408" i="20"/>
  <c r="B1112" i="20"/>
  <c r="B1260" i="20"/>
  <c r="B964" i="20"/>
  <c r="B1223" i="20"/>
  <c r="J1560" i="20"/>
  <c r="J1708" i="20"/>
  <c r="J1338" i="20"/>
  <c r="J1486" i="20"/>
  <c r="B1556" i="20"/>
  <c r="J1634" i="20"/>
  <c r="B1704" i="20"/>
  <c r="J1782" i="20"/>
  <c r="A2987" i="19" l="1"/>
  <c r="P2987" i="19" s="1"/>
  <c r="A3043" i="19"/>
  <c r="P2988" i="19"/>
  <c r="M15" i="23"/>
  <c r="N15" i="23"/>
  <c r="O15" i="23"/>
  <c r="P15" i="23"/>
  <c r="Q15" i="23"/>
  <c r="R15" i="23"/>
  <c r="S15" i="23"/>
  <c r="T15" i="23"/>
  <c r="U15" i="23"/>
  <c r="V15" i="23"/>
  <c r="W15" i="23"/>
  <c r="X15" i="23"/>
  <c r="Y15" i="23"/>
  <c r="Z15" i="23"/>
  <c r="AA15" i="23"/>
  <c r="AB15" i="23"/>
  <c r="AC15" i="23"/>
  <c r="AD15" i="23"/>
  <c r="AE15" i="23"/>
  <c r="AF15" i="23"/>
  <c r="AG15" i="23"/>
  <c r="AH15" i="23"/>
  <c r="AI15" i="23"/>
  <c r="AJ15" i="23"/>
  <c r="AK15" i="23"/>
  <c r="AL15" i="23"/>
  <c r="AM15" i="23"/>
  <c r="AN15" i="23"/>
  <c r="AO15" i="23"/>
  <c r="AP15" i="23"/>
  <c r="AQ15" i="23"/>
  <c r="AR15" i="23"/>
  <c r="AS15" i="23"/>
  <c r="AT15" i="23"/>
  <c r="AU15" i="23"/>
  <c r="AV15" i="23"/>
  <c r="AW15" i="23"/>
  <c r="AX15" i="23"/>
  <c r="AY15" i="23"/>
  <c r="AZ15" i="23"/>
  <c r="D15" i="23"/>
  <c r="E15" i="23"/>
  <c r="F15" i="23"/>
  <c r="G15" i="23"/>
  <c r="H15" i="23"/>
  <c r="I15" i="23"/>
  <c r="J15" i="23"/>
  <c r="K15" i="23"/>
  <c r="L15" i="23"/>
  <c r="C15" i="23"/>
  <c r="Q79" i="11"/>
  <c r="P3043" i="19" l="1"/>
  <c r="A3042" i="19"/>
  <c r="P3042" i="19" s="1"/>
  <c r="N211" i="11"/>
  <c r="Q59" i="11"/>
  <c r="Q60" i="11" s="1"/>
  <c r="Q63" i="11"/>
  <c r="Q64" i="11" s="1"/>
  <c r="AC50" i="11"/>
  <c r="AD50" i="11" s="1"/>
  <c r="W50" i="11"/>
  <c r="W51" i="11" s="1"/>
  <c r="W52" i="11" s="1"/>
  <c r="W53" i="11" s="1"/>
  <c r="X50" i="11"/>
  <c r="X51" i="11" s="1"/>
  <c r="X52" i="11" s="1"/>
  <c r="X53" i="11" s="1"/>
  <c r="Y50" i="11"/>
  <c r="Y51" i="11" s="1"/>
  <c r="Y52" i="11" s="1"/>
  <c r="Y53" i="11" s="1"/>
  <c r="X85" i="11"/>
  <c r="X86" i="11" s="1"/>
  <c r="X87" i="11" s="1"/>
  <c r="X88" i="11" s="1"/>
  <c r="X89" i="11" s="1"/>
  <c r="X90" i="11" s="1"/>
  <c r="X91" i="11" s="1"/>
  <c r="X92" i="11" s="1"/>
  <c r="X93" i="11" s="1"/>
  <c r="X94" i="11" s="1"/>
  <c r="X95" i="11" s="1"/>
  <c r="X96" i="11" s="1"/>
  <c r="X97" i="11" s="1"/>
  <c r="X98" i="11" s="1"/>
  <c r="X99" i="11" s="1"/>
  <c r="X100" i="11" s="1"/>
  <c r="X101" i="11" s="1"/>
  <c r="X102" i="11" s="1"/>
  <c r="X103" i="11" s="1"/>
  <c r="X104" i="11" s="1"/>
  <c r="X105" i="11" s="1"/>
  <c r="X106" i="11" s="1"/>
  <c r="X107" i="11" s="1"/>
  <c r="X108" i="11" s="1"/>
  <c r="X109" i="11" s="1"/>
  <c r="X110" i="11" s="1"/>
  <c r="X111" i="11" s="1"/>
  <c r="X112" i="11" s="1"/>
  <c r="X113" i="11" s="1"/>
  <c r="X114" i="11" s="1"/>
  <c r="X115" i="11" s="1"/>
  <c r="X116" i="11" s="1"/>
  <c r="X117" i="11" s="1"/>
  <c r="X118" i="11" s="1"/>
  <c r="X119" i="11" s="1"/>
  <c r="X120" i="11" s="1"/>
  <c r="X121" i="11" s="1"/>
  <c r="X122" i="11" s="1"/>
  <c r="X123" i="11" s="1"/>
  <c r="X124" i="11" s="1"/>
  <c r="X125" i="11" s="1"/>
  <c r="X126" i="11" s="1"/>
  <c r="X127" i="11" s="1"/>
  <c r="X128" i="11" s="1"/>
  <c r="X129" i="11" s="1"/>
  <c r="X130" i="11" s="1"/>
  <c r="X131" i="11" s="1"/>
  <c r="X132" i="11" s="1"/>
  <c r="X133" i="11" s="1"/>
  <c r="X134" i="11" s="1"/>
  <c r="X135" i="11" s="1"/>
  <c r="X136" i="11" s="1"/>
  <c r="X137" i="11" s="1"/>
  <c r="X138" i="11" s="1"/>
  <c r="X139" i="11" s="1"/>
  <c r="X140" i="11" s="1"/>
  <c r="X141" i="11" s="1"/>
  <c r="X142" i="11" s="1"/>
  <c r="X143" i="11" s="1"/>
  <c r="X144" i="11" s="1"/>
  <c r="X145" i="11" s="1"/>
  <c r="X146" i="11" s="1"/>
  <c r="X147" i="11" s="1"/>
  <c r="X148" i="11" s="1"/>
  <c r="X149" i="11" s="1"/>
  <c r="X150" i="11" s="1"/>
  <c r="X151" i="11" s="1"/>
  <c r="X152" i="11" s="1"/>
  <c r="X153" i="11" s="1"/>
  <c r="X154" i="11" s="1"/>
  <c r="X155" i="11" s="1"/>
  <c r="X156" i="11" s="1"/>
  <c r="X157" i="11" s="1"/>
  <c r="X158" i="11" s="1"/>
  <c r="X159" i="11" s="1"/>
  <c r="X160" i="11" s="1"/>
  <c r="X161" i="11" s="1"/>
  <c r="X162" i="11" s="1"/>
  <c r="X163" i="11" s="1"/>
  <c r="X164" i="11" s="1"/>
  <c r="X165" i="11" s="1"/>
  <c r="X166" i="11" s="1"/>
  <c r="X167" i="11" s="1"/>
  <c r="X168" i="11" s="1"/>
  <c r="X169" i="11" s="1"/>
  <c r="X170" i="11" s="1"/>
  <c r="X171" i="11" s="1"/>
  <c r="X172" i="11" s="1"/>
  <c r="X173" i="11" s="1"/>
  <c r="X174" i="11" s="1"/>
  <c r="X175" i="11" s="1"/>
  <c r="X176" i="11" s="1"/>
  <c r="X177" i="11" s="1"/>
  <c r="X178" i="11" s="1"/>
  <c r="X179" i="11" s="1"/>
  <c r="X180" i="11" s="1"/>
  <c r="X181" i="11" s="1"/>
  <c r="X182" i="11" s="1"/>
  <c r="X183" i="11" s="1"/>
  <c r="X184" i="11" s="1"/>
  <c r="X185" i="11" s="1"/>
  <c r="X186" i="11" s="1"/>
  <c r="X187" i="11" s="1"/>
  <c r="X188" i="11" s="1"/>
  <c r="X189" i="11" s="1"/>
  <c r="X190" i="11" s="1"/>
  <c r="X191" i="11" s="1"/>
  <c r="X192" i="11" s="1"/>
  <c r="X193" i="11" s="1"/>
  <c r="X194" i="11" s="1"/>
  <c r="X195" i="11" s="1"/>
  <c r="X196" i="11" s="1"/>
  <c r="X197" i="11" s="1"/>
  <c r="X198" i="11" s="1"/>
  <c r="X199" i="11" s="1"/>
  <c r="X200" i="11" s="1"/>
  <c r="X201" i="11" s="1"/>
  <c r="X202" i="11" s="1"/>
  <c r="X203" i="11" s="1"/>
  <c r="X204" i="11" s="1"/>
  <c r="X205" i="11" s="1"/>
  <c r="X206" i="11" s="1"/>
  <c r="X207" i="11" s="1"/>
  <c r="X208" i="11" s="1"/>
  <c r="X209" i="11" s="1"/>
  <c r="W85" i="11"/>
  <c r="W86" i="11" s="1"/>
  <c r="W87" i="11" s="1"/>
  <c r="W88" i="11" s="1"/>
  <c r="W89" i="11" s="1"/>
  <c r="W90" i="11" s="1"/>
  <c r="W91" i="11" s="1"/>
  <c r="W92" i="11" s="1"/>
  <c r="W93" i="11" s="1"/>
  <c r="W94" i="11" s="1"/>
  <c r="W95" i="11" s="1"/>
  <c r="W96" i="11" s="1"/>
  <c r="W97" i="11" s="1"/>
  <c r="W98" i="11" s="1"/>
  <c r="W99" i="11" s="1"/>
  <c r="W100" i="11" s="1"/>
  <c r="W101" i="11" s="1"/>
  <c r="W102" i="11" s="1"/>
  <c r="W103" i="11" s="1"/>
  <c r="W104" i="11" s="1"/>
  <c r="W105" i="11" s="1"/>
  <c r="W106" i="11" s="1"/>
  <c r="W107" i="11" s="1"/>
  <c r="W108" i="11" s="1"/>
  <c r="W109" i="11" s="1"/>
  <c r="W110" i="11" s="1"/>
  <c r="W111" i="11" s="1"/>
  <c r="W112" i="11" s="1"/>
  <c r="W113" i="11" s="1"/>
  <c r="W114" i="11" s="1"/>
  <c r="W115" i="11" s="1"/>
  <c r="W116" i="11" s="1"/>
  <c r="W117" i="11" s="1"/>
  <c r="W118" i="11" s="1"/>
  <c r="W119" i="11" s="1"/>
  <c r="W120" i="11" s="1"/>
  <c r="W121" i="11" s="1"/>
  <c r="W122" i="11" s="1"/>
  <c r="W123" i="11" s="1"/>
  <c r="W124" i="11" s="1"/>
  <c r="W125" i="11" s="1"/>
  <c r="W126" i="11" s="1"/>
  <c r="W127" i="11" s="1"/>
  <c r="W128" i="11" s="1"/>
  <c r="W129" i="11" s="1"/>
  <c r="W130" i="11" s="1"/>
  <c r="W131" i="11" s="1"/>
  <c r="W132" i="11" s="1"/>
  <c r="W133" i="11" s="1"/>
  <c r="W134" i="11" s="1"/>
  <c r="W135" i="11" s="1"/>
  <c r="W136" i="11" s="1"/>
  <c r="W137" i="11" s="1"/>
  <c r="W138" i="11" s="1"/>
  <c r="W139" i="11" s="1"/>
  <c r="W140" i="11" s="1"/>
  <c r="W141" i="11" s="1"/>
  <c r="W142" i="11" s="1"/>
  <c r="W143" i="11" s="1"/>
  <c r="W144" i="11" s="1"/>
  <c r="W145" i="11" s="1"/>
  <c r="W146" i="11" s="1"/>
  <c r="W147" i="11" s="1"/>
  <c r="W148" i="11" s="1"/>
  <c r="W149" i="11" s="1"/>
  <c r="W150" i="11" s="1"/>
  <c r="W151" i="11" s="1"/>
  <c r="W152" i="11" s="1"/>
  <c r="W153" i="11" s="1"/>
  <c r="W154" i="11" s="1"/>
  <c r="W155" i="11" s="1"/>
  <c r="W156" i="11" s="1"/>
  <c r="W157" i="11" s="1"/>
  <c r="W158" i="11" s="1"/>
  <c r="W159" i="11" s="1"/>
  <c r="W160" i="11" s="1"/>
  <c r="W161" i="11" s="1"/>
  <c r="W162" i="11" s="1"/>
  <c r="W163" i="11" s="1"/>
  <c r="W164" i="11" s="1"/>
  <c r="W165" i="11" s="1"/>
  <c r="W166" i="11" s="1"/>
  <c r="W167" i="11" s="1"/>
  <c r="W168" i="11" s="1"/>
  <c r="W169" i="11" s="1"/>
  <c r="W170" i="11" s="1"/>
  <c r="W171" i="11" s="1"/>
  <c r="W172" i="11" s="1"/>
  <c r="W173" i="11" s="1"/>
  <c r="W174" i="11" s="1"/>
  <c r="W175" i="11" s="1"/>
  <c r="W176" i="11" s="1"/>
  <c r="W177" i="11" s="1"/>
  <c r="W178" i="11" s="1"/>
  <c r="W179" i="11" s="1"/>
  <c r="W180" i="11" s="1"/>
  <c r="W181" i="11" s="1"/>
  <c r="W182" i="11" s="1"/>
  <c r="W183" i="11" s="1"/>
  <c r="W184" i="11" s="1"/>
  <c r="W185" i="11" s="1"/>
  <c r="W186" i="11" s="1"/>
  <c r="W187" i="11" s="1"/>
  <c r="W188" i="11" s="1"/>
  <c r="W189" i="11" s="1"/>
  <c r="W190" i="11" s="1"/>
  <c r="W191" i="11" s="1"/>
  <c r="W192" i="11" s="1"/>
  <c r="W193" i="11" s="1"/>
  <c r="W194" i="11" s="1"/>
  <c r="W195" i="11" s="1"/>
  <c r="W196" i="11" s="1"/>
  <c r="W197" i="11" s="1"/>
  <c r="W198" i="11" s="1"/>
  <c r="W199" i="11" s="1"/>
  <c r="W200" i="11" s="1"/>
  <c r="W201" i="11" s="1"/>
  <c r="W202" i="11" s="1"/>
  <c r="W203" i="11" s="1"/>
  <c r="W204" i="11" s="1"/>
  <c r="W205" i="11" s="1"/>
  <c r="W206" i="11" s="1"/>
  <c r="W207" i="11" s="1"/>
  <c r="W208" i="11" s="1"/>
  <c r="W209" i="11" s="1"/>
  <c r="Y85" i="11"/>
  <c r="Y86" i="11" s="1"/>
  <c r="Y87" i="11" s="1"/>
  <c r="Y88" i="11" s="1"/>
  <c r="Y89" i="11" s="1"/>
  <c r="Y90" i="11" s="1"/>
  <c r="Y91" i="11" s="1"/>
  <c r="Y92" i="11" s="1"/>
  <c r="Y93" i="11" s="1"/>
  <c r="Y94" i="11" s="1"/>
  <c r="Y95" i="11" s="1"/>
  <c r="Y96" i="11" s="1"/>
  <c r="Y97" i="11" s="1"/>
  <c r="Y98" i="11" s="1"/>
  <c r="Y99" i="11" s="1"/>
  <c r="Y100" i="11" s="1"/>
  <c r="Y101" i="11" s="1"/>
  <c r="Y102" i="11" s="1"/>
  <c r="Y103" i="11" s="1"/>
  <c r="Y104" i="11" s="1"/>
  <c r="Y105" i="11" s="1"/>
  <c r="Y106" i="11" s="1"/>
  <c r="Y107" i="11" s="1"/>
  <c r="Y108" i="11" s="1"/>
  <c r="Y109" i="11" s="1"/>
  <c r="Y110" i="11" s="1"/>
  <c r="Y111" i="11" s="1"/>
  <c r="Y112" i="11" s="1"/>
  <c r="Y113" i="11" s="1"/>
  <c r="Y114" i="11" s="1"/>
  <c r="Y115" i="11" s="1"/>
  <c r="Y116" i="11" s="1"/>
  <c r="Y117" i="11" s="1"/>
  <c r="Y118" i="11" s="1"/>
  <c r="Y119" i="11" s="1"/>
  <c r="Y120" i="11" s="1"/>
  <c r="Y121" i="11" s="1"/>
  <c r="Y122" i="11" s="1"/>
  <c r="Y123" i="11" s="1"/>
  <c r="Y124" i="11" s="1"/>
  <c r="Y125" i="11" s="1"/>
  <c r="Y126" i="11" s="1"/>
  <c r="Y127" i="11" s="1"/>
  <c r="Y128" i="11" s="1"/>
  <c r="Y129" i="11" s="1"/>
  <c r="Y130" i="11" s="1"/>
  <c r="Y131" i="11" s="1"/>
  <c r="Y132" i="11" s="1"/>
  <c r="Y133" i="11" s="1"/>
  <c r="Y134" i="11" s="1"/>
  <c r="Y135" i="11" s="1"/>
  <c r="Y136" i="11" s="1"/>
  <c r="Y137" i="11" s="1"/>
  <c r="Y138" i="11" s="1"/>
  <c r="Y139" i="11" s="1"/>
  <c r="Y140" i="11" s="1"/>
  <c r="Y141" i="11" s="1"/>
  <c r="Y142" i="11" s="1"/>
  <c r="Y143" i="11" s="1"/>
  <c r="Y144" i="11" s="1"/>
  <c r="Y145" i="11" s="1"/>
  <c r="Y146" i="11" s="1"/>
  <c r="Y147" i="11" s="1"/>
  <c r="Y148" i="11" s="1"/>
  <c r="Y149" i="11" s="1"/>
  <c r="Y150" i="11" s="1"/>
  <c r="Y151" i="11" s="1"/>
  <c r="Y152" i="11" s="1"/>
  <c r="Y153" i="11" s="1"/>
  <c r="Y154" i="11" s="1"/>
  <c r="Y155" i="11" s="1"/>
  <c r="Y156" i="11" s="1"/>
  <c r="Y157" i="11" s="1"/>
  <c r="Y158" i="11" s="1"/>
  <c r="Y159" i="11" s="1"/>
  <c r="Y160" i="11" s="1"/>
  <c r="Y161" i="11" s="1"/>
  <c r="Y162" i="11" s="1"/>
  <c r="Y163" i="11" s="1"/>
  <c r="Y164" i="11" s="1"/>
  <c r="Y165" i="11" s="1"/>
  <c r="Y166" i="11" s="1"/>
  <c r="Y167" i="11" s="1"/>
  <c r="Y168" i="11" s="1"/>
  <c r="Y169" i="11" s="1"/>
  <c r="Y170" i="11" s="1"/>
  <c r="Y171" i="11" s="1"/>
  <c r="Y172" i="11" s="1"/>
  <c r="Y173" i="11" s="1"/>
  <c r="Y174" i="11" s="1"/>
  <c r="Y175" i="11" s="1"/>
  <c r="Y176" i="11" s="1"/>
  <c r="Y177" i="11" s="1"/>
  <c r="Y178" i="11" s="1"/>
  <c r="Y179" i="11" s="1"/>
  <c r="Y180" i="11" s="1"/>
  <c r="Y181" i="11" s="1"/>
  <c r="Y182" i="11" s="1"/>
  <c r="Y183" i="11" s="1"/>
  <c r="Y184" i="11" s="1"/>
  <c r="Y185" i="11" s="1"/>
  <c r="Y186" i="11" s="1"/>
  <c r="Y187" i="11" s="1"/>
  <c r="Y188" i="11" s="1"/>
  <c r="Y189" i="11" s="1"/>
  <c r="Y190" i="11" s="1"/>
  <c r="Y191" i="11" s="1"/>
  <c r="Y192" i="11" s="1"/>
  <c r="Y193" i="11" s="1"/>
  <c r="Y194" i="11" s="1"/>
  <c r="Y195" i="11" s="1"/>
  <c r="Y196" i="11" s="1"/>
  <c r="Y197" i="11" s="1"/>
  <c r="Y198" i="11" s="1"/>
  <c r="Y199" i="11" s="1"/>
  <c r="Y200" i="11" s="1"/>
  <c r="Y201" i="11" s="1"/>
  <c r="Y202" i="11" s="1"/>
  <c r="Y203" i="11" s="1"/>
  <c r="Y204" i="11" s="1"/>
  <c r="Y205" i="11" s="1"/>
  <c r="Y206" i="11" s="1"/>
  <c r="Y207" i="11" s="1"/>
  <c r="Y208" i="11" s="1"/>
  <c r="Y209" i="11" s="1"/>
  <c r="AC54" i="11"/>
  <c r="AD54" i="11" s="1"/>
  <c r="Y54" i="11"/>
  <c r="Y55" i="11" s="1"/>
  <c r="Y56" i="11" s="1"/>
  <c r="X54" i="11"/>
  <c r="X55" i="11" s="1"/>
  <c r="X56" i="11" s="1"/>
  <c r="W54" i="11"/>
  <c r="W55" i="11" s="1"/>
  <c r="W56" i="11" s="1"/>
  <c r="AC41" i="11"/>
  <c r="AD41" i="11" s="1"/>
  <c r="Y41" i="11"/>
  <c r="Y42" i="11" s="1"/>
  <c r="Y43" i="11" s="1"/>
  <c r="Y44" i="11" s="1"/>
  <c r="X41" i="11"/>
  <c r="X42" i="11" s="1"/>
  <c r="X43" i="11" s="1"/>
  <c r="X44" i="11" s="1"/>
  <c r="W41" i="11"/>
  <c r="W42" i="11" s="1"/>
  <c r="W43" i="11" s="1"/>
  <c r="W44" i="11" s="1"/>
  <c r="AC45" i="11"/>
  <c r="AD45" i="11" s="1"/>
  <c r="Y45" i="11"/>
  <c r="Y46" i="11" s="1"/>
  <c r="Y47" i="11" s="1"/>
  <c r="Y48" i="11" s="1"/>
  <c r="Y49" i="11" s="1"/>
  <c r="W45" i="11"/>
  <c r="W46" i="11" s="1"/>
  <c r="W47" i="11" s="1"/>
  <c r="W48" i="11" s="1"/>
  <c r="W49" i="11" s="1"/>
  <c r="X45" i="11"/>
  <c r="X46" i="11" s="1"/>
  <c r="X47" i="11" s="1"/>
  <c r="X48" i="11" s="1"/>
  <c r="X49" i="11" s="1"/>
  <c r="AC81" i="11"/>
  <c r="Y81" i="11"/>
  <c r="Y82" i="11" s="1"/>
  <c r="Y83" i="11" s="1"/>
  <c r="Y84" i="11" s="1"/>
  <c r="X81" i="11"/>
  <c r="X82" i="11" s="1"/>
  <c r="X83" i="11" s="1"/>
  <c r="X84" i="11" s="1"/>
  <c r="W81" i="11"/>
  <c r="W82" i="11" s="1"/>
  <c r="W83" i="11" s="1"/>
  <c r="W84" i="11" s="1"/>
  <c r="Y77" i="11"/>
  <c r="Y78" i="11" s="1"/>
  <c r="Y79" i="11" s="1"/>
  <c r="Y80" i="11" s="1"/>
  <c r="X77" i="11"/>
  <c r="X78" i="11" s="1"/>
  <c r="X79" i="11" s="1"/>
  <c r="X80" i="11" s="1"/>
  <c r="AC77" i="11"/>
  <c r="W77" i="11"/>
  <c r="W78" i="11" s="1"/>
  <c r="W79" i="11" s="1"/>
  <c r="W80" i="11" s="1"/>
  <c r="AC73" i="11"/>
  <c r="W73" i="11"/>
  <c r="W74" i="11" s="1"/>
  <c r="W75" i="11" s="1"/>
  <c r="W76" i="11" s="1"/>
  <c r="Y73" i="11"/>
  <c r="Y74" i="11" s="1"/>
  <c r="Y75" i="11" s="1"/>
  <c r="Y76" i="11" s="1"/>
  <c r="X73" i="11"/>
  <c r="X74" i="11" s="1"/>
  <c r="X75" i="11" s="1"/>
  <c r="X76" i="11" s="1"/>
  <c r="AC69" i="11"/>
  <c r="X69" i="11"/>
  <c r="X70" i="11" s="1"/>
  <c r="X71" i="11" s="1"/>
  <c r="X72" i="11" s="1"/>
  <c r="Y69" i="11"/>
  <c r="Y70" i="11" s="1"/>
  <c r="Y71" i="11" s="1"/>
  <c r="Y72" i="11" s="1"/>
  <c r="W69" i="11"/>
  <c r="W70" i="11" s="1"/>
  <c r="W71" i="11" s="1"/>
  <c r="W72" i="11" s="1"/>
  <c r="AC65" i="11"/>
  <c r="Y65" i="11"/>
  <c r="Y66" i="11" s="1"/>
  <c r="Y67" i="11" s="1"/>
  <c r="Y68" i="11" s="1"/>
  <c r="X65" i="11"/>
  <c r="X66" i="11" s="1"/>
  <c r="X67" i="11" s="1"/>
  <c r="X68" i="11" s="1"/>
  <c r="W65" i="11"/>
  <c r="W66" i="11" s="1"/>
  <c r="W67" i="11" s="1"/>
  <c r="W68" i="11" s="1"/>
  <c r="AC61" i="11"/>
  <c r="X61" i="11"/>
  <c r="X62" i="11" s="1"/>
  <c r="X63" i="11" s="1"/>
  <c r="X64" i="11" s="1"/>
  <c r="Y61" i="11"/>
  <c r="Y62" i="11" s="1"/>
  <c r="Y63" i="11" s="1"/>
  <c r="Y64" i="11" s="1"/>
  <c r="W61" i="11"/>
  <c r="W62" i="11" s="1"/>
  <c r="W63" i="11" s="1"/>
  <c r="W64" i="11" s="1"/>
  <c r="AC57" i="11"/>
  <c r="Y57" i="11"/>
  <c r="Y58" i="11" s="1"/>
  <c r="Y59" i="11" s="1"/>
  <c r="Y60" i="11" s="1"/>
  <c r="X57" i="11"/>
  <c r="X58" i="11" s="1"/>
  <c r="X59" i="11" s="1"/>
  <c r="X60" i="11" s="1"/>
  <c r="W57" i="11"/>
  <c r="W58" i="11" s="1"/>
  <c r="W59" i="11" s="1"/>
  <c r="W60" i="11" s="1"/>
  <c r="AD77" i="11" l="1"/>
  <c r="AD57" i="11"/>
  <c r="AD61" i="11"/>
  <c r="AD65" i="11"/>
  <c r="AD69" i="11"/>
  <c r="AD73" i="11"/>
  <c r="AD81" i="11"/>
  <c r="AA45" i="11"/>
  <c r="AA41" i="11"/>
  <c r="AA54" i="11"/>
  <c r="AA50" i="11"/>
  <c r="AE77" i="11"/>
  <c r="AA77" i="11"/>
  <c r="AE57" i="11"/>
  <c r="T57" i="11" s="1"/>
  <c r="AA57" i="11"/>
  <c r="AE61" i="11"/>
  <c r="AA61" i="11"/>
  <c r="AE65" i="11"/>
  <c r="AA65" i="11"/>
  <c r="AE69" i="11"/>
  <c r="AA69" i="11"/>
  <c r="AE73" i="11"/>
  <c r="AA73" i="11"/>
  <c r="AE81" i="11"/>
  <c r="AA81" i="11"/>
  <c r="Q26" i="11"/>
  <c r="Q28" i="11" s="1"/>
  <c r="Q66" i="11"/>
  <c r="Q68" i="11" s="1"/>
  <c r="AC74" i="11"/>
  <c r="AC42" i="11"/>
  <c r="AE41" i="11"/>
  <c r="AC51" i="11"/>
  <c r="AE50" i="11"/>
  <c r="AC46" i="11"/>
  <c r="AE45" i="11"/>
  <c r="AC66" i="11"/>
  <c r="AC82" i="11"/>
  <c r="AC62" i="11"/>
  <c r="AC55" i="11"/>
  <c r="AE54" i="11"/>
  <c r="AC58" i="11"/>
  <c r="AC70" i="11"/>
  <c r="AC78" i="11"/>
  <c r="AD70" i="11" l="1"/>
  <c r="AD62" i="11"/>
  <c r="AD46" i="11"/>
  <c r="AD42" i="11"/>
  <c r="AD58" i="11"/>
  <c r="AD82" i="11"/>
  <c r="AD74" i="11"/>
  <c r="AD66" i="11"/>
  <c r="AD51" i="11"/>
  <c r="AD78" i="11"/>
  <c r="AD55" i="11"/>
  <c r="Q43" i="11"/>
  <c r="Q44" i="11" s="1"/>
  <c r="Q31" i="11"/>
  <c r="Q32" i="11" s="1"/>
  <c r="AE70" i="11"/>
  <c r="AC71" i="11"/>
  <c r="AE62" i="11"/>
  <c r="AC63" i="11"/>
  <c r="AE74" i="11"/>
  <c r="AC75" i="11"/>
  <c r="AE58" i="11"/>
  <c r="T58" i="11" s="1"/>
  <c r="AC59" i="11"/>
  <c r="AC56" i="11"/>
  <c r="AE55" i="11"/>
  <c r="AE82" i="11"/>
  <c r="AC83" i="11"/>
  <c r="AC47" i="11"/>
  <c r="AE46" i="11"/>
  <c r="AC52" i="11"/>
  <c r="AE51" i="11"/>
  <c r="AE66" i="11"/>
  <c r="AC67" i="11"/>
  <c r="AC43" i="11"/>
  <c r="AE42" i="11"/>
  <c r="AE78" i="11"/>
  <c r="AC79" i="11"/>
  <c r="T65" i="11"/>
  <c r="T81" i="11"/>
  <c r="T61" i="11"/>
  <c r="T41" i="11"/>
  <c r="T69" i="11"/>
  <c r="T73" i="11"/>
  <c r="T45" i="11"/>
  <c r="AH11" i="11"/>
  <c r="AH12" i="11"/>
  <c r="AH13" i="11"/>
  <c r="AH14" i="11"/>
  <c r="AH16" i="11"/>
  <c r="AH17" i="11"/>
  <c r="AH18" i="11"/>
  <c r="AH19" i="11"/>
  <c r="AH20" i="11"/>
  <c r="AH21" i="11"/>
  <c r="AH22" i="11"/>
  <c r="AH24" i="11"/>
  <c r="AH26" i="11"/>
  <c r="AH27" i="11"/>
  <c r="AH29" i="11"/>
  <c r="AH30" i="11"/>
  <c r="AH31" i="11"/>
  <c r="AH33" i="11"/>
  <c r="AH34" i="11"/>
  <c r="AH36" i="11"/>
  <c r="AH37" i="11"/>
  <c r="AH39" i="11"/>
  <c r="AH40" i="11"/>
  <c r="AG11" i="11"/>
  <c r="AG12" i="11"/>
  <c r="AG13" i="11"/>
  <c r="AG14" i="11"/>
  <c r="AG16" i="11"/>
  <c r="AG17" i="11"/>
  <c r="AG18" i="11"/>
  <c r="AG19" i="11"/>
  <c r="AG20" i="11"/>
  <c r="AG21" i="11"/>
  <c r="AG22" i="11"/>
  <c r="AG24" i="11"/>
  <c r="AG26" i="11"/>
  <c r="AG27" i="11"/>
  <c r="AG29" i="11"/>
  <c r="AG30" i="11"/>
  <c r="AG31" i="11"/>
  <c r="AG33" i="11"/>
  <c r="AG34" i="11"/>
  <c r="AG36" i="11"/>
  <c r="AG37" i="11"/>
  <c r="AG39" i="11"/>
  <c r="AG40" i="11"/>
  <c r="AD67" i="11" l="1"/>
  <c r="AD75" i="11"/>
  <c r="AD71" i="11"/>
  <c r="AD83" i="11"/>
  <c r="AD59" i="11"/>
  <c r="AD63" i="11"/>
  <c r="AD43" i="11"/>
  <c r="AD52" i="11"/>
  <c r="AD79" i="11"/>
  <c r="AD47" i="11"/>
  <c r="AD56" i="11"/>
  <c r="Q46" i="11"/>
  <c r="Q49" i="11" s="1"/>
  <c r="Q71" i="11"/>
  <c r="Q72" i="11" s="1"/>
  <c r="AC80" i="11"/>
  <c r="AE79" i="11"/>
  <c r="AC84" i="11"/>
  <c r="AE83" i="11"/>
  <c r="T83" i="11" s="1"/>
  <c r="AC64" i="11"/>
  <c r="AE63" i="11"/>
  <c r="AC44" i="11"/>
  <c r="AE43" i="11"/>
  <c r="AC53" i="11"/>
  <c r="AE52" i="11"/>
  <c r="AC68" i="11"/>
  <c r="AE67" i="11"/>
  <c r="T67" i="11" s="1"/>
  <c r="AC60" i="11"/>
  <c r="AE59" i="11"/>
  <c r="AC76" i="11"/>
  <c r="AE75" i="11"/>
  <c r="T75" i="11" s="1"/>
  <c r="AC72" i="11"/>
  <c r="AE71" i="11"/>
  <c r="AC48" i="11"/>
  <c r="AE47" i="11"/>
  <c r="T47" i="11" s="1"/>
  <c r="T78" i="11"/>
  <c r="T42" i="11"/>
  <c r="T62" i="11"/>
  <c r="T70" i="11"/>
  <c r="AD72" i="11" l="1"/>
  <c r="AD60" i="11"/>
  <c r="AD64" i="11"/>
  <c r="AD80" i="11"/>
  <c r="AD48" i="11"/>
  <c r="AD76" i="11"/>
  <c r="AD68" i="11"/>
  <c r="AD44" i="11"/>
  <c r="AD84" i="11"/>
  <c r="AD53" i="11"/>
  <c r="Q10" i="11"/>
  <c r="Q13" i="11" s="1"/>
  <c r="Q14" i="11"/>
  <c r="Q17" i="11" s="1"/>
  <c r="N2040" i="20"/>
  <c r="N2003" i="20"/>
  <c r="N1966" i="20"/>
  <c r="N1929" i="20"/>
  <c r="N1892" i="20"/>
  <c r="N1855" i="20"/>
  <c r="AB1855" i="20" s="1"/>
  <c r="N1818" i="20"/>
  <c r="N1781" i="20"/>
  <c r="N1744" i="20"/>
  <c r="N1707" i="20"/>
  <c r="N1670" i="20"/>
  <c r="N1633" i="20"/>
  <c r="N1596" i="20"/>
  <c r="N1559" i="20"/>
  <c r="N1522" i="20"/>
  <c r="N1485" i="20"/>
  <c r="N1448" i="20"/>
  <c r="N1411" i="20"/>
  <c r="N1374" i="20"/>
  <c r="N1337" i="20"/>
  <c r="N1300" i="20"/>
  <c r="N1263" i="20"/>
  <c r="N1226" i="20"/>
  <c r="N1189" i="20"/>
  <c r="N1152" i="20"/>
  <c r="N1115" i="20"/>
  <c r="N1078" i="20"/>
  <c r="N1041" i="20"/>
  <c r="N1004" i="20"/>
  <c r="N967" i="20"/>
  <c r="L2003" i="20"/>
  <c r="L1966" i="20"/>
  <c r="L1892" i="20"/>
  <c r="L1818" i="20"/>
  <c r="L1744" i="20"/>
  <c r="L1670" i="20"/>
  <c r="L1596" i="20"/>
  <c r="L1485" i="20"/>
  <c r="L1448" i="20"/>
  <c r="L1374" i="20"/>
  <c r="L1300" i="20"/>
  <c r="L1189" i="20"/>
  <c r="L1115" i="20"/>
  <c r="L1041" i="20"/>
  <c r="L967" i="20"/>
  <c r="M2040" i="20"/>
  <c r="AA2040" i="20" s="1"/>
  <c r="M2003" i="20"/>
  <c r="M1966" i="20"/>
  <c r="M1929" i="20"/>
  <c r="M1892" i="20"/>
  <c r="M1855" i="20"/>
  <c r="M1818" i="20"/>
  <c r="M1781" i="20"/>
  <c r="M1744" i="20"/>
  <c r="M1707" i="20"/>
  <c r="M1670" i="20"/>
  <c r="M1633" i="20"/>
  <c r="M1596" i="20"/>
  <c r="M1559" i="20"/>
  <c r="M1522" i="20"/>
  <c r="M1485" i="20"/>
  <c r="M1448" i="20"/>
  <c r="M1411" i="20"/>
  <c r="M1374" i="20"/>
  <c r="M1337" i="20"/>
  <c r="M1300" i="20"/>
  <c r="M1263" i="20"/>
  <c r="M1226" i="20"/>
  <c r="AA1226" i="20" s="1"/>
  <c r="M1189" i="20"/>
  <c r="M1152" i="20"/>
  <c r="M1115" i="20"/>
  <c r="M1078" i="20"/>
  <c r="M1041" i="20"/>
  <c r="M1004" i="20"/>
  <c r="M967" i="20"/>
  <c r="L2040" i="20"/>
  <c r="L1929" i="20"/>
  <c r="L1855" i="20"/>
  <c r="L1781" i="20"/>
  <c r="L1707" i="20"/>
  <c r="L1633" i="20"/>
  <c r="L1559" i="20"/>
  <c r="L1522" i="20"/>
  <c r="L1411" i="20"/>
  <c r="L1337" i="20"/>
  <c r="L1263" i="20"/>
  <c r="L1226" i="20"/>
  <c r="L1152" i="20"/>
  <c r="L1078" i="20"/>
  <c r="L1004" i="20"/>
  <c r="O2003" i="20"/>
  <c r="O1892" i="20"/>
  <c r="O1818" i="20"/>
  <c r="O1744" i="20"/>
  <c r="O2040" i="20"/>
  <c r="O1966" i="20"/>
  <c r="O1929" i="20"/>
  <c r="O1855" i="20"/>
  <c r="O1781" i="20"/>
  <c r="O1707" i="20"/>
  <c r="O1670" i="20"/>
  <c r="O1522" i="20"/>
  <c r="O1374" i="20"/>
  <c r="O1226" i="20"/>
  <c r="O1078" i="20"/>
  <c r="O1263" i="20"/>
  <c r="O1633" i="20"/>
  <c r="O1485" i="20"/>
  <c r="O1337" i="20"/>
  <c r="O1189" i="20"/>
  <c r="O1041" i="20"/>
  <c r="O967" i="20"/>
  <c r="O1596" i="20"/>
  <c r="O1448" i="20"/>
  <c r="O1300" i="20"/>
  <c r="O1152" i="20"/>
  <c r="O1004" i="20"/>
  <c r="O1559" i="20"/>
  <c r="O1411" i="20"/>
  <c r="O1115" i="20"/>
  <c r="D53" i="10"/>
  <c r="C315" i="26" s="1"/>
  <c r="N53" i="10"/>
  <c r="E54" i="10"/>
  <c r="D321" i="26" s="1"/>
  <c r="F55" i="10"/>
  <c r="C56" i="10"/>
  <c r="C332" i="26" s="1"/>
  <c r="G56" i="10"/>
  <c r="D57" i="10"/>
  <c r="C339" i="26" s="1"/>
  <c r="N57" i="10"/>
  <c r="E58" i="10"/>
  <c r="D345" i="26" s="1"/>
  <c r="F59" i="10"/>
  <c r="E53" i="10"/>
  <c r="D315" i="26" s="1"/>
  <c r="F54" i="10"/>
  <c r="C55" i="10"/>
  <c r="C326" i="26" s="1"/>
  <c r="G55" i="10"/>
  <c r="D56" i="10"/>
  <c r="C333" i="26" s="1"/>
  <c r="N56" i="10"/>
  <c r="E57" i="10"/>
  <c r="D339" i="26" s="1"/>
  <c r="F58" i="10"/>
  <c r="C59" i="10"/>
  <c r="C350" i="26" s="1"/>
  <c r="G59" i="10"/>
  <c r="F53" i="10"/>
  <c r="C54" i="10"/>
  <c r="C320" i="26" s="1"/>
  <c r="G54" i="10"/>
  <c r="D55" i="10"/>
  <c r="C327" i="26" s="1"/>
  <c r="N55" i="10"/>
  <c r="E56" i="10"/>
  <c r="D333" i="26" s="1"/>
  <c r="F57" i="10"/>
  <c r="C58" i="10"/>
  <c r="C344" i="26" s="1"/>
  <c r="G58" i="10"/>
  <c r="D59" i="10"/>
  <c r="C351" i="26" s="1"/>
  <c r="N59" i="10"/>
  <c r="N54" i="10"/>
  <c r="C57" i="10"/>
  <c r="C338" i="26" s="1"/>
  <c r="E59" i="10"/>
  <c r="D351" i="26" s="1"/>
  <c r="C53" i="10"/>
  <c r="C314" i="26" s="1"/>
  <c r="E55" i="10"/>
  <c r="D327" i="26" s="1"/>
  <c r="G57" i="10"/>
  <c r="G53" i="10"/>
  <c r="D58" i="10"/>
  <c r="C345" i="26" s="1"/>
  <c r="D54" i="10"/>
  <c r="C321" i="26" s="1"/>
  <c r="F56" i="10"/>
  <c r="N58" i="10"/>
  <c r="Q74" i="11"/>
  <c r="Q76" i="11" s="1"/>
  <c r="AC37" i="11"/>
  <c r="W37" i="11"/>
  <c r="W38" i="11" s="1"/>
  <c r="W39" i="11" s="1"/>
  <c r="W40" i="11" s="1"/>
  <c r="Y37" i="11"/>
  <c r="Y38" i="11" s="1"/>
  <c r="Y39" i="11" s="1"/>
  <c r="Y40" i="11" s="1"/>
  <c r="X37" i="11"/>
  <c r="X38" i="11" s="1"/>
  <c r="X39" i="11" s="1"/>
  <c r="X40" i="11" s="1"/>
  <c r="Y33" i="11"/>
  <c r="Y34" i="11" s="1"/>
  <c r="Y35" i="11" s="1"/>
  <c r="Y36" i="11" s="1"/>
  <c r="X33" i="11"/>
  <c r="X34" i="11" s="1"/>
  <c r="X35" i="11" s="1"/>
  <c r="X36" i="11" s="1"/>
  <c r="AC33" i="11"/>
  <c r="W33" i="11"/>
  <c r="W34" i="11" s="1"/>
  <c r="W35" i="11" s="1"/>
  <c r="W36" i="11" s="1"/>
  <c r="AC29" i="11"/>
  <c r="AD29" i="11" s="1"/>
  <c r="W29" i="11"/>
  <c r="W30" i="11" s="1"/>
  <c r="W31" i="11" s="1"/>
  <c r="W32" i="11" s="1"/>
  <c r="Y29" i="11"/>
  <c r="Y30" i="11" s="1"/>
  <c r="Y31" i="11" s="1"/>
  <c r="Y32" i="11" s="1"/>
  <c r="X29" i="11"/>
  <c r="X30" i="11" s="1"/>
  <c r="X31" i="11" s="1"/>
  <c r="X32" i="11" s="1"/>
  <c r="AC25" i="11"/>
  <c r="X25" i="11"/>
  <c r="X26" i="11" s="1"/>
  <c r="X27" i="11" s="1"/>
  <c r="X28" i="11" s="1"/>
  <c r="Y25" i="11"/>
  <c r="Y26" i="11" s="1"/>
  <c r="Y27" i="11" s="1"/>
  <c r="Y28" i="11" s="1"/>
  <c r="W25" i="11"/>
  <c r="N39" i="10" s="1"/>
  <c r="AC49" i="11"/>
  <c r="AE48" i="11"/>
  <c r="T48" i="11" s="1"/>
  <c r="AC21" i="11"/>
  <c r="AD21" i="11" s="1"/>
  <c r="X21" i="11"/>
  <c r="X22" i="11" s="1"/>
  <c r="X23" i="11" s="1"/>
  <c r="X24" i="11" s="1"/>
  <c r="Y21" i="11"/>
  <c r="Y22" i="11" s="1"/>
  <c r="Y23" i="11" s="1"/>
  <c r="Y24" i="11" s="1"/>
  <c r="W21" i="11"/>
  <c r="W22" i="11" s="1"/>
  <c r="W23" i="11" s="1"/>
  <c r="W24" i="11" s="1"/>
  <c r="AC14" i="11"/>
  <c r="AD14" i="11" s="1"/>
  <c r="Y14" i="11"/>
  <c r="Y15" i="11" s="1"/>
  <c r="Y16" i="11" s="1"/>
  <c r="Y17" i="11" s="1"/>
  <c r="X14" i="11"/>
  <c r="X15" i="11" s="1"/>
  <c r="X16" i="11" s="1"/>
  <c r="X17" i="11" s="1"/>
  <c r="W14" i="11"/>
  <c r="W15" i="11" s="1"/>
  <c r="W16" i="11" s="1"/>
  <c r="W17" i="11" s="1"/>
  <c r="AD10" i="11"/>
  <c r="X10" i="11"/>
  <c r="X11" i="11" s="1"/>
  <c r="X12" i="11" s="1"/>
  <c r="X13" i="11" s="1"/>
  <c r="W10" i="11"/>
  <c r="W11" i="11" s="1"/>
  <c r="W12" i="11" s="1"/>
  <c r="W13" i="11" s="1"/>
  <c r="Y10" i="11"/>
  <c r="Y11" i="11" s="1"/>
  <c r="Y12" i="11" s="1"/>
  <c r="Y13" i="11" s="1"/>
  <c r="AC18" i="11"/>
  <c r="AD18" i="11" s="1"/>
  <c r="W18" i="11"/>
  <c r="W19" i="11" s="1"/>
  <c r="W20" i="11" s="1"/>
  <c r="Y18" i="11"/>
  <c r="Y19" i="11" s="1"/>
  <c r="Y20" i="11" s="1"/>
  <c r="X18" i="11"/>
  <c r="X19" i="11" s="1"/>
  <c r="X20" i="11" s="1"/>
  <c r="AA1892" i="20"/>
  <c r="T55" i="11"/>
  <c r="T51" i="11"/>
  <c r="N26" i="10"/>
  <c r="N34" i="10"/>
  <c r="N42" i="10"/>
  <c r="N46" i="10"/>
  <c r="N50" i="10"/>
  <c r="C5" i="10"/>
  <c r="C26" i="26" s="1"/>
  <c r="G5" i="10"/>
  <c r="F6" i="10"/>
  <c r="E7" i="10"/>
  <c r="D39" i="26" s="1"/>
  <c r="D8" i="10"/>
  <c r="C45" i="26" s="1"/>
  <c r="C9" i="10"/>
  <c r="C50" i="26" s="1"/>
  <c r="G9" i="10"/>
  <c r="F10" i="10"/>
  <c r="E11" i="10"/>
  <c r="D63" i="26" s="1"/>
  <c r="D12" i="10"/>
  <c r="C69" i="26" s="1"/>
  <c r="C13" i="10"/>
  <c r="C74" i="26" s="1"/>
  <c r="G13" i="10"/>
  <c r="F14" i="10"/>
  <c r="E15" i="10"/>
  <c r="D87" i="26" s="1"/>
  <c r="D16" i="10"/>
  <c r="C93" i="26" s="1"/>
  <c r="C17" i="10"/>
  <c r="C98" i="26" s="1"/>
  <c r="G17" i="10"/>
  <c r="F18" i="10"/>
  <c r="E19" i="10"/>
  <c r="D111" i="26" s="1"/>
  <c r="D20" i="10"/>
  <c r="C117" i="26" s="1"/>
  <c r="C21" i="10"/>
  <c r="C122" i="26" s="1"/>
  <c r="G21" i="10"/>
  <c r="F22" i="10"/>
  <c r="E23" i="10"/>
  <c r="D135" i="26" s="1"/>
  <c r="D24" i="10"/>
  <c r="C141" i="26" s="1"/>
  <c r="C25" i="10"/>
  <c r="C146" i="26" s="1"/>
  <c r="G25" i="10"/>
  <c r="F26" i="10"/>
  <c r="E27" i="10"/>
  <c r="D159" i="26" s="1"/>
  <c r="D28" i="10"/>
  <c r="C165" i="26" s="1"/>
  <c r="C29" i="10"/>
  <c r="C170" i="26" s="1"/>
  <c r="G29" i="10"/>
  <c r="F30" i="10"/>
  <c r="E31" i="10"/>
  <c r="D183" i="26" s="1"/>
  <c r="D32" i="10"/>
  <c r="C189" i="26" s="1"/>
  <c r="C33" i="10"/>
  <c r="C194" i="26" s="1"/>
  <c r="G33" i="10"/>
  <c r="F34" i="10"/>
  <c r="E35" i="10"/>
  <c r="D207" i="26" s="1"/>
  <c r="D36" i="10"/>
  <c r="C213" i="26" s="1"/>
  <c r="C37" i="10"/>
  <c r="C218" i="26" s="1"/>
  <c r="G37" i="10"/>
  <c r="F38" i="10"/>
  <c r="E39" i="10"/>
  <c r="D231" i="26" s="1"/>
  <c r="D40" i="10"/>
  <c r="C237" i="26" s="1"/>
  <c r="C41" i="10"/>
  <c r="C242" i="26" s="1"/>
  <c r="G41" i="10"/>
  <c r="F42" i="10"/>
  <c r="E43" i="10"/>
  <c r="D255" i="26" s="1"/>
  <c r="D44" i="10"/>
  <c r="C261" i="26" s="1"/>
  <c r="C45" i="10"/>
  <c r="C266" i="26" s="1"/>
  <c r="G45" i="10"/>
  <c r="F46" i="10"/>
  <c r="E47" i="10"/>
  <c r="D279" i="26" s="1"/>
  <c r="D48" i="10"/>
  <c r="C285" i="26" s="1"/>
  <c r="C49" i="10"/>
  <c r="C290" i="26" s="1"/>
  <c r="G49" i="10"/>
  <c r="F50" i="10"/>
  <c r="E51" i="10"/>
  <c r="D303" i="26" s="1"/>
  <c r="D52" i="10"/>
  <c r="C309" i="26" s="1"/>
  <c r="E4" i="10"/>
  <c r="D21" i="26" s="1"/>
  <c r="F5" i="10"/>
  <c r="E6" i="10"/>
  <c r="D33" i="26" s="1"/>
  <c r="D7" i="10"/>
  <c r="C39" i="26" s="1"/>
  <c r="C8" i="10"/>
  <c r="C44" i="26" s="1"/>
  <c r="G8" i="10"/>
  <c r="F9" i="10"/>
  <c r="E10" i="10"/>
  <c r="D57" i="26" s="1"/>
  <c r="D11" i="10"/>
  <c r="C63" i="26" s="1"/>
  <c r="C12" i="10"/>
  <c r="C68" i="26" s="1"/>
  <c r="G12" i="10"/>
  <c r="F13" i="10"/>
  <c r="E14" i="10"/>
  <c r="D81" i="26" s="1"/>
  <c r="D15" i="10"/>
  <c r="C87" i="26" s="1"/>
  <c r="C16" i="10"/>
  <c r="C92" i="26" s="1"/>
  <c r="G16" i="10"/>
  <c r="F17" i="10"/>
  <c r="E18" i="10"/>
  <c r="D105" i="26" s="1"/>
  <c r="D19" i="10"/>
  <c r="C111" i="26" s="1"/>
  <c r="C20" i="10"/>
  <c r="C116" i="26" s="1"/>
  <c r="G20" i="10"/>
  <c r="F21" i="10"/>
  <c r="E22" i="10"/>
  <c r="D129" i="26" s="1"/>
  <c r="D23" i="10"/>
  <c r="C135" i="26" s="1"/>
  <c r="C24" i="10"/>
  <c r="C140" i="26" s="1"/>
  <c r="G24" i="10"/>
  <c r="F25" i="10"/>
  <c r="E26" i="10"/>
  <c r="D153" i="26" s="1"/>
  <c r="D27" i="10"/>
  <c r="C159" i="26" s="1"/>
  <c r="C28" i="10"/>
  <c r="C164" i="26" s="1"/>
  <c r="G28" i="10"/>
  <c r="F29" i="10"/>
  <c r="E30" i="10"/>
  <c r="D177" i="26" s="1"/>
  <c r="D31" i="10"/>
  <c r="C183" i="26" s="1"/>
  <c r="C32" i="10"/>
  <c r="C188" i="26" s="1"/>
  <c r="G32" i="10"/>
  <c r="F33" i="10"/>
  <c r="E34" i="10"/>
  <c r="D201" i="26" s="1"/>
  <c r="D35" i="10"/>
  <c r="C207" i="26" s="1"/>
  <c r="C36" i="10"/>
  <c r="C212" i="26" s="1"/>
  <c r="G36" i="10"/>
  <c r="F37" i="10"/>
  <c r="E38" i="10"/>
  <c r="D225" i="26" s="1"/>
  <c r="D39" i="10"/>
  <c r="C231" i="26" s="1"/>
  <c r="C40" i="10"/>
  <c r="C236" i="26" s="1"/>
  <c r="G40" i="10"/>
  <c r="F41" i="10"/>
  <c r="E42" i="10"/>
  <c r="D249" i="26" s="1"/>
  <c r="D43" i="10"/>
  <c r="C255" i="26" s="1"/>
  <c r="C44" i="10"/>
  <c r="C260" i="26" s="1"/>
  <c r="G44" i="10"/>
  <c r="F45" i="10"/>
  <c r="E46" i="10"/>
  <c r="D273" i="26" s="1"/>
  <c r="D47" i="10"/>
  <c r="C279" i="26" s="1"/>
  <c r="C48" i="10"/>
  <c r="C284" i="26" s="1"/>
  <c r="G48" i="10"/>
  <c r="F49" i="10"/>
  <c r="E50" i="10"/>
  <c r="D297" i="26" s="1"/>
  <c r="D51" i="10"/>
  <c r="C303" i="26" s="1"/>
  <c r="C52" i="10"/>
  <c r="C308" i="26" s="1"/>
  <c r="G52" i="10"/>
  <c r="N13" i="10"/>
  <c r="N25" i="10"/>
  <c r="N29" i="10"/>
  <c r="N37" i="10"/>
  <c r="N45" i="10"/>
  <c r="N49" i="10"/>
  <c r="N28" i="10"/>
  <c r="N32" i="10"/>
  <c r="N40" i="10"/>
  <c r="N48" i="10"/>
  <c r="N52" i="10"/>
  <c r="N31" i="10"/>
  <c r="N35" i="10"/>
  <c r="N43" i="10"/>
  <c r="N51" i="10"/>
  <c r="D5" i="10"/>
  <c r="C27" i="26" s="1"/>
  <c r="C6" i="10"/>
  <c r="C32" i="26" s="1"/>
  <c r="G6" i="10"/>
  <c r="F7" i="10"/>
  <c r="E8" i="10"/>
  <c r="D45" i="26" s="1"/>
  <c r="D9" i="10"/>
  <c r="C51" i="26" s="1"/>
  <c r="C10" i="10"/>
  <c r="C56" i="26" s="1"/>
  <c r="G10" i="10"/>
  <c r="F11" i="10"/>
  <c r="E12" i="10"/>
  <c r="D69" i="26" s="1"/>
  <c r="D13" i="10"/>
  <c r="C75" i="26" s="1"/>
  <c r="C14" i="10"/>
  <c r="C80" i="26" s="1"/>
  <c r="G14" i="10"/>
  <c r="F15" i="10"/>
  <c r="E16" i="10"/>
  <c r="D93" i="26" s="1"/>
  <c r="D17" i="10"/>
  <c r="C99" i="26" s="1"/>
  <c r="C18" i="10"/>
  <c r="C104" i="26" s="1"/>
  <c r="G18" i="10"/>
  <c r="F19" i="10"/>
  <c r="E20" i="10"/>
  <c r="D117" i="26" s="1"/>
  <c r="D21" i="10"/>
  <c r="C123" i="26" s="1"/>
  <c r="C22" i="10"/>
  <c r="C128" i="26" s="1"/>
  <c r="G22" i="10"/>
  <c r="F23" i="10"/>
  <c r="E24" i="10"/>
  <c r="D141" i="26" s="1"/>
  <c r="D25" i="10"/>
  <c r="C147" i="26" s="1"/>
  <c r="C26" i="10"/>
  <c r="C152" i="26" s="1"/>
  <c r="G26" i="10"/>
  <c r="F27" i="10"/>
  <c r="E28" i="10"/>
  <c r="D165" i="26" s="1"/>
  <c r="D29" i="10"/>
  <c r="C171" i="26" s="1"/>
  <c r="C30" i="10"/>
  <c r="C176" i="26" s="1"/>
  <c r="G30" i="10"/>
  <c r="F31" i="10"/>
  <c r="E32" i="10"/>
  <c r="D189" i="26" s="1"/>
  <c r="D33" i="10"/>
  <c r="C195" i="26" s="1"/>
  <c r="C34" i="10"/>
  <c r="C200" i="26" s="1"/>
  <c r="G34" i="10"/>
  <c r="F35" i="10"/>
  <c r="E36" i="10"/>
  <c r="D213" i="26" s="1"/>
  <c r="D37" i="10"/>
  <c r="C219" i="26" s="1"/>
  <c r="C38" i="10"/>
  <c r="C224" i="26" s="1"/>
  <c r="G38" i="10"/>
  <c r="F39" i="10"/>
  <c r="E40" i="10"/>
  <c r="D237" i="26" s="1"/>
  <c r="D41" i="10"/>
  <c r="C243" i="26" s="1"/>
  <c r="C42" i="10"/>
  <c r="C248" i="26" s="1"/>
  <c r="G42" i="10"/>
  <c r="F43" i="10"/>
  <c r="E44" i="10"/>
  <c r="D261" i="26" s="1"/>
  <c r="D45" i="10"/>
  <c r="C267" i="26" s="1"/>
  <c r="C46" i="10"/>
  <c r="C272" i="26" s="1"/>
  <c r="G46" i="10"/>
  <c r="F47" i="10"/>
  <c r="E48" i="10"/>
  <c r="D285" i="26" s="1"/>
  <c r="D49" i="10"/>
  <c r="C291" i="26" s="1"/>
  <c r="C50" i="10"/>
  <c r="C296" i="26" s="1"/>
  <c r="G50" i="10"/>
  <c r="F51" i="10"/>
  <c r="E52" i="10"/>
  <c r="D309" i="26" s="1"/>
  <c r="D4" i="10"/>
  <c r="C21" i="26" s="1"/>
  <c r="C7" i="10"/>
  <c r="C38" i="26" s="1"/>
  <c r="D10" i="10"/>
  <c r="C57" i="26" s="1"/>
  <c r="E13" i="10"/>
  <c r="D75" i="26" s="1"/>
  <c r="F16" i="10"/>
  <c r="G19" i="10"/>
  <c r="C23" i="10"/>
  <c r="C134" i="26" s="1"/>
  <c r="D26" i="10"/>
  <c r="C153" i="26" s="1"/>
  <c r="E29" i="10"/>
  <c r="D171" i="26" s="1"/>
  <c r="F32" i="10"/>
  <c r="G35" i="10"/>
  <c r="C39" i="10"/>
  <c r="C230" i="26" s="1"/>
  <c r="D42" i="10"/>
  <c r="C249" i="26" s="1"/>
  <c r="E45" i="10"/>
  <c r="D267" i="26" s="1"/>
  <c r="F48" i="10"/>
  <c r="G51" i="10"/>
  <c r="F4" i="10"/>
  <c r="D6" i="10"/>
  <c r="C33" i="26" s="1"/>
  <c r="E9" i="10"/>
  <c r="D51" i="26" s="1"/>
  <c r="F12" i="10"/>
  <c r="G15" i="10"/>
  <c r="C19" i="10"/>
  <c r="C110" i="26" s="1"/>
  <c r="D22" i="10"/>
  <c r="C129" i="26" s="1"/>
  <c r="E25" i="10"/>
  <c r="D147" i="26" s="1"/>
  <c r="F28" i="10"/>
  <c r="G31" i="10"/>
  <c r="C35" i="10"/>
  <c r="C206" i="26" s="1"/>
  <c r="D38" i="10"/>
  <c r="C225" i="26" s="1"/>
  <c r="E41" i="10"/>
  <c r="D243" i="26" s="1"/>
  <c r="F44" i="10"/>
  <c r="G47" i="10"/>
  <c r="C51" i="10"/>
  <c r="C302" i="26" s="1"/>
  <c r="G4" i="10"/>
  <c r="E5" i="10"/>
  <c r="D27" i="26" s="1"/>
  <c r="F8" i="10"/>
  <c r="G11" i="10"/>
  <c r="C15" i="10"/>
  <c r="C86" i="26" s="1"/>
  <c r="D18" i="10"/>
  <c r="C105" i="26" s="1"/>
  <c r="E21" i="10"/>
  <c r="D123" i="26" s="1"/>
  <c r="F24" i="10"/>
  <c r="G27" i="10"/>
  <c r="C31" i="10"/>
  <c r="C182" i="26" s="1"/>
  <c r="D34" i="10"/>
  <c r="C201" i="26" s="1"/>
  <c r="E37" i="10"/>
  <c r="D219" i="26" s="1"/>
  <c r="F40" i="10"/>
  <c r="G43" i="10"/>
  <c r="C47" i="10"/>
  <c r="C278" i="26" s="1"/>
  <c r="D50" i="10"/>
  <c r="C297" i="26" s="1"/>
  <c r="C4" i="10"/>
  <c r="C20" i="26" s="1"/>
  <c r="G7" i="10"/>
  <c r="C11" i="10"/>
  <c r="C62" i="26" s="1"/>
  <c r="D14" i="10"/>
  <c r="C81" i="26" s="1"/>
  <c r="E17" i="10"/>
  <c r="D99" i="26" s="1"/>
  <c r="F20" i="10"/>
  <c r="G23" i="10"/>
  <c r="C27" i="10"/>
  <c r="C158" i="26" s="1"/>
  <c r="D30" i="10"/>
  <c r="C177" i="26" s="1"/>
  <c r="E33" i="10"/>
  <c r="D195" i="26" s="1"/>
  <c r="F36" i="10"/>
  <c r="G39" i="10"/>
  <c r="C43" i="10"/>
  <c r="C254" i="26" s="1"/>
  <c r="D46" i="10"/>
  <c r="C273" i="26" s="1"/>
  <c r="E49" i="10"/>
  <c r="D291" i="26" s="1"/>
  <c r="F52" i="10"/>
  <c r="S23" i="10" l="1"/>
  <c r="F135" i="26"/>
  <c r="S47" i="10"/>
  <c r="F279" i="26"/>
  <c r="S35" i="10"/>
  <c r="F207" i="26"/>
  <c r="S38" i="10"/>
  <c r="F225" i="26"/>
  <c r="S22" i="10"/>
  <c r="F129" i="26"/>
  <c r="S6" i="10"/>
  <c r="F33" i="26"/>
  <c r="S44" i="10"/>
  <c r="F261" i="26"/>
  <c r="S28" i="10"/>
  <c r="F165" i="26"/>
  <c r="S12" i="10"/>
  <c r="F69" i="26"/>
  <c r="S41" i="10"/>
  <c r="F243" i="26"/>
  <c r="S25" i="10"/>
  <c r="F147" i="26"/>
  <c r="S9" i="10"/>
  <c r="F51" i="26"/>
  <c r="S59" i="10"/>
  <c r="F351" i="26"/>
  <c r="S7" i="10"/>
  <c r="F39" i="26"/>
  <c r="S43" i="10"/>
  <c r="F255" i="26"/>
  <c r="S31" i="10"/>
  <c r="F183" i="26"/>
  <c r="S19" i="10"/>
  <c r="F111" i="26"/>
  <c r="S50" i="10"/>
  <c r="F297" i="26"/>
  <c r="S34" i="10"/>
  <c r="F201" i="26"/>
  <c r="S18" i="10"/>
  <c r="F105" i="26"/>
  <c r="S40" i="10"/>
  <c r="F237" i="26"/>
  <c r="S24" i="10"/>
  <c r="F141" i="26"/>
  <c r="S8" i="10"/>
  <c r="F45" i="26"/>
  <c r="S37" i="10"/>
  <c r="F219" i="26"/>
  <c r="S21" i="10"/>
  <c r="F123" i="26"/>
  <c r="S5" i="10"/>
  <c r="F27" i="26"/>
  <c r="S54" i="10"/>
  <c r="F321" i="26"/>
  <c r="S27" i="10"/>
  <c r="F159" i="26"/>
  <c r="S4" i="10"/>
  <c r="F21" i="26"/>
  <c r="S15" i="10"/>
  <c r="F87" i="26"/>
  <c r="S46" i="10"/>
  <c r="F273" i="26"/>
  <c r="S30" i="10"/>
  <c r="F177" i="26"/>
  <c r="S14" i="10"/>
  <c r="F81" i="26"/>
  <c r="S52" i="10"/>
  <c r="F309" i="26"/>
  <c r="S36" i="10"/>
  <c r="F213" i="26"/>
  <c r="S20" i="10"/>
  <c r="F117" i="26"/>
  <c r="S49" i="10"/>
  <c r="F291" i="26"/>
  <c r="S33" i="10"/>
  <c r="F195" i="26"/>
  <c r="S17" i="10"/>
  <c r="F99" i="26"/>
  <c r="S53" i="10"/>
  <c r="F315" i="26"/>
  <c r="S55" i="10"/>
  <c r="F327" i="26"/>
  <c r="S56" i="10"/>
  <c r="F333" i="26"/>
  <c r="S39" i="10"/>
  <c r="F231" i="26"/>
  <c r="S11" i="10"/>
  <c r="F63" i="26"/>
  <c r="S51" i="10"/>
  <c r="F303" i="26"/>
  <c r="S42" i="10"/>
  <c r="F249" i="26"/>
  <c r="S26" i="10"/>
  <c r="F153" i="26"/>
  <c r="S10" i="10"/>
  <c r="F57" i="26"/>
  <c r="S48" i="10"/>
  <c r="F285" i="26"/>
  <c r="S32" i="10"/>
  <c r="F189" i="26"/>
  <c r="S16" i="10"/>
  <c r="F93" i="26"/>
  <c r="S45" i="10"/>
  <c r="F267" i="26"/>
  <c r="S29" i="10"/>
  <c r="F171" i="26"/>
  <c r="S13" i="10"/>
  <c r="F75" i="26"/>
  <c r="S57" i="10"/>
  <c r="F339" i="26"/>
  <c r="S58" i="10"/>
  <c r="F345" i="26"/>
  <c r="N4" i="10"/>
  <c r="AD33" i="11"/>
  <c r="AD49" i="11"/>
  <c r="AD25" i="11"/>
  <c r="R8" i="10" s="1"/>
  <c r="G45" i="26" s="1"/>
  <c r="AD37" i="11"/>
  <c r="O57" i="10"/>
  <c r="O53" i="10"/>
  <c r="N9" i="10"/>
  <c r="N18" i="10"/>
  <c r="AA18" i="11"/>
  <c r="AC30" i="11"/>
  <c r="O55" i="10"/>
  <c r="AA10" i="11"/>
  <c r="AA14" i="11"/>
  <c r="AA21" i="11"/>
  <c r="O54" i="10"/>
  <c r="O59" i="10"/>
  <c r="O58" i="10"/>
  <c r="O56" i="10"/>
  <c r="AE25" i="11"/>
  <c r="AA25" i="11"/>
  <c r="AE29" i="11"/>
  <c r="AA29" i="11"/>
  <c r="AE37" i="11"/>
  <c r="T37" i="11" s="1"/>
  <c r="AA37" i="11"/>
  <c r="N23" i="10"/>
  <c r="N8" i="10"/>
  <c r="AC38" i="11"/>
  <c r="AE33" i="11"/>
  <c r="AA33" i="11"/>
  <c r="R6" i="10"/>
  <c r="G33" i="26" s="1"/>
  <c r="R21" i="10"/>
  <c r="G123" i="26" s="1"/>
  <c r="N6" i="10"/>
  <c r="R19" i="10"/>
  <c r="G111" i="26" s="1"/>
  <c r="N36" i="10"/>
  <c r="W26" i="11"/>
  <c r="W27" i="11" s="1"/>
  <c r="W28" i="11" s="1"/>
  <c r="N38" i="10"/>
  <c r="Q50" i="11"/>
  <c r="Q53" i="11" s="1"/>
  <c r="Q77" i="11"/>
  <c r="Q80" i="11" s="1"/>
  <c r="AC34" i="11"/>
  <c r="AD34" i="11" s="1"/>
  <c r="AC11" i="11"/>
  <c r="AE10" i="11"/>
  <c r="AC15" i="11"/>
  <c r="AE14" i="11"/>
  <c r="AC22" i="11"/>
  <c r="AE21" i="11"/>
  <c r="AC19" i="11"/>
  <c r="AE18" i="11"/>
  <c r="AC26" i="11"/>
  <c r="D2042" i="20"/>
  <c r="D1894" i="20"/>
  <c r="R22" i="10"/>
  <c r="G129" i="26" s="1"/>
  <c r="N14" i="10"/>
  <c r="N17" i="10"/>
  <c r="D1893" i="20"/>
  <c r="T1892" i="20"/>
  <c r="U1892" i="20"/>
  <c r="D1900" i="20" s="1"/>
  <c r="S1892" i="20"/>
  <c r="D1899" i="20" s="1"/>
  <c r="AA2003" i="20"/>
  <c r="D2005" i="20"/>
  <c r="N7" i="10"/>
  <c r="T52" i="11"/>
  <c r="AA1855" i="20"/>
  <c r="D1857" i="20"/>
  <c r="U1855" i="20"/>
  <c r="D1863" i="20" s="1"/>
  <c r="D1856" i="20"/>
  <c r="T1855" i="20"/>
  <c r="S1855" i="20"/>
  <c r="D1862" i="20" s="1"/>
  <c r="T1966" i="20"/>
  <c r="S1966" i="20"/>
  <c r="D1973" i="20" s="1"/>
  <c r="U1966" i="20"/>
  <c r="D1974" i="20" s="1"/>
  <c r="D1967" i="20"/>
  <c r="S1929" i="20"/>
  <c r="D1936" i="20" s="1"/>
  <c r="D1930" i="20"/>
  <c r="U1929" i="20"/>
  <c r="D1937" i="20" s="1"/>
  <c r="T1929" i="20"/>
  <c r="AA1966" i="20"/>
  <c r="D1968" i="20"/>
  <c r="U2040" i="20"/>
  <c r="D2048" i="20" s="1"/>
  <c r="T2040" i="20"/>
  <c r="S2040" i="20"/>
  <c r="D2047" i="20" s="1"/>
  <c r="D2041" i="20"/>
  <c r="AA1929" i="20"/>
  <c r="D1931" i="20"/>
  <c r="D2004" i="20"/>
  <c r="S2003" i="20"/>
  <c r="D2010" i="20" s="1"/>
  <c r="T2003" i="20"/>
  <c r="U2003" i="20"/>
  <c r="D2011" i="20" s="1"/>
  <c r="R13" i="10"/>
  <c r="G75" i="26" s="1"/>
  <c r="T1263" i="20"/>
  <c r="R18" i="10"/>
  <c r="G105" i="26" s="1"/>
  <c r="R7" i="10"/>
  <c r="G39" i="26" s="1"/>
  <c r="R17" i="10"/>
  <c r="G99" i="26" s="1"/>
  <c r="R9" i="10"/>
  <c r="G51" i="26" s="1"/>
  <c r="R20" i="10"/>
  <c r="G117" i="26" s="1"/>
  <c r="N21" i="10"/>
  <c r="N19" i="10"/>
  <c r="R14" i="10"/>
  <c r="G81" i="26" s="1"/>
  <c r="O43" i="10"/>
  <c r="O31" i="10"/>
  <c r="O46" i="10"/>
  <c r="O37" i="10"/>
  <c r="N20" i="10"/>
  <c r="N10" i="10"/>
  <c r="T1670" i="20"/>
  <c r="S1670" i="20"/>
  <c r="D1677" i="20" s="1"/>
  <c r="D1671" i="20"/>
  <c r="U1670" i="20"/>
  <c r="D1678" i="20" s="1"/>
  <c r="D1412" i="20"/>
  <c r="U1411" i="20"/>
  <c r="D1419" i="20" s="1"/>
  <c r="T1411" i="20"/>
  <c r="S1411" i="20"/>
  <c r="D1418" i="20" s="1"/>
  <c r="D1079" i="20"/>
  <c r="S1078" i="20"/>
  <c r="D1085" i="20" s="1"/>
  <c r="U1078" i="20"/>
  <c r="D1086" i="20" s="1"/>
  <c r="T1078" i="20"/>
  <c r="U1374" i="20"/>
  <c r="D1382" i="20" s="1"/>
  <c r="T1374" i="20"/>
  <c r="S1374" i="20"/>
  <c r="D1381" i="20" s="1"/>
  <c r="D1375" i="20"/>
  <c r="AA1707" i="20"/>
  <c r="D1709" i="20"/>
  <c r="D1820" i="20"/>
  <c r="AA1818" i="20"/>
  <c r="U1707" i="20"/>
  <c r="D1715" i="20" s="1"/>
  <c r="T1707" i="20"/>
  <c r="S1707" i="20"/>
  <c r="D1714" i="20" s="1"/>
  <c r="D1708" i="20"/>
  <c r="S1596" i="20"/>
  <c r="D1603" i="20" s="1"/>
  <c r="U1596" i="20"/>
  <c r="D1604" i="20" s="1"/>
  <c r="T1596" i="20"/>
  <c r="D1597" i="20"/>
  <c r="S1522" i="20"/>
  <c r="D1529" i="20" s="1"/>
  <c r="D1523" i="20"/>
  <c r="U1522" i="20"/>
  <c r="D1530" i="20" s="1"/>
  <c r="T1522" i="20"/>
  <c r="D1635" i="20"/>
  <c r="AA1633" i="20"/>
  <c r="U1115" i="20"/>
  <c r="D1123" i="20" s="1"/>
  <c r="D1116" i="20"/>
  <c r="S1115" i="20"/>
  <c r="D1122" i="20" s="1"/>
  <c r="T1115" i="20"/>
  <c r="U1448" i="20"/>
  <c r="D1456" i="20" s="1"/>
  <c r="S1448" i="20"/>
  <c r="D1455" i="20" s="1"/>
  <c r="D1449" i="20"/>
  <c r="T1448" i="20"/>
  <c r="AA1337" i="20"/>
  <c r="D1339" i="20"/>
  <c r="AA1485" i="20"/>
  <c r="D1487" i="20"/>
  <c r="G61" i="10"/>
  <c r="O42" i="10"/>
  <c r="N15" i="10"/>
  <c r="R10" i="10"/>
  <c r="G57" i="26" s="1"/>
  <c r="O48" i="10"/>
  <c r="O32" i="10"/>
  <c r="T1337" i="20"/>
  <c r="S1337" i="20"/>
  <c r="D1344" i="20" s="1"/>
  <c r="D1338" i="20"/>
  <c r="U1337" i="20"/>
  <c r="D1345" i="20" s="1"/>
  <c r="T1633" i="20"/>
  <c r="S1633" i="20"/>
  <c r="D1640" i="20" s="1"/>
  <c r="D1634" i="20"/>
  <c r="U1633" i="20"/>
  <c r="D1641" i="20" s="1"/>
  <c r="D1006" i="20"/>
  <c r="AA1004" i="20"/>
  <c r="D1190" i="20"/>
  <c r="U1189" i="20"/>
  <c r="D1197" i="20" s="1"/>
  <c r="T1189" i="20"/>
  <c r="S1189" i="20"/>
  <c r="D1196" i="20" s="1"/>
  <c r="R11" i="10"/>
  <c r="G63" i="26" s="1"/>
  <c r="O36" i="10"/>
  <c r="AA1411" i="20"/>
  <c r="D1413" i="20"/>
  <c r="T1744" i="20"/>
  <c r="D1745" i="20"/>
  <c r="S1744" i="20"/>
  <c r="D1751" i="20" s="1"/>
  <c r="U1744" i="20"/>
  <c r="D1752" i="20" s="1"/>
  <c r="D969" i="20"/>
  <c r="AA967" i="20"/>
  <c r="D1783" i="20"/>
  <c r="AA1781" i="20"/>
  <c r="D1153" i="20"/>
  <c r="T1152" i="20"/>
  <c r="U1152" i="20"/>
  <c r="D1160" i="20" s="1"/>
  <c r="S1152" i="20"/>
  <c r="D1159" i="20" s="1"/>
  <c r="D1005" i="20"/>
  <c r="S1004" i="20"/>
  <c r="D1011" i="20" s="1"/>
  <c r="T1004" i="20"/>
  <c r="U1004" i="20"/>
  <c r="D1012" i="20" s="1"/>
  <c r="D1524" i="20"/>
  <c r="AA1522" i="20"/>
  <c r="T1485" i="20"/>
  <c r="S1485" i="20"/>
  <c r="D1492" i="20" s="1"/>
  <c r="D1486" i="20"/>
  <c r="U1485" i="20"/>
  <c r="D1493" i="20" s="1"/>
  <c r="S1041" i="20"/>
  <c r="D1048" i="20" s="1"/>
  <c r="D1042" i="20"/>
  <c r="T1041" i="20"/>
  <c r="U1041" i="20"/>
  <c r="D1049" i="20" s="1"/>
  <c r="AA1152" i="20"/>
  <c r="D1154" i="20"/>
  <c r="AA1559" i="20"/>
  <c r="D1561" i="20"/>
  <c r="AA1263" i="20"/>
  <c r="D1265" i="20"/>
  <c r="AA1041" i="20"/>
  <c r="D1043" i="20"/>
  <c r="O30" i="10"/>
  <c r="R5" i="10"/>
  <c r="G27" i="26" s="1"/>
  <c r="O52" i="10"/>
  <c r="O41" i="10"/>
  <c r="D1228" i="20"/>
  <c r="O47" i="10"/>
  <c r="O35" i="10"/>
  <c r="O50" i="10"/>
  <c r="O34" i="10"/>
  <c r="N12" i="10"/>
  <c r="N5" i="10"/>
  <c r="R15" i="10"/>
  <c r="G87" i="26" s="1"/>
  <c r="O40" i="10"/>
  <c r="O45" i="10"/>
  <c r="R12" i="10"/>
  <c r="G69" i="26" s="1"/>
  <c r="D1782" i="20"/>
  <c r="U1781" i="20"/>
  <c r="D1789" i="20" s="1"/>
  <c r="T1781" i="20"/>
  <c r="S1781" i="20"/>
  <c r="D1788" i="20" s="1"/>
  <c r="U1559" i="20"/>
  <c r="D1567" i="20" s="1"/>
  <c r="T1559" i="20"/>
  <c r="S1559" i="20"/>
  <c r="D1566" i="20" s="1"/>
  <c r="D1560" i="20"/>
  <c r="T1226" i="20"/>
  <c r="U1226" i="20"/>
  <c r="D1234" i="20" s="1"/>
  <c r="S1226" i="20"/>
  <c r="D1233" i="20" s="1"/>
  <c r="D1227" i="20"/>
  <c r="AA1078" i="20"/>
  <c r="D1080" i="20"/>
  <c r="T1818" i="20"/>
  <c r="S1818" i="20"/>
  <c r="D1825" i="20" s="1"/>
  <c r="D1819" i="20"/>
  <c r="U1818" i="20"/>
  <c r="D1826" i="20" s="1"/>
  <c r="AA1744" i="20"/>
  <c r="D1746" i="20"/>
  <c r="AA1189" i="20"/>
  <c r="D1191" i="20"/>
  <c r="AA1374" i="20"/>
  <c r="D1376" i="20"/>
  <c r="AA1448" i="20"/>
  <c r="D1450" i="20"/>
  <c r="AA1115" i="20"/>
  <c r="D1117" i="20"/>
  <c r="AA1670" i="20"/>
  <c r="D1672" i="20"/>
  <c r="D968" i="20"/>
  <c r="U967" i="20"/>
  <c r="D975" i="20" s="1"/>
  <c r="T967" i="20"/>
  <c r="S967" i="20"/>
  <c r="D974" i="20" s="1"/>
  <c r="D1264" i="20"/>
  <c r="U1263" i="20"/>
  <c r="D1271" i="20" s="1"/>
  <c r="S1263" i="20"/>
  <c r="D1270" i="20" s="1"/>
  <c r="T1300" i="20"/>
  <c r="S1300" i="20"/>
  <c r="D1307" i="20" s="1"/>
  <c r="U1300" i="20"/>
  <c r="D1308" i="20" s="1"/>
  <c r="D1301" i="20"/>
  <c r="AA1596" i="20"/>
  <c r="D1598" i="20"/>
  <c r="AA1300" i="20"/>
  <c r="D1302" i="20"/>
  <c r="O51" i="10"/>
  <c r="O39" i="10"/>
  <c r="O38" i="10"/>
  <c r="N11" i="10"/>
  <c r="R4" i="10"/>
  <c r="G21" i="26" s="1"/>
  <c r="O44" i="10"/>
  <c r="O49" i="10"/>
  <c r="O33" i="10"/>
  <c r="R16" i="10"/>
  <c r="G93" i="26" s="1"/>
  <c r="O5" i="10"/>
  <c r="O18" i="10"/>
  <c r="O10" i="10"/>
  <c r="O13" i="10"/>
  <c r="O20" i="10"/>
  <c r="O21" i="10"/>
  <c r="AH25" i="11"/>
  <c r="AG25" i="11"/>
  <c r="AH15" i="11"/>
  <c r="AG15" i="11"/>
  <c r="AG35" i="11"/>
  <c r="AH35" i="11"/>
  <c r="AH10" i="11"/>
  <c r="AG10" i="11"/>
  <c r="AH32" i="11"/>
  <c r="AG32" i="11"/>
  <c r="AH23" i="11"/>
  <c r="AG23" i="11"/>
  <c r="AH38" i="11"/>
  <c r="AG38" i="11"/>
  <c r="AH28" i="11"/>
  <c r="AG28" i="11"/>
  <c r="O26" i="10"/>
  <c r="O16" i="10"/>
  <c r="O29" i="10"/>
  <c r="O12" i="10"/>
  <c r="O28" i="10"/>
  <c r="O7" i="10"/>
  <c r="O23" i="10"/>
  <c r="O17" i="10"/>
  <c r="O8" i="10"/>
  <c r="O24" i="10"/>
  <c r="O19" i="10"/>
  <c r="O14" i="10"/>
  <c r="O15" i="10"/>
  <c r="O9" i="10"/>
  <c r="O25" i="10"/>
  <c r="O11" i="10"/>
  <c r="O27" i="10"/>
  <c r="O6" i="10"/>
  <c r="O22" i="10"/>
  <c r="S61" i="10" l="1"/>
  <c r="G2057" i="20"/>
  <c r="E2023" i="20"/>
  <c r="G2023" i="20" s="1"/>
  <c r="E2021" i="20"/>
  <c r="G2021" i="20" s="1"/>
  <c r="E2024" i="20"/>
  <c r="G2024" i="20" s="1"/>
  <c r="E2022" i="20"/>
  <c r="G2022" i="20" s="1"/>
  <c r="E1987" i="20"/>
  <c r="G1987" i="20" s="1"/>
  <c r="E1985" i="20"/>
  <c r="G1985" i="20" s="1"/>
  <c r="E1986" i="20"/>
  <c r="G1986" i="20" s="1"/>
  <c r="E1984" i="20"/>
  <c r="G1984" i="20" s="1"/>
  <c r="E1950" i="20"/>
  <c r="G1950" i="20" s="1"/>
  <c r="E1948" i="20"/>
  <c r="G1948" i="20" s="1"/>
  <c r="E1949" i="20"/>
  <c r="G1949" i="20" s="1"/>
  <c r="E1947" i="20"/>
  <c r="G1947" i="20" s="1"/>
  <c r="G1909" i="20"/>
  <c r="G1872" i="20"/>
  <c r="E1838" i="20"/>
  <c r="G1838" i="20" s="1"/>
  <c r="E1836" i="20"/>
  <c r="G1836" i="20" s="1"/>
  <c r="E1839" i="20"/>
  <c r="G1839" i="20" s="1"/>
  <c r="E1837" i="20"/>
  <c r="G1837" i="20" s="1"/>
  <c r="G1798" i="20"/>
  <c r="E1765" i="20"/>
  <c r="G1765" i="20" s="1"/>
  <c r="E1763" i="20"/>
  <c r="G1763" i="20" s="1"/>
  <c r="E1764" i="20"/>
  <c r="G1764" i="20" s="1"/>
  <c r="E1762" i="20"/>
  <c r="G1762" i="20" s="1"/>
  <c r="E1728" i="20"/>
  <c r="G1728" i="20" s="1"/>
  <c r="E1726" i="20"/>
  <c r="G1726" i="20" s="1"/>
  <c r="E1727" i="20"/>
  <c r="G1727" i="20" s="1"/>
  <c r="E1725" i="20"/>
  <c r="G1725" i="20" s="1"/>
  <c r="E1691" i="20"/>
  <c r="G1691" i="20" s="1"/>
  <c r="E1689" i="20"/>
  <c r="G1689" i="20" s="1"/>
  <c r="E1690" i="20"/>
  <c r="G1690" i="20" s="1"/>
  <c r="E1688" i="20"/>
  <c r="G1688" i="20" s="1"/>
  <c r="G1650" i="20"/>
  <c r="G1613" i="20"/>
  <c r="G1576" i="20"/>
  <c r="E1542" i="20"/>
  <c r="G1542" i="20" s="1"/>
  <c r="E1543" i="20"/>
  <c r="G1543" i="20" s="1"/>
  <c r="E1541" i="20"/>
  <c r="G1541" i="20" s="1"/>
  <c r="E1540" i="20"/>
  <c r="G1540" i="20" s="1"/>
  <c r="E1505" i="20"/>
  <c r="G1505" i="20" s="1"/>
  <c r="E1503" i="20"/>
  <c r="G1503" i="20" s="1"/>
  <c r="E1506" i="20"/>
  <c r="G1506" i="20" s="1"/>
  <c r="E1504" i="20"/>
  <c r="G1504" i="20" s="1"/>
  <c r="E1469" i="20"/>
  <c r="G1469" i="20" s="1"/>
  <c r="E1467" i="20"/>
  <c r="G1467" i="20" s="1"/>
  <c r="E1468" i="20"/>
  <c r="G1468" i="20" s="1"/>
  <c r="E1466" i="20"/>
  <c r="G1466" i="20" s="1"/>
  <c r="E1432" i="20"/>
  <c r="G1432" i="20" s="1"/>
  <c r="E1430" i="20"/>
  <c r="G1430" i="20" s="1"/>
  <c r="E1431" i="20"/>
  <c r="G1431" i="20" s="1"/>
  <c r="E1429" i="20"/>
  <c r="G1429" i="20" s="1"/>
  <c r="E1395" i="20"/>
  <c r="G1395" i="20" s="1"/>
  <c r="E1393" i="20"/>
  <c r="G1393" i="20" s="1"/>
  <c r="E1394" i="20"/>
  <c r="G1394" i="20" s="1"/>
  <c r="E1392" i="20"/>
  <c r="G1392" i="20" s="1"/>
  <c r="E1357" i="20"/>
  <c r="G1357" i="20" s="1"/>
  <c r="E1355" i="20"/>
  <c r="G1355" i="20" s="1"/>
  <c r="E1358" i="20"/>
  <c r="G1358" i="20" s="1"/>
  <c r="E1356" i="20"/>
  <c r="G1356" i="20" s="1"/>
  <c r="E1321" i="20"/>
  <c r="G1321" i="20" s="1"/>
  <c r="E1319" i="20"/>
  <c r="G1319" i="20" s="1"/>
  <c r="E1320" i="20"/>
  <c r="G1320" i="20" s="1"/>
  <c r="E1318" i="20"/>
  <c r="G1318" i="20" s="1"/>
  <c r="E1284" i="20"/>
  <c r="G1284" i="20" s="1"/>
  <c r="E1282" i="20"/>
  <c r="G1282" i="20" s="1"/>
  <c r="E1283" i="20"/>
  <c r="G1283" i="20" s="1"/>
  <c r="E1281" i="20"/>
  <c r="G1281" i="20" s="1"/>
  <c r="E1247" i="20"/>
  <c r="G1247" i="20" s="1"/>
  <c r="E1245" i="20"/>
  <c r="G1245" i="20" s="1"/>
  <c r="E1246" i="20"/>
  <c r="G1246" i="20" s="1"/>
  <c r="E1244" i="20"/>
  <c r="G1244" i="20" s="1"/>
  <c r="E1210" i="20"/>
  <c r="G1210" i="20" s="1"/>
  <c r="E1208" i="20"/>
  <c r="G1208" i="20" s="1"/>
  <c r="E1209" i="20"/>
  <c r="G1209" i="20" s="1"/>
  <c r="E1207" i="20"/>
  <c r="G1207" i="20" s="1"/>
  <c r="E1172" i="20"/>
  <c r="G1172" i="20" s="1"/>
  <c r="E1170" i="20"/>
  <c r="G1170" i="20" s="1"/>
  <c r="E1173" i="20"/>
  <c r="G1173" i="20" s="1"/>
  <c r="E1171" i="20"/>
  <c r="G1171" i="20" s="1"/>
  <c r="E1135" i="20"/>
  <c r="G1135" i="20" s="1"/>
  <c r="E1133" i="20"/>
  <c r="G1133" i="20" s="1"/>
  <c r="E1136" i="20"/>
  <c r="G1136" i="20" s="1"/>
  <c r="E1134" i="20"/>
  <c r="G1134" i="20" s="1"/>
  <c r="E1062" i="20"/>
  <c r="G1062" i="20" s="1"/>
  <c r="E1060" i="20"/>
  <c r="G1060" i="20" s="1"/>
  <c r="E1061" i="20"/>
  <c r="G1061" i="20" s="1"/>
  <c r="E1059" i="20"/>
  <c r="G1059" i="20" s="1"/>
  <c r="E1024" i="20"/>
  <c r="G1024" i="20" s="1"/>
  <c r="E1022" i="20"/>
  <c r="G1022" i="20" s="1"/>
  <c r="E1023" i="20"/>
  <c r="G1023" i="20" s="1"/>
  <c r="E1025" i="20"/>
  <c r="G1025" i="20" s="1"/>
  <c r="E987" i="20"/>
  <c r="G987" i="20" s="1"/>
  <c r="E985" i="20"/>
  <c r="G985" i="20" s="1"/>
  <c r="E988" i="20"/>
  <c r="G988" i="20" s="1"/>
  <c r="E986" i="20"/>
  <c r="G986" i="20" s="1"/>
  <c r="E1099" i="20"/>
  <c r="G1099" i="20" s="1"/>
  <c r="E1097" i="20"/>
  <c r="G1097" i="20" s="1"/>
  <c r="E1098" i="20"/>
  <c r="G1098" i="20" s="1"/>
  <c r="E1096" i="20"/>
  <c r="G1096" i="20" s="1"/>
  <c r="AD26" i="11"/>
  <c r="AD19" i="11"/>
  <c r="AD22" i="11"/>
  <c r="AD15" i="11"/>
  <c r="AD11" i="11"/>
  <c r="AD38" i="11"/>
  <c r="AD30" i="11"/>
  <c r="AE30" i="11"/>
  <c r="AC31" i="11"/>
  <c r="AC32" i="11" s="1"/>
  <c r="AE38" i="11"/>
  <c r="T38" i="11" s="1"/>
  <c r="AC39" i="11"/>
  <c r="AC40" i="11" s="1"/>
  <c r="AC85" i="11"/>
  <c r="AD85" i="11" s="1"/>
  <c r="R23" i="10" s="1"/>
  <c r="G135" i="26" s="1"/>
  <c r="AC35" i="11"/>
  <c r="AE34" i="11"/>
  <c r="Q54" i="11"/>
  <c r="Q56" i="11" s="1"/>
  <c r="Q82" i="11"/>
  <c r="Q84" i="11" s="1"/>
  <c r="AC20" i="11"/>
  <c r="AE19" i="11"/>
  <c r="AC27" i="11"/>
  <c r="AE26" i="11"/>
  <c r="AC23" i="11"/>
  <c r="AE22" i="11"/>
  <c r="AE15" i="11"/>
  <c r="AC16" i="11"/>
  <c r="AE11" i="11"/>
  <c r="AC12" i="11"/>
  <c r="N41" i="10"/>
  <c r="N47" i="10"/>
  <c r="N22" i="10"/>
  <c r="K930" i="20"/>
  <c r="K893" i="20"/>
  <c r="K856" i="20"/>
  <c r="K819" i="20"/>
  <c r="K782" i="20"/>
  <c r="K745" i="20"/>
  <c r="K708" i="20"/>
  <c r="K671" i="20"/>
  <c r="K634" i="20"/>
  <c r="K597" i="20"/>
  <c r="K560" i="20"/>
  <c r="K523" i="20"/>
  <c r="K486" i="20"/>
  <c r="K449" i="20"/>
  <c r="K412" i="20"/>
  <c r="K375" i="20"/>
  <c r="K338" i="20"/>
  <c r="K301" i="20"/>
  <c r="K264" i="20"/>
  <c r="K227" i="20"/>
  <c r="K190" i="20"/>
  <c r="K153" i="20"/>
  <c r="K116" i="20"/>
  <c r="K79" i="20"/>
  <c r="K42" i="20"/>
  <c r="K5" i="20"/>
  <c r="AC86" i="11" l="1"/>
  <c r="AE85" i="11"/>
  <c r="T85" i="11" s="1"/>
  <c r="AE31" i="11"/>
  <c r="AD12" i="11"/>
  <c r="AD40" i="11"/>
  <c r="AD16" i="11"/>
  <c r="AD23" i="11"/>
  <c r="AD27" i="11"/>
  <c r="AD86" i="11"/>
  <c r="AD32" i="11"/>
  <c r="AD20" i="11"/>
  <c r="AD35" i="11"/>
  <c r="AD39" i="11"/>
  <c r="AD31" i="11"/>
  <c r="N153" i="20"/>
  <c r="M153" i="20"/>
  <c r="O153" i="20"/>
  <c r="L153" i="20"/>
  <c r="N449" i="20"/>
  <c r="M449" i="20"/>
  <c r="L449" i="20"/>
  <c r="D450" i="20" s="1"/>
  <c r="O449" i="20"/>
  <c r="N190" i="20"/>
  <c r="M190" i="20"/>
  <c r="O190" i="20"/>
  <c r="L190" i="20"/>
  <c r="D191" i="20" s="1"/>
  <c r="N486" i="20"/>
  <c r="M486" i="20"/>
  <c r="O486" i="20"/>
  <c r="L486" i="20"/>
  <c r="D487" i="20" s="1"/>
  <c r="N782" i="20"/>
  <c r="M782" i="20"/>
  <c r="O782" i="20"/>
  <c r="L782" i="20"/>
  <c r="D783" i="20" s="1"/>
  <c r="L79" i="20"/>
  <c r="O79" i="20"/>
  <c r="N79" i="20"/>
  <c r="M79" i="20"/>
  <c r="L227" i="20"/>
  <c r="D228" i="20" s="1"/>
  <c r="O227" i="20"/>
  <c r="N227" i="20"/>
  <c r="M227" i="20"/>
  <c r="L375" i="20"/>
  <c r="D376" i="20" s="1"/>
  <c r="O375" i="20"/>
  <c r="N375" i="20"/>
  <c r="M375" i="20"/>
  <c r="O523" i="20"/>
  <c r="L523" i="20"/>
  <c r="D524" i="20" s="1"/>
  <c r="N523" i="20"/>
  <c r="M523" i="20"/>
  <c r="L671" i="20"/>
  <c r="D672" i="20" s="1"/>
  <c r="O671" i="20"/>
  <c r="N671" i="20"/>
  <c r="M671" i="20"/>
  <c r="L819" i="20"/>
  <c r="D820" i="20" s="1"/>
  <c r="N819" i="20"/>
  <c r="M819" i="20"/>
  <c r="O819" i="20"/>
  <c r="L116" i="20"/>
  <c r="N116" i="20"/>
  <c r="M116" i="20"/>
  <c r="O116" i="20"/>
  <c r="N264" i="20"/>
  <c r="L264" i="20"/>
  <c r="D265" i="20" s="1"/>
  <c r="M264" i="20"/>
  <c r="O264" i="20"/>
  <c r="L412" i="20"/>
  <c r="D413" i="20" s="1"/>
  <c r="O412" i="20"/>
  <c r="N412" i="20"/>
  <c r="M412" i="20"/>
  <c r="O560" i="20"/>
  <c r="N560" i="20"/>
  <c r="L560" i="20"/>
  <c r="D561" i="20" s="1"/>
  <c r="M560" i="20"/>
  <c r="L708" i="20"/>
  <c r="D709" i="20" s="1"/>
  <c r="N708" i="20"/>
  <c r="M708" i="20"/>
  <c r="O708" i="20"/>
  <c r="N856" i="20"/>
  <c r="M856" i="20"/>
  <c r="L856" i="20"/>
  <c r="D857" i="20" s="1"/>
  <c r="O856" i="20"/>
  <c r="N5" i="20"/>
  <c r="E23" i="19" s="1"/>
  <c r="M5" i="20"/>
  <c r="L5" i="20"/>
  <c r="O5" i="20"/>
  <c r="F23" i="19" s="1"/>
  <c r="O301" i="20"/>
  <c r="N301" i="20"/>
  <c r="M301" i="20"/>
  <c r="L301" i="20"/>
  <c r="D302" i="20" s="1"/>
  <c r="N597" i="20"/>
  <c r="M597" i="20"/>
  <c r="L597" i="20"/>
  <c r="D598" i="20" s="1"/>
  <c r="O597" i="20"/>
  <c r="N745" i="20"/>
  <c r="M745" i="20"/>
  <c r="O745" i="20"/>
  <c r="L745" i="20"/>
  <c r="D746" i="20" s="1"/>
  <c r="O893" i="20"/>
  <c r="N893" i="20"/>
  <c r="L893" i="20"/>
  <c r="D894" i="20" s="1"/>
  <c r="M893" i="20"/>
  <c r="N42" i="20"/>
  <c r="E78" i="19" s="1"/>
  <c r="M42" i="20"/>
  <c r="D78" i="19" s="1"/>
  <c r="L42" i="20"/>
  <c r="O42" i="20"/>
  <c r="F78" i="19" s="1"/>
  <c r="N338" i="20"/>
  <c r="M338" i="20"/>
  <c r="L338" i="20"/>
  <c r="D339" i="20" s="1"/>
  <c r="O338" i="20"/>
  <c r="N634" i="20"/>
  <c r="M634" i="20"/>
  <c r="L634" i="20"/>
  <c r="D635" i="20" s="1"/>
  <c r="O634" i="20"/>
  <c r="N930" i="20"/>
  <c r="M930" i="20"/>
  <c r="L930" i="20"/>
  <c r="O930" i="20"/>
  <c r="AE39" i="11"/>
  <c r="T39" i="11" s="1"/>
  <c r="AE35" i="11"/>
  <c r="AC36" i="11"/>
  <c r="AA85" i="11"/>
  <c r="AC24" i="11"/>
  <c r="AE23" i="11"/>
  <c r="AC87" i="11"/>
  <c r="AE86" i="11"/>
  <c r="T86" i="11" s="1"/>
  <c r="AC13" i="11"/>
  <c r="AE12" i="11"/>
  <c r="AC17" i="11"/>
  <c r="AE16" i="11"/>
  <c r="AC28" i="11"/>
  <c r="AE27" i="11"/>
  <c r="N16" i="10"/>
  <c r="N44" i="10"/>
  <c r="N24" i="10"/>
  <c r="J6" i="20"/>
  <c r="P24" i="19"/>
  <c r="P25" i="19"/>
  <c r="P26" i="19"/>
  <c r="P27" i="19"/>
  <c r="P28" i="19"/>
  <c r="P31" i="19"/>
  <c r="P32" i="19"/>
  <c r="P33" i="19"/>
  <c r="P34" i="19"/>
  <c r="P35" i="19"/>
  <c r="P36" i="19"/>
  <c r="P37" i="19"/>
  <c r="P38" i="19"/>
  <c r="P39" i="19"/>
  <c r="P40" i="19"/>
  <c r="P41" i="19"/>
  <c r="P42" i="19"/>
  <c r="P43" i="19"/>
  <c r="P44" i="19"/>
  <c r="P45" i="19"/>
  <c r="P46" i="19"/>
  <c r="P47" i="19"/>
  <c r="P48" i="19"/>
  <c r="P49" i="19"/>
  <c r="P50" i="19"/>
  <c r="P51" i="19"/>
  <c r="P52" i="19"/>
  <c r="P53" i="19"/>
  <c r="P54" i="19"/>
  <c r="P55" i="19"/>
  <c r="P56" i="19"/>
  <c r="P57" i="19"/>
  <c r="P58" i="19"/>
  <c r="P59" i="19"/>
  <c r="P60" i="19"/>
  <c r="P61" i="19"/>
  <c r="P62" i="19"/>
  <c r="P63" i="19"/>
  <c r="P64" i="19"/>
  <c r="P65" i="19"/>
  <c r="P66" i="19"/>
  <c r="P67" i="19"/>
  <c r="P68" i="19"/>
  <c r="P69" i="19"/>
  <c r="P23" i="19"/>
  <c r="A133" i="19"/>
  <c r="J931" i="20"/>
  <c r="J894" i="20"/>
  <c r="J857" i="20"/>
  <c r="B816" i="20"/>
  <c r="J783" i="20"/>
  <c r="J746" i="20"/>
  <c r="B705" i="20"/>
  <c r="B668" i="20"/>
  <c r="B631" i="20"/>
  <c r="B594" i="20"/>
  <c r="B557" i="20"/>
  <c r="B520" i="20"/>
  <c r="J487" i="20"/>
  <c r="B446" i="20"/>
  <c r="B409" i="20"/>
  <c r="J376" i="20"/>
  <c r="J339" i="20"/>
  <c r="B298" i="20"/>
  <c r="J265" i="20"/>
  <c r="J228" i="20"/>
  <c r="B187" i="20"/>
  <c r="AD28" i="11" l="1"/>
  <c r="AD17" i="11"/>
  <c r="AD13" i="11"/>
  <c r="AD87" i="11"/>
  <c r="AD24" i="11"/>
  <c r="AD36" i="11"/>
  <c r="AC88" i="11"/>
  <c r="AD88" i="11" s="1"/>
  <c r="AE87" i="11"/>
  <c r="T87" i="11" s="1"/>
  <c r="N27" i="10"/>
  <c r="D303" i="20"/>
  <c r="D784" i="20"/>
  <c r="D710" i="20"/>
  <c r="D636" i="20"/>
  <c r="D562" i="20"/>
  <c r="D488" i="20"/>
  <c r="D414" i="20"/>
  <c r="D340" i="20"/>
  <c r="D266" i="20"/>
  <c r="D192" i="20"/>
  <c r="D747" i="20"/>
  <c r="D673" i="20"/>
  <c r="D599" i="20"/>
  <c r="D525" i="20"/>
  <c r="D451" i="20"/>
  <c r="E133" i="19"/>
  <c r="F133" i="19"/>
  <c r="B133" i="19"/>
  <c r="A188" i="19"/>
  <c r="F188" i="19" s="1"/>
  <c r="P133" i="19"/>
  <c r="D133" i="19"/>
  <c r="D23" i="19"/>
  <c r="D377" i="20"/>
  <c r="D229" i="20"/>
  <c r="B78" i="19"/>
  <c r="T21" i="11"/>
  <c r="D931" i="20"/>
  <c r="D895" i="20"/>
  <c r="D821" i="20"/>
  <c r="D858" i="20"/>
  <c r="D932" i="20"/>
  <c r="AA5" i="20"/>
  <c r="AB5" i="20"/>
  <c r="AA930" i="20"/>
  <c r="AA856" i="20"/>
  <c r="AA782" i="20"/>
  <c r="AA708" i="20"/>
  <c r="AA634" i="20"/>
  <c r="AA560" i="20"/>
  <c r="AA486" i="20"/>
  <c r="AA412" i="20"/>
  <c r="AA338" i="20"/>
  <c r="AA264" i="20"/>
  <c r="AA190" i="20"/>
  <c r="AA116" i="20"/>
  <c r="AA42" i="20"/>
  <c r="AA893" i="20"/>
  <c r="AA819" i="20"/>
  <c r="AA745" i="20"/>
  <c r="AA671" i="20"/>
  <c r="AA597" i="20"/>
  <c r="AA523" i="20"/>
  <c r="AA449" i="20"/>
  <c r="AA375" i="20"/>
  <c r="AA301" i="20"/>
  <c r="AA227" i="20"/>
  <c r="AA153" i="20"/>
  <c r="AA79" i="20"/>
  <c r="V5" i="20"/>
  <c r="U930" i="20"/>
  <c r="D938" i="20" s="1"/>
  <c r="T930" i="20"/>
  <c r="S930" i="20"/>
  <c r="D937" i="20" s="1"/>
  <c r="S856" i="20"/>
  <c r="D863" i="20" s="1"/>
  <c r="T856" i="20"/>
  <c r="U856" i="20"/>
  <c r="D864" i="20" s="1"/>
  <c r="U782" i="20"/>
  <c r="D790" i="20" s="1"/>
  <c r="S782" i="20"/>
  <c r="D789" i="20" s="1"/>
  <c r="T782" i="20"/>
  <c r="T708" i="20"/>
  <c r="S708" i="20"/>
  <c r="D715" i="20" s="1"/>
  <c r="U708" i="20"/>
  <c r="D716" i="20" s="1"/>
  <c r="U634" i="20"/>
  <c r="D642" i="20" s="1"/>
  <c r="T634" i="20"/>
  <c r="S634" i="20"/>
  <c r="D641" i="20" s="1"/>
  <c r="S560" i="20"/>
  <c r="D567" i="20" s="1"/>
  <c r="T560" i="20"/>
  <c r="U560" i="20"/>
  <c r="D568" i="20" s="1"/>
  <c r="U486" i="20"/>
  <c r="D494" i="20" s="1"/>
  <c r="S486" i="20"/>
  <c r="D493" i="20" s="1"/>
  <c r="T486" i="20"/>
  <c r="T412" i="20"/>
  <c r="S412" i="20"/>
  <c r="D419" i="20" s="1"/>
  <c r="U412" i="20"/>
  <c r="D420" i="20" s="1"/>
  <c r="V338" i="20"/>
  <c r="T338" i="20"/>
  <c r="U338" i="20"/>
  <c r="D346" i="20" s="1"/>
  <c r="S338" i="20"/>
  <c r="D345" i="20" s="1"/>
  <c r="V264" i="20"/>
  <c r="S264" i="20"/>
  <c r="D271" i="20" s="1"/>
  <c r="T264" i="20"/>
  <c r="U264" i="20"/>
  <c r="D272" i="20" s="1"/>
  <c r="V190" i="20"/>
  <c r="U190" i="20"/>
  <c r="D198" i="20" s="1"/>
  <c r="S190" i="20"/>
  <c r="D197" i="20" s="1"/>
  <c r="T190" i="20"/>
  <c r="V116" i="20"/>
  <c r="S116" i="20"/>
  <c r="D123" i="20" s="1"/>
  <c r="T116" i="20"/>
  <c r="U116" i="20"/>
  <c r="D124" i="20" s="1"/>
  <c r="V42" i="20"/>
  <c r="S42" i="20"/>
  <c r="D49" i="20" s="1"/>
  <c r="U42" i="20"/>
  <c r="D50" i="20" s="1"/>
  <c r="T42" i="20"/>
  <c r="T893" i="20"/>
  <c r="S893" i="20"/>
  <c r="D900" i="20" s="1"/>
  <c r="U893" i="20"/>
  <c r="D901" i="20" s="1"/>
  <c r="S819" i="20"/>
  <c r="D826" i="20" s="1"/>
  <c r="U819" i="20"/>
  <c r="D827" i="20" s="1"/>
  <c r="T819" i="20"/>
  <c r="T745" i="20"/>
  <c r="S745" i="20"/>
  <c r="D752" i="20" s="1"/>
  <c r="U745" i="20"/>
  <c r="D753" i="20" s="1"/>
  <c r="S671" i="20"/>
  <c r="D678" i="20" s="1"/>
  <c r="U671" i="20"/>
  <c r="D679" i="20" s="1"/>
  <c r="T671" i="20"/>
  <c r="T597" i="20"/>
  <c r="U597" i="20"/>
  <c r="D605" i="20" s="1"/>
  <c r="S597" i="20"/>
  <c r="D604" i="20" s="1"/>
  <c r="S523" i="20"/>
  <c r="D530" i="20" s="1"/>
  <c r="T523" i="20"/>
  <c r="U523" i="20"/>
  <c r="D531" i="20" s="1"/>
  <c r="T449" i="20"/>
  <c r="V449" i="20"/>
  <c r="S449" i="20"/>
  <c r="D456" i="20" s="1"/>
  <c r="U449" i="20"/>
  <c r="D457" i="20" s="1"/>
  <c r="T375" i="20"/>
  <c r="S375" i="20"/>
  <c r="D382" i="20" s="1"/>
  <c r="U375" i="20"/>
  <c r="D383" i="20" s="1"/>
  <c r="S301" i="20"/>
  <c r="D308" i="20" s="1"/>
  <c r="T301" i="20"/>
  <c r="U301" i="20"/>
  <c r="D309" i="20" s="1"/>
  <c r="V227" i="20"/>
  <c r="U227" i="20"/>
  <c r="D235" i="20" s="1"/>
  <c r="S227" i="20"/>
  <c r="D234" i="20" s="1"/>
  <c r="T227" i="20"/>
  <c r="V153" i="20"/>
  <c r="T153" i="20"/>
  <c r="U153" i="20"/>
  <c r="D161" i="20" s="1"/>
  <c r="S153" i="20"/>
  <c r="D160" i="20" s="1"/>
  <c r="V79" i="20"/>
  <c r="S79" i="20"/>
  <c r="D86" i="20" s="1"/>
  <c r="T79" i="20"/>
  <c r="U79" i="20"/>
  <c r="D87" i="20" s="1"/>
  <c r="B927" i="20"/>
  <c r="B853" i="20"/>
  <c r="J450" i="20"/>
  <c r="J598" i="20"/>
  <c r="B261" i="20"/>
  <c r="B335" i="20"/>
  <c r="J561" i="20"/>
  <c r="J709" i="20"/>
  <c r="B224" i="20"/>
  <c r="B372" i="20"/>
  <c r="J635" i="20"/>
  <c r="B779" i="20"/>
  <c r="J191" i="20"/>
  <c r="B483" i="20"/>
  <c r="J820" i="20"/>
  <c r="B890" i="20"/>
  <c r="J672" i="20"/>
  <c r="B742" i="20"/>
  <c r="J524" i="20"/>
  <c r="J413" i="20"/>
  <c r="J302" i="20"/>
  <c r="D155" i="20"/>
  <c r="D154" i="20"/>
  <c r="B150" i="20"/>
  <c r="D118" i="20"/>
  <c r="D117" i="20"/>
  <c r="B113" i="20"/>
  <c r="D81" i="20"/>
  <c r="D80" i="20"/>
  <c r="B76" i="20"/>
  <c r="D44" i="20"/>
  <c r="D43" i="20"/>
  <c r="B39" i="20"/>
  <c r="D7" i="20"/>
  <c r="B2" i="20"/>
  <c r="E839" i="20" l="1"/>
  <c r="G839" i="20" s="1"/>
  <c r="E837" i="20"/>
  <c r="G837" i="20" s="1"/>
  <c r="E840" i="20"/>
  <c r="G840" i="20" s="1"/>
  <c r="E838" i="20"/>
  <c r="G838" i="20" s="1"/>
  <c r="E951" i="20"/>
  <c r="G951" i="20" s="1"/>
  <c r="E949" i="20"/>
  <c r="G949" i="20" s="1"/>
  <c r="E948" i="20"/>
  <c r="G948" i="20" s="1"/>
  <c r="E950" i="20"/>
  <c r="G950" i="20" s="1"/>
  <c r="E914" i="20"/>
  <c r="G914" i="20" s="1"/>
  <c r="E912" i="20"/>
  <c r="G912" i="20" s="1"/>
  <c r="E913" i="20"/>
  <c r="G913" i="20" s="1"/>
  <c r="E911" i="20"/>
  <c r="G911" i="20" s="1"/>
  <c r="E803" i="20"/>
  <c r="G803" i="20" s="1"/>
  <c r="E801" i="20"/>
  <c r="G801" i="20" s="1"/>
  <c r="E802" i="20"/>
  <c r="G802" i="20" s="1"/>
  <c r="E800" i="20"/>
  <c r="G800" i="20" s="1"/>
  <c r="E876" i="20"/>
  <c r="G876" i="20" s="1"/>
  <c r="E874" i="20"/>
  <c r="G874" i="20" s="1"/>
  <c r="E877" i="20"/>
  <c r="G877" i="20" s="1"/>
  <c r="E875" i="20"/>
  <c r="G875" i="20" s="1"/>
  <c r="E766" i="20"/>
  <c r="G766" i="20" s="1"/>
  <c r="E764" i="20"/>
  <c r="G764" i="20" s="1"/>
  <c r="E765" i="20"/>
  <c r="G765" i="20" s="1"/>
  <c r="E763" i="20"/>
  <c r="G763" i="20" s="1"/>
  <c r="E729" i="20"/>
  <c r="G729" i="20" s="1"/>
  <c r="E727" i="20"/>
  <c r="G727" i="20" s="1"/>
  <c r="E728" i="20"/>
  <c r="G728" i="20" s="1"/>
  <c r="E726" i="20"/>
  <c r="G726" i="20" s="1"/>
  <c r="E692" i="20"/>
  <c r="G692" i="20" s="1"/>
  <c r="E690" i="20"/>
  <c r="G690" i="20" s="1"/>
  <c r="E691" i="20"/>
  <c r="G691" i="20" s="1"/>
  <c r="E689" i="20"/>
  <c r="G689" i="20" s="1"/>
  <c r="E654" i="20"/>
  <c r="G654" i="20" s="1"/>
  <c r="E652" i="20"/>
  <c r="G652" i="20" s="1"/>
  <c r="E655" i="20"/>
  <c r="G655" i="20" s="1"/>
  <c r="E653" i="20"/>
  <c r="G653" i="20" s="1"/>
  <c r="E618" i="20"/>
  <c r="G618" i="20" s="1"/>
  <c r="E616" i="20"/>
  <c r="G616" i="20" s="1"/>
  <c r="E617" i="20"/>
  <c r="G617" i="20" s="1"/>
  <c r="E615" i="20"/>
  <c r="G615" i="20" s="1"/>
  <c r="E580" i="20"/>
  <c r="G580" i="20" s="1"/>
  <c r="E578" i="20"/>
  <c r="G578" i="20" s="1"/>
  <c r="E581" i="20"/>
  <c r="G581" i="20" s="1"/>
  <c r="E579" i="20"/>
  <c r="G579" i="20" s="1"/>
  <c r="E544" i="20"/>
  <c r="G544" i="20" s="1"/>
  <c r="E542" i="20"/>
  <c r="G542" i="20" s="1"/>
  <c r="E543" i="20"/>
  <c r="G543" i="20" s="1"/>
  <c r="E541" i="20"/>
  <c r="G541" i="20" s="1"/>
  <c r="E507" i="20"/>
  <c r="G507" i="20" s="1"/>
  <c r="E505" i="20"/>
  <c r="G505" i="20" s="1"/>
  <c r="E506" i="20"/>
  <c r="G506" i="20" s="1"/>
  <c r="E504" i="20"/>
  <c r="G504" i="20" s="1"/>
  <c r="E463" i="20"/>
  <c r="G463" i="20" s="1"/>
  <c r="E462" i="20"/>
  <c r="G462" i="20" s="1"/>
  <c r="E470" i="20"/>
  <c r="G470" i="20" s="1"/>
  <c r="E468" i="20"/>
  <c r="G468" i="20" s="1"/>
  <c r="E469" i="20"/>
  <c r="G469" i="20" s="1"/>
  <c r="E467" i="20"/>
  <c r="G467" i="20" s="1"/>
  <c r="E433" i="20"/>
  <c r="G433" i="20" s="1"/>
  <c r="E431" i="20"/>
  <c r="G431" i="20" s="1"/>
  <c r="E432" i="20"/>
  <c r="G432" i="20" s="1"/>
  <c r="E430" i="20"/>
  <c r="G430" i="20" s="1"/>
  <c r="E395" i="20"/>
  <c r="G395" i="20" s="1"/>
  <c r="E393" i="20"/>
  <c r="G393" i="20" s="1"/>
  <c r="E396" i="20"/>
  <c r="G396" i="20" s="1"/>
  <c r="E394" i="20"/>
  <c r="G394" i="20" s="1"/>
  <c r="E358" i="20"/>
  <c r="G358" i="20" s="1"/>
  <c r="E356" i="20"/>
  <c r="G356" i="20" s="1"/>
  <c r="E359" i="20"/>
  <c r="G359" i="20" s="1"/>
  <c r="E357" i="20"/>
  <c r="G357" i="20" s="1"/>
  <c r="E352" i="20"/>
  <c r="G352" i="20" s="1"/>
  <c r="E351" i="20"/>
  <c r="G351" i="20" s="1"/>
  <c r="E322" i="20"/>
  <c r="G322" i="20" s="1"/>
  <c r="E320" i="20"/>
  <c r="G320" i="20" s="1"/>
  <c r="E321" i="20"/>
  <c r="G321" i="20" s="1"/>
  <c r="E319" i="20"/>
  <c r="G319" i="20" s="1"/>
  <c r="E278" i="20"/>
  <c r="G278" i="20" s="1"/>
  <c r="E277" i="20"/>
  <c r="G277" i="20" s="1"/>
  <c r="E285" i="20"/>
  <c r="G285" i="20" s="1"/>
  <c r="E283" i="20"/>
  <c r="G283" i="20" s="1"/>
  <c r="E284" i="20"/>
  <c r="G284" i="20" s="1"/>
  <c r="E282" i="20"/>
  <c r="G282" i="20" s="1"/>
  <c r="E248" i="20"/>
  <c r="G248" i="20" s="1"/>
  <c r="E246" i="20"/>
  <c r="G246" i="20" s="1"/>
  <c r="E247" i="20"/>
  <c r="G247" i="20" s="1"/>
  <c r="E245" i="20"/>
  <c r="G245" i="20" s="1"/>
  <c r="E241" i="20"/>
  <c r="G241" i="20" s="1"/>
  <c r="E240" i="20"/>
  <c r="G240" i="20" s="1"/>
  <c r="E204" i="20"/>
  <c r="G204" i="20" s="1"/>
  <c r="E203" i="20"/>
  <c r="G203" i="20" s="1"/>
  <c r="E211" i="20"/>
  <c r="G211" i="20" s="1"/>
  <c r="E209" i="20"/>
  <c r="G209" i="20" s="1"/>
  <c r="E210" i="20"/>
  <c r="G210" i="20" s="1"/>
  <c r="E208" i="20"/>
  <c r="G208" i="20" s="1"/>
  <c r="E174" i="20"/>
  <c r="G174" i="20" s="1"/>
  <c r="E172" i="20"/>
  <c r="G172" i="20" s="1"/>
  <c r="E173" i="20"/>
  <c r="G173" i="20" s="1"/>
  <c r="E171" i="20"/>
  <c r="G171" i="20" s="1"/>
  <c r="E167" i="20"/>
  <c r="G167" i="20" s="1"/>
  <c r="E166" i="20"/>
  <c r="G166" i="20" s="1"/>
  <c r="E130" i="20"/>
  <c r="G130" i="20" s="1"/>
  <c r="E129" i="20"/>
  <c r="G129" i="20" s="1"/>
  <c r="E137" i="20"/>
  <c r="G137" i="20" s="1"/>
  <c r="E135" i="20"/>
  <c r="G135" i="20" s="1"/>
  <c r="E136" i="20"/>
  <c r="G136" i="20" s="1"/>
  <c r="E134" i="20"/>
  <c r="G134" i="20" s="1"/>
  <c r="E93" i="20"/>
  <c r="G93" i="20" s="1"/>
  <c r="E92" i="20"/>
  <c r="G92" i="20" s="1"/>
  <c r="E100" i="20"/>
  <c r="G100" i="20" s="1"/>
  <c r="E98" i="20"/>
  <c r="G98" i="20" s="1"/>
  <c r="E99" i="20"/>
  <c r="G99" i="20" s="1"/>
  <c r="E97" i="20"/>
  <c r="G97" i="20" s="1"/>
  <c r="E63" i="20"/>
  <c r="G63" i="20" s="1"/>
  <c r="E61" i="20"/>
  <c r="G61" i="20" s="1"/>
  <c r="E62" i="20"/>
  <c r="G62" i="20" s="1"/>
  <c r="E60" i="20"/>
  <c r="G60" i="20" s="1"/>
  <c r="E56" i="20"/>
  <c r="G56" i="20" s="1"/>
  <c r="E55" i="20"/>
  <c r="G55" i="20" s="1"/>
  <c r="V560" i="20"/>
  <c r="V634" i="20"/>
  <c r="V708" i="20"/>
  <c r="V523" i="20"/>
  <c r="V301" i="20"/>
  <c r="V412" i="20"/>
  <c r="N30" i="10"/>
  <c r="T23" i="11"/>
  <c r="D188" i="19"/>
  <c r="A243" i="19"/>
  <c r="A298" i="19" s="1"/>
  <c r="P188" i="19"/>
  <c r="E188" i="19"/>
  <c r="B188" i="19"/>
  <c r="J82" i="19"/>
  <c r="I82" i="19"/>
  <c r="K82" i="19"/>
  <c r="M82" i="19"/>
  <c r="M88" i="19"/>
  <c r="I88" i="19"/>
  <c r="J88" i="19"/>
  <c r="K88" i="19"/>
  <c r="K78" i="19"/>
  <c r="J78" i="19"/>
  <c r="I78" i="19"/>
  <c r="M78" i="19"/>
  <c r="I143" i="19"/>
  <c r="J143" i="19"/>
  <c r="K143" i="19"/>
  <c r="G78" i="19"/>
  <c r="G133" i="19"/>
  <c r="J154" i="20"/>
  <c r="J117" i="20"/>
  <c r="J80" i="20"/>
  <c r="J43" i="20"/>
  <c r="G20" i="20"/>
  <c r="E722" i="20" l="1"/>
  <c r="G722" i="20" s="1"/>
  <c r="E721" i="20"/>
  <c r="G721" i="20" s="1"/>
  <c r="E648" i="20"/>
  <c r="G648" i="20" s="1"/>
  <c r="E647" i="20"/>
  <c r="G647" i="20" s="1"/>
  <c r="E574" i="20"/>
  <c r="G574" i="20" s="1"/>
  <c r="E573" i="20"/>
  <c r="G573" i="20" s="1"/>
  <c r="E537" i="20"/>
  <c r="G537" i="20" s="1"/>
  <c r="E536" i="20"/>
  <c r="G536" i="20" s="1"/>
  <c r="E426" i="20"/>
  <c r="G426" i="20" s="1"/>
  <c r="E425" i="20"/>
  <c r="G425" i="20" s="1"/>
  <c r="E315" i="20"/>
  <c r="G315" i="20" s="1"/>
  <c r="E314" i="20"/>
  <c r="G314" i="20" s="1"/>
  <c r="N33" i="10"/>
  <c r="M188" i="19"/>
  <c r="G188" i="19"/>
  <c r="K188" i="19"/>
  <c r="I188" i="19"/>
  <c r="J188" i="19"/>
  <c r="L82" i="19"/>
  <c r="N82" i="19" s="1"/>
  <c r="L88" i="19"/>
  <c r="N88" i="19" s="1"/>
  <c r="L78" i="19"/>
  <c r="L143" i="19"/>
  <c r="N143" i="19" s="1"/>
  <c r="P298" i="19"/>
  <c r="A353" i="19"/>
  <c r="D298" i="19"/>
  <c r="E298" i="19"/>
  <c r="F298" i="19"/>
  <c r="B298" i="19"/>
  <c r="P243" i="19"/>
  <c r="D243" i="19"/>
  <c r="E243" i="19"/>
  <c r="F243" i="19"/>
  <c r="B243" i="19"/>
  <c r="Q22" i="11" l="1"/>
  <c r="Q24" i="11" s="1"/>
  <c r="Q211" i="11" s="1"/>
  <c r="T11" i="11"/>
  <c r="L188" i="19"/>
  <c r="N188" i="19" s="1"/>
  <c r="N78" i="19"/>
  <c r="M308" i="19"/>
  <c r="I308" i="19"/>
  <c r="M302" i="19"/>
  <c r="I302" i="19"/>
  <c r="J308" i="19"/>
  <c r="J302" i="19"/>
  <c r="K308" i="19"/>
  <c r="K302" i="19"/>
  <c r="M247" i="19"/>
  <c r="I247" i="19"/>
  <c r="M243" i="19"/>
  <c r="I243" i="19"/>
  <c r="J247" i="19"/>
  <c r="J243" i="19"/>
  <c r="K247" i="19"/>
  <c r="K243" i="19"/>
  <c r="G298" i="19"/>
  <c r="P353" i="19"/>
  <c r="A408" i="19"/>
  <c r="D353" i="19"/>
  <c r="E353" i="19"/>
  <c r="F353" i="19"/>
  <c r="B353" i="19"/>
  <c r="G243" i="19"/>
  <c r="P211" i="11" l="1"/>
  <c r="AC89" i="11"/>
  <c r="AD89" i="11" s="1"/>
  <c r="R24" i="10" s="1"/>
  <c r="G141" i="26" s="1"/>
  <c r="V375" i="20"/>
  <c r="T25" i="11"/>
  <c r="T12" i="11"/>
  <c r="M353" i="19"/>
  <c r="I353" i="19"/>
  <c r="J353" i="19"/>
  <c r="K353" i="19"/>
  <c r="L308" i="19"/>
  <c r="N308" i="19" s="1"/>
  <c r="L302" i="19"/>
  <c r="N302" i="19" s="1"/>
  <c r="L243" i="19"/>
  <c r="N243" i="19" s="1"/>
  <c r="L247" i="19"/>
  <c r="N247" i="19" s="1"/>
  <c r="G353" i="19"/>
  <c r="P408" i="19"/>
  <c r="A463" i="19"/>
  <c r="D408" i="19"/>
  <c r="E408" i="19"/>
  <c r="F408" i="19"/>
  <c r="B408" i="19"/>
  <c r="E389" i="20" l="1"/>
  <c r="G389" i="20" s="1"/>
  <c r="E388" i="20"/>
  <c r="G388" i="20" s="1"/>
  <c r="AC90" i="11"/>
  <c r="AD90" i="11" s="1"/>
  <c r="AE89" i="11"/>
  <c r="AA89" i="11"/>
  <c r="V486" i="20"/>
  <c r="T27" i="11"/>
  <c r="M408" i="19"/>
  <c r="I408" i="19"/>
  <c r="J408" i="19"/>
  <c r="K408" i="19"/>
  <c r="L353" i="19"/>
  <c r="N353" i="19" s="1"/>
  <c r="G408" i="19"/>
  <c r="P463" i="19"/>
  <c r="A518" i="19"/>
  <c r="D463" i="19"/>
  <c r="E463" i="19"/>
  <c r="F463" i="19"/>
  <c r="B463" i="19"/>
  <c r="E500" i="20" l="1"/>
  <c r="G500" i="20" s="1"/>
  <c r="E499" i="20"/>
  <c r="G499" i="20" s="1"/>
  <c r="T89" i="11"/>
  <c r="I473" i="19"/>
  <c r="M467" i="19"/>
  <c r="I467" i="19"/>
  <c r="J473" i="19"/>
  <c r="J467" i="19"/>
  <c r="K473" i="19"/>
  <c r="K467" i="19"/>
  <c r="L408" i="19"/>
  <c r="N408" i="19" s="1"/>
  <c r="G463" i="19"/>
  <c r="P518" i="19"/>
  <c r="A573" i="19"/>
  <c r="D518" i="19"/>
  <c r="E518" i="19"/>
  <c r="F518" i="19"/>
  <c r="B518" i="19"/>
  <c r="T15" i="11" l="1"/>
  <c r="T29" i="11"/>
  <c r="M528" i="19"/>
  <c r="I528" i="19"/>
  <c r="M522" i="19"/>
  <c r="I522" i="19"/>
  <c r="M518" i="19"/>
  <c r="I518" i="19"/>
  <c r="J528" i="19"/>
  <c r="J522" i="19"/>
  <c r="J518" i="19"/>
  <c r="K528" i="19"/>
  <c r="K522" i="19"/>
  <c r="K518" i="19"/>
  <c r="L467" i="19"/>
  <c r="N467" i="19" s="1"/>
  <c r="L473" i="19"/>
  <c r="N473" i="19" s="1"/>
  <c r="G518" i="19"/>
  <c r="D573" i="19"/>
  <c r="P573" i="19"/>
  <c r="F573" i="19"/>
  <c r="B573" i="19"/>
  <c r="E573" i="19"/>
  <c r="A628" i="19"/>
  <c r="O4" i="10"/>
  <c r="P1855" i="20" l="1"/>
  <c r="D1858" i="20" s="1"/>
  <c r="P1966" i="20"/>
  <c r="D1969" i="20" s="1"/>
  <c r="T30" i="11"/>
  <c r="T16" i="11"/>
  <c r="M573" i="19"/>
  <c r="I573" i="19"/>
  <c r="J573" i="19"/>
  <c r="K573" i="19"/>
  <c r="L528" i="19"/>
  <c r="N528" i="19" s="1"/>
  <c r="L518" i="19"/>
  <c r="N518" i="19" s="1"/>
  <c r="L522" i="19"/>
  <c r="N522" i="19" s="1"/>
  <c r="A683" i="19"/>
  <c r="E628" i="19"/>
  <c r="D628" i="19"/>
  <c r="B628" i="19"/>
  <c r="P628" i="19"/>
  <c r="F628" i="19"/>
  <c r="G573" i="19"/>
  <c r="P597" i="20"/>
  <c r="D600" i="20" s="1"/>
  <c r="P42" i="20"/>
  <c r="D45" i="20" s="1"/>
  <c r="P634" i="20"/>
  <c r="D637" i="20" s="1"/>
  <c r="P1078" i="20"/>
  <c r="D1081" i="20" s="1"/>
  <c r="P375" i="20"/>
  <c r="D378" i="20" s="1"/>
  <c r="P116" i="20"/>
  <c r="D119" i="20" s="1"/>
  <c r="P856" i="20"/>
  <c r="D859" i="20" s="1"/>
  <c r="P1152" i="20"/>
  <c r="D1155" i="20" s="1"/>
  <c r="P1596" i="20"/>
  <c r="D1599" i="20" s="1"/>
  <c r="P153" i="20"/>
  <c r="D156" i="20" s="1"/>
  <c r="P745" i="20"/>
  <c r="D748" i="20" s="1"/>
  <c r="P190" i="20"/>
  <c r="D193" i="20" s="1"/>
  <c r="P782" i="20"/>
  <c r="D785" i="20" s="1"/>
  <c r="P523" i="20"/>
  <c r="D526" i="20" s="1"/>
  <c r="P264" i="20"/>
  <c r="D267" i="20" s="1"/>
  <c r="P412" i="20"/>
  <c r="D415" i="20" s="1"/>
  <c r="P1744" i="20"/>
  <c r="D1747" i="20" s="1"/>
  <c r="P301" i="20"/>
  <c r="D304" i="20" s="1"/>
  <c r="P893" i="20"/>
  <c r="D896" i="20" s="1"/>
  <c r="P338" i="20"/>
  <c r="D341" i="20" s="1"/>
  <c r="P930" i="20"/>
  <c r="D933" i="20" s="1"/>
  <c r="P79" i="20"/>
  <c r="D82" i="20" s="1"/>
  <c r="P671" i="20"/>
  <c r="D674" i="20" s="1"/>
  <c r="P560" i="20"/>
  <c r="D563" i="20" s="1"/>
  <c r="P1448" i="20"/>
  <c r="D1451" i="20" s="1"/>
  <c r="P1300" i="20"/>
  <c r="D1303" i="20" s="1"/>
  <c r="P449" i="20"/>
  <c r="D452" i="20" s="1"/>
  <c r="P486" i="20"/>
  <c r="D489" i="20" s="1"/>
  <c r="P227" i="20"/>
  <c r="D230" i="20" s="1"/>
  <c r="P819" i="20"/>
  <c r="D822" i="20" s="1"/>
  <c r="P708" i="20"/>
  <c r="D711" i="20" s="1"/>
  <c r="P1041" i="20"/>
  <c r="D1044" i="20" s="1"/>
  <c r="P967" i="20"/>
  <c r="D970" i="20" s="1"/>
  <c r="P5" i="20"/>
  <c r="G23" i="19" s="1"/>
  <c r="P1818" i="20"/>
  <c r="D1821" i="20" s="1"/>
  <c r="P1559" i="20"/>
  <c r="D1562" i="20" s="1"/>
  <c r="P1485" i="20"/>
  <c r="D1488" i="20" s="1"/>
  <c r="P1004" i="20"/>
  <c r="D1007" i="20" s="1"/>
  <c r="P1411" i="20"/>
  <c r="D1414" i="20" s="1"/>
  <c r="P1226" i="20"/>
  <c r="D1229" i="20" s="1"/>
  <c r="P1781" i="20"/>
  <c r="D1784" i="20" s="1"/>
  <c r="P1707" i="20"/>
  <c r="D1710" i="20" s="1"/>
  <c r="P1374" i="20"/>
  <c r="D1377" i="20" s="1"/>
  <c r="P1522" i="20"/>
  <c r="D1525" i="20" s="1"/>
  <c r="P1633" i="20"/>
  <c r="D1636" i="20" s="1"/>
  <c r="P1670" i="20"/>
  <c r="D1673" i="20" s="1"/>
  <c r="P1337" i="20"/>
  <c r="D1340" i="20" s="1"/>
  <c r="P1189" i="20"/>
  <c r="D1192" i="20" s="1"/>
  <c r="P1263" i="20"/>
  <c r="D1266" i="20" s="1"/>
  <c r="P1115" i="20"/>
  <c r="D1118" i="20" s="1"/>
  <c r="N50" i="13"/>
  <c r="N49" i="13"/>
  <c r="N48" i="13"/>
  <c r="N47" i="13"/>
  <c r="N46" i="13"/>
  <c r="N45" i="13"/>
  <c r="N44" i="13"/>
  <c r="N43" i="13"/>
  <c r="N42" i="13"/>
  <c r="N41" i="13"/>
  <c r="N40" i="13"/>
  <c r="N39" i="13"/>
  <c r="N38" i="13"/>
  <c r="N37" i="13"/>
  <c r="N36" i="13"/>
  <c r="N35" i="13"/>
  <c r="N34" i="13"/>
  <c r="N33" i="13"/>
  <c r="N32" i="13"/>
  <c r="N31" i="13"/>
  <c r="N30" i="13"/>
  <c r="N29" i="13"/>
  <c r="N28" i="13"/>
  <c r="N27" i="13"/>
  <c r="N26" i="13"/>
  <c r="N25" i="13"/>
  <c r="N24" i="13"/>
  <c r="N23" i="13"/>
  <c r="N22" i="13"/>
  <c r="N21" i="13"/>
  <c r="N20" i="13"/>
  <c r="N19" i="13"/>
  <c r="N18" i="13"/>
  <c r="N17" i="13"/>
  <c r="N16" i="13"/>
  <c r="N15" i="13"/>
  <c r="N14" i="13"/>
  <c r="N13" i="13"/>
  <c r="N12" i="13"/>
  <c r="N11" i="13"/>
  <c r="N10" i="13"/>
  <c r="N9" i="13"/>
  <c r="N8" i="13"/>
  <c r="N7" i="13"/>
  <c r="N6" i="13"/>
  <c r="N5" i="13"/>
  <c r="O4" i="13"/>
  <c r="J4" i="13"/>
  <c r="I4" i="13"/>
  <c r="H4" i="13"/>
  <c r="E1978" i="20" l="1"/>
  <c r="G1978" i="20" s="1"/>
  <c r="E1982" i="20"/>
  <c r="G1982" i="20" s="1"/>
  <c r="E1983" i="20"/>
  <c r="G1983" i="20" s="1"/>
  <c r="E1867" i="20"/>
  <c r="G1867" i="20" s="1"/>
  <c r="E1871" i="20"/>
  <c r="G1871" i="20" s="1"/>
  <c r="G1875" i="20"/>
  <c r="G1873" i="20"/>
  <c r="G1874" i="20"/>
  <c r="G1876" i="20"/>
  <c r="E1830" i="20"/>
  <c r="G1830" i="20" s="1"/>
  <c r="E1834" i="20"/>
  <c r="G1834" i="20" s="1"/>
  <c r="E1835" i="20"/>
  <c r="G1835" i="20" s="1"/>
  <c r="E1793" i="20"/>
  <c r="G1793" i="20" s="1"/>
  <c r="E1797" i="20"/>
  <c r="G1797" i="20" s="1"/>
  <c r="G1799" i="20"/>
  <c r="G1801" i="20"/>
  <c r="G1802" i="20"/>
  <c r="G1800" i="20"/>
  <c r="E1756" i="20"/>
  <c r="G1756" i="20" s="1"/>
  <c r="E1760" i="20"/>
  <c r="G1760" i="20" s="1"/>
  <c r="E1761" i="20"/>
  <c r="G1761" i="20" s="1"/>
  <c r="E1719" i="20"/>
  <c r="G1719" i="20" s="1"/>
  <c r="E1723" i="20"/>
  <c r="G1723" i="20" s="1"/>
  <c r="E1724" i="20"/>
  <c r="G1724" i="20" s="1"/>
  <c r="E1682" i="20"/>
  <c r="G1682" i="20" s="1"/>
  <c r="E1686" i="20"/>
  <c r="G1686" i="20" s="1"/>
  <c r="E1687" i="20"/>
  <c r="G1687" i="20" s="1"/>
  <c r="E1645" i="20"/>
  <c r="G1645" i="20" s="1"/>
  <c r="E1649" i="20"/>
  <c r="G1649" i="20" s="1"/>
  <c r="G1652" i="20"/>
  <c r="G1653" i="20"/>
  <c r="G1654" i="20"/>
  <c r="G1651" i="20"/>
  <c r="E1608" i="20"/>
  <c r="G1608" i="20" s="1"/>
  <c r="E1612" i="20"/>
  <c r="G1612" i="20" s="1"/>
  <c r="G1617" i="20"/>
  <c r="G1614" i="20"/>
  <c r="G1615" i="20"/>
  <c r="G1616" i="20"/>
  <c r="E1571" i="20"/>
  <c r="G1571" i="20" s="1"/>
  <c r="E1575" i="20"/>
  <c r="G1575" i="20" s="1"/>
  <c r="G1579" i="20"/>
  <c r="G1577" i="20"/>
  <c r="G1580" i="20"/>
  <c r="G1578" i="20"/>
  <c r="E1534" i="20"/>
  <c r="G1534" i="20" s="1"/>
  <c r="E1538" i="20"/>
  <c r="G1538" i="20" s="1"/>
  <c r="E1539" i="20"/>
  <c r="G1539" i="20" s="1"/>
  <c r="E1497" i="20"/>
  <c r="G1497" i="20" s="1"/>
  <c r="E1501" i="20"/>
  <c r="G1501" i="20" s="1"/>
  <c r="E1502" i="20"/>
  <c r="G1502" i="20" s="1"/>
  <c r="E1460" i="20"/>
  <c r="G1460" i="20" s="1"/>
  <c r="E1464" i="20"/>
  <c r="G1464" i="20" s="1"/>
  <c r="E1465" i="20"/>
  <c r="G1465" i="20" s="1"/>
  <c r="E1423" i="20"/>
  <c r="G1423" i="20" s="1"/>
  <c r="E1427" i="20"/>
  <c r="G1427" i="20" s="1"/>
  <c r="E1428" i="20"/>
  <c r="G1428" i="20" s="1"/>
  <c r="E1386" i="20"/>
  <c r="G1386" i="20" s="1"/>
  <c r="E1390" i="20"/>
  <c r="G1390" i="20" s="1"/>
  <c r="E1391" i="20"/>
  <c r="G1391" i="20" s="1"/>
  <c r="E1349" i="20"/>
  <c r="G1349" i="20" s="1"/>
  <c r="E1353" i="20"/>
  <c r="G1353" i="20" s="1"/>
  <c r="E1354" i="20"/>
  <c r="G1354" i="20" s="1"/>
  <c r="E1312" i="20"/>
  <c r="G1312" i="20" s="1"/>
  <c r="E1316" i="20"/>
  <c r="G1316" i="20" s="1"/>
  <c r="E1317" i="20"/>
  <c r="G1317" i="20" s="1"/>
  <c r="E1275" i="20"/>
  <c r="G1275" i="20" s="1"/>
  <c r="E1279" i="20"/>
  <c r="G1279" i="20" s="1"/>
  <c r="E1280" i="20"/>
  <c r="G1280" i="20" s="1"/>
  <c r="E1238" i="20"/>
  <c r="G1238" i="20" s="1"/>
  <c r="E1242" i="20"/>
  <c r="G1242" i="20" s="1"/>
  <c r="E1243" i="20"/>
  <c r="G1243" i="20" s="1"/>
  <c r="E1201" i="20"/>
  <c r="G1201" i="20" s="1"/>
  <c r="E1205" i="20"/>
  <c r="G1205" i="20" s="1"/>
  <c r="E1206" i="20"/>
  <c r="G1206" i="20" s="1"/>
  <c r="E1164" i="20"/>
  <c r="G1164" i="20" s="1"/>
  <c r="E1168" i="20"/>
  <c r="G1168" i="20" s="1"/>
  <c r="E1169" i="20"/>
  <c r="G1169" i="20" s="1"/>
  <c r="E1127" i="20"/>
  <c r="G1127" i="20" s="1"/>
  <c r="E1131" i="20"/>
  <c r="G1131" i="20" s="1"/>
  <c r="E1132" i="20"/>
  <c r="G1132" i="20" s="1"/>
  <c r="E1016" i="20"/>
  <c r="G1016" i="20" s="1"/>
  <c r="E1020" i="20"/>
  <c r="G1020" i="20" s="1"/>
  <c r="E1021" i="20"/>
  <c r="G1021" i="20" s="1"/>
  <c r="E835" i="20"/>
  <c r="G835" i="20" s="1"/>
  <c r="E831" i="20"/>
  <c r="G831" i="20" s="1"/>
  <c r="E836" i="20"/>
  <c r="G836" i="20" s="1"/>
  <c r="E983" i="20"/>
  <c r="G983" i="20" s="1"/>
  <c r="E979" i="20"/>
  <c r="G979" i="20" s="1"/>
  <c r="E984" i="20"/>
  <c r="G984" i="20" s="1"/>
  <c r="E794" i="20"/>
  <c r="G794" i="20" s="1"/>
  <c r="E798" i="20"/>
  <c r="G798" i="20" s="1"/>
  <c r="E799" i="20"/>
  <c r="G799" i="20" s="1"/>
  <c r="E1053" i="20"/>
  <c r="G1053" i="20" s="1"/>
  <c r="E1057" i="20"/>
  <c r="G1057" i="20" s="1"/>
  <c r="E1058" i="20"/>
  <c r="G1058" i="20" s="1"/>
  <c r="E1090" i="20"/>
  <c r="G1090" i="20" s="1"/>
  <c r="E1094" i="20"/>
  <c r="G1094" i="20" s="1"/>
  <c r="E1095" i="20"/>
  <c r="G1095" i="20" s="1"/>
  <c r="E942" i="20"/>
  <c r="G942" i="20" s="1"/>
  <c r="E946" i="20"/>
  <c r="G946" i="20" s="1"/>
  <c r="E947" i="20"/>
  <c r="G947" i="20" s="1"/>
  <c r="E905" i="20"/>
  <c r="G905" i="20" s="1"/>
  <c r="E909" i="20"/>
  <c r="G909" i="20" s="1"/>
  <c r="E910" i="20"/>
  <c r="G910" i="20" s="1"/>
  <c r="E868" i="20"/>
  <c r="G868" i="20" s="1"/>
  <c r="E872" i="20"/>
  <c r="G872" i="20" s="1"/>
  <c r="E873" i="20"/>
  <c r="G873" i="20" s="1"/>
  <c r="E757" i="20"/>
  <c r="G757" i="20" s="1"/>
  <c r="E761" i="20"/>
  <c r="G761" i="20" s="1"/>
  <c r="E762" i="20"/>
  <c r="G762" i="20" s="1"/>
  <c r="E720" i="20"/>
  <c r="G720" i="20" s="1"/>
  <c r="E724" i="20"/>
  <c r="G724" i="20" s="1"/>
  <c r="E725" i="20"/>
  <c r="G725" i="20" s="1"/>
  <c r="E683" i="20"/>
  <c r="G683" i="20" s="1"/>
  <c r="E687" i="20"/>
  <c r="G687" i="20" s="1"/>
  <c r="E688" i="20"/>
  <c r="G688" i="20" s="1"/>
  <c r="E646" i="20"/>
  <c r="G646" i="20" s="1"/>
  <c r="E650" i="20"/>
  <c r="G650" i="20" s="1"/>
  <c r="E651" i="20"/>
  <c r="G651" i="20" s="1"/>
  <c r="E609" i="20"/>
  <c r="G609" i="20" s="1"/>
  <c r="E613" i="20"/>
  <c r="G613" i="20" s="1"/>
  <c r="E614" i="20"/>
  <c r="G614" i="20" s="1"/>
  <c r="E572" i="20"/>
  <c r="G572" i="20" s="1"/>
  <c r="E576" i="20"/>
  <c r="G576" i="20" s="1"/>
  <c r="E577" i="20"/>
  <c r="G577" i="20" s="1"/>
  <c r="E535" i="20"/>
  <c r="G535" i="20" s="1"/>
  <c r="E539" i="20"/>
  <c r="G539" i="20" s="1"/>
  <c r="E540" i="20"/>
  <c r="G540" i="20" s="1"/>
  <c r="E498" i="20"/>
  <c r="G498" i="20" s="1"/>
  <c r="E502" i="20"/>
  <c r="G502" i="20" s="1"/>
  <c r="E503" i="20"/>
  <c r="G503" i="20" s="1"/>
  <c r="E461" i="20"/>
  <c r="G461" i="20" s="1"/>
  <c r="E465" i="20"/>
  <c r="G465" i="20" s="1"/>
  <c r="E466" i="20"/>
  <c r="G466" i="20" s="1"/>
  <c r="E424" i="20"/>
  <c r="G424" i="20" s="1"/>
  <c r="E428" i="20"/>
  <c r="G428" i="20" s="1"/>
  <c r="E429" i="20"/>
  <c r="G429" i="20" s="1"/>
  <c r="E387" i="20"/>
  <c r="G387" i="20" s="1"/>
  <c r="E391" i="20"/>
  <c r="G391" i="20" s="1"/>
  <c r="E392" i="20"/>
  <c r="G392" i="20" s="1"/>
  <c r="E350" i="20"/>
  <c r="G350" i="20" s="1"/>
  <c r="E354" i="20"/>
  <c r="G354" i="20" s="1"/>
  <c r="E355" i="20"/>
  <c r="G355" i="20" s="1"/>
  <c r="E313" i="20"/>
  <c r="G313" i="20" s="1"/>
  <c r="E317" i="20"/>
  <c r="G317" i="20" s="1"/>
  <c r="E318" i="20"/>
  <c r="G318" i="20" s="1"/>
  <c r="E276" i="20"/>
  <c r="G276" i="20" s="1"/>
  <c r="E280" i="20"/>
  <c r="G280" i="20" s="1"/>
  <c r="E281" i="20"/>
  <c r="G281" i="20" s="1"/>
  <c r="E239" i="20"/>
  <c r="G239" i="20" s="1"/>
  <c r="E243" i="20"/>
  <c r="G243" i="20" s="1"/>
  <c r="E244" i="20"/>
  <c r="G244" i="20" s="1"/>
  <c r="E202" i="20"/>
  <c r="G202" i="20" s="1"/>
  <c r="E206" i="20"/>
  <c r="G206" i="20" s="1"/>
  <c r="E207" i="20"/>
  <c r="G207" i="20" s="1"/>
  <c r="E165" i="20"/>
  <c r="G165" i="20" s="1"/>
  <c r="E169" i="20"/>
  <c r="G169" i="20" s="1"/>
  <c r="E170" i="20"/>
  <c r="G170" i="20" s="1"/>
  <c r="E128" i="20"/>
  <c r="G128" i="20" s="1"/>
  <c r="E132" i="20"/>
  <c r="G132" i="20" s="1"/>
  <c r="E133" i="20"/>
  <c r="G133" i="20" s="1"/>
  <c r="E91" i="20"/>
  <c r="G91" i="20" s="1"/>
  <c r="E95" i="20"/>
  <c r="G95" i="20" s="1"/>
  <c r="E96" i="20"/>
  <c r="G96" i="20" s="1"/>
  <c r="E54" i="20"/>
  <c r="G54" i="20" s="1"/>
  <c r="E58" i="20"/>
  <c r="G58" i="20" s="1"/>
  <c r="E59" i="20"/>
  <c r="G59" i="20" s="1"/>
  <c r="P1929" i="20"/>
  <c r="D1932" i="20" s="1"/>
  <c r="P2040" i="20"/>
  <c r="D2043" i="20" s="1"/>
  <c r="V597" i="20"/>
  <c r="P1892" i="20"/>
  <c r="D1895" i="20" s="1"/>
  <c r="P2003" i="20"/>
  <c r="D2006" i="20" s="1"/>
  <c r="I638" i="19"/>
  <c r="J638" i="19"/>
  <c r="K638" i="19"/>
  <c r="L573" i="19"/>
  <c r="N573" i="19" s="1"/>
  <c r="G628" i="19"/>
  <c r="P683" i="19"/>
  <c r="A738" i="19"/>
  <c r="E683" i="19"/>
  <c r="F683" i="19"/>
  <c r="D683" i="19"/>
  <c r="B683" i="19"/>
  <c r="N4" i="13"/>
  <c r="E2052" i="20" l="1"/>
  <c r="G2052" i="20" s="1"/>
  <c r="E2056" i="20"/>
  <c r="G2056" i="20" s="1"/>
  <c r="G2061" i="20"/>
  <c r="G2058" i="20"/>
  <c r="G2060" i="20"/>
  <c r="G2059" i="20"/>
  <c r="E2015" i="20"/>
  <c r="G2015" i="20" s="1"/>
  <c r="E2019" i="20"/>
  <c r="G2019" i="20" s="1"/>
  <c r="E2020" i="20"/>
  <c r="G2020" i="20" s="1"/>
  <c r="E1941" i="20"/>
  <c r="G1941" i="20" s="1"/>
  <c r="E1945" i="20"/>
  <c r="G1945" i="20" s="1"/>
  <c r="E1946" i="20"/>
  <c r="G1946" i="20" s="1"/>
  <c r="E1904" i="20"/>
  <c r="G1904" i="20" s="1"/>
  <c r="E1908" i="20"/>
  <c r="G1908" i="20" s="1"/>
  <c r="G1912" i="20"/>
  <c r="G1910" i="20"/>
  <c r="G1913" i="20"/>
  <c r="G1911" i="20"/>
  <c r="E611" i="20"/>
  <c r="G611" i="20" s="1"/>
  <c r="E610" i="20"/>
  <c r="G610" i="20" s="1"/>
  <c r="T33" i="11"/>
  <c r="M693" i="19"/>
  <c r="I693" i="19"/>
  <c r="M687" i="19"/>
  <c r="I687" i="19"/>
  <c r="M683" i="19"/>
  <c r="I683" i="19"/>
  <c r="J693" i="19"/>
  <c r="J687" i="19"/>
  <c r="J683" i="19"/>
  <c r="K693" i="19"/>
  <c r="K687" i="19"/>
  <c r="K683" i="19"/>
  <c r="L638" i="19"/>
  <c r="N638" i="19" s="1"/>
  <c r="G683" i="19"/>
  <c r="E738" i="19"/>
  <c r="B738" i="19"/>
  <c r="P738" i="19"/>
  <c r="A793" i="19"/>
  <c r="F738" i="19"/>
  <c r="D738" i="19"/>
  <c r="T34" i="11" l="1"/>
  <c r="M738" i="19"/>
  <c r="I738" i="19"/>
  <c r="J738" i="19"/>
  <c r="K738" i="19"/>
  <c r="L693" i="19"/>
  <c r="N693" i="19" s="1"/>
  <c r="L683" i="19"/>
  <c r="N683" i="19" s="1"/>
  <c r="L687" i="19"/>
  <c r="N687" i="19" s="1"/>
  <c r="D793" i="19"/>
  <c r="P793" i="19"/>
  <c r="A848" i="19"/>
  <c r="F793" i="19"/>
  <c r="E793" i="19"/>
  <c r="B793" i="19"/>
  <c r="G738" i="19"/>
  <c r="A903" i="19" l="1"/>
  <c r="P848" i="19"/>
  <c r="B848" i="19"/>
  <c r="E848" i="19"/>
  <c r="F848" i="19"/>
  <c r="D848" i="19"/>
  <c r="M803" i="19"/>
  <c r="I803" i="19"/>
  <c r="J803" i="19"/>
  <c r="K803" i="19"/>
  <c r="M797" i="19"/>
  <c r="I797" i="19"/>
  <c r="J797" i="19"/>
  <c r="K797" i="19"/>
  <c r="L738" i="19"/>
  <c r="N738" i="19" s="1"/>
  <c r="G793" i="19"/>
  <c r="V671" i="20" l="1"/>
  <c r="T35" i="11"/>
  <c r="T18" i="11"/>
  <c r="J852" i="19"/>
  <c r="J848" i="19"/>
  <c r="K852" i="19"/>
  <c r="M852" i="19"/>
  <c r="G848" i="19"/>
  <c r="I852" i="19"/>
  <c r="M848" i="19"/>
  <c r="K848" i="19"/>
  <c r="I848" i="19"/>
  <c r="L803" i="19"/>
  <c r="N803" i="19" s="1"/>
  <c r="L797" i="19"/>
  <c r="N797" i="19" s="1"/>
  <c r="D903" i="19"/>
  <c r="P903" i="19"/>
  <c r="F903" i="19"/>
  <c r="B903" i="19"/>
  <c r="A958" i="19"/>
  <c r="E903" i="19"/>
  <c r="T66" i="11"/>
  <c r="T79" i="11"/>
  <c r="T59" i="11"/>
  <c r="T77" i="11"/>
  <c r="T50" i="11"/>
  <c r="T46" i="11"/>
  <c r="T71" i="11"/>
  <c r="T74" i="11"/>
  <c r="T63" i="11"/>
  <c r="T54" i="11"/>
  <c r="T43" i="11"/>
  <c r="T82" i="11"/>
  <c r="E685" i="20" l="1"/>
  <c r="G685" i="20" s="1"/>
  <c r="E684" i="20"/>
  <c r="G684" i="20" s="1"/>
  <c r="T19" i="11"/>
  <c r="L852" i="19"/>
  <c r="N852" i="19" s="1"/>
  <c r="L848" i="19"/>
  <c r="N848" i="19" s="1"/>
  <c r="B958" i="19"/>
  <c r="P958" i="19"/>
  <c r="F958" i="19"/>
  <c r="A1013" i="19"/>
  <c r="E958" i="19"/>
  <c r="D958" i="19"/>
  <c r="G903" i="19"/>
  <c r="V745" i="20" l="1"/>
  <c r="M968" i="19"/>
  <c r="I968" i="19"/>
  <c r="M962" i="19"/>
  <c r="I962" i="19"/>
  <c r="J968" i="19"/>
  <c r="J962" i="19"/>
  <c r="K968" i="19"/>
  <c r="K962" i="19"/>
  <c r="G958" i="19"/>
  <c r="A1068" i="19"/>
  <c r="E1013" i="19"/>
  <c r="F1013" i="19"/>
  <c r="D1013" i="19"/>
  <c r="B1013" i="19"/>
  <c r="P1013" i="19"/>
  <c r="T5" i="20"/>
  <c r="D6" i="20"/>
  <c r="S5" i="20"/>
  <c r="D12" i="20" s="1"/>
  <c r="E19" i="20"/>
  <c r="G19" i="20" s="1"/>
  <c r="U5" i="20"/>
  <c r="D13" i="20" s="1"/>
  <c r="D8" i="20"/>
  <c r="B23" i="19"/>
  <c r="E759" i="20" l="1"/>
  <c r="G759" i="20" s="1"/>
  <c r="E758" i="20"/>
  <c r="G758" i="20" s="1"/>
  <c r="E22" i="20"/>
  <c r="G22" i="20" s="1"/>
  <c r="E25" i="20"/>
  <c r="G25" i="20" s="1"/>
  <c r="E26" i="20"/>
  <c r="G26" i="20" s="1"/>
  <c r="E23" i="20"/>
  <c r="G23" i="20" s="1"/>
  <c r="E24" i="20"/>
  <c r="G24" i="20" s="1"/>
  <c r="M27" i="19"/>
  <c r="L968" i="19"/>
  <c r="N968" i="19" s="1"/>
  <c r="L962" i="19"/>
  <c r="N962" i="19" s="1"/>
  <c r="G1013" i="19"/>
  <c r="F1068" i="19"/>
  <c r="D1068" i="19"/>
  <c r="E1068" i="19"/>
  <c r="B1068" i="19"/>
  <c r="P1068" i="19"/>
  <c r="A1123" i="19"/>
  <c r="J23" i="19"/>
  <c r="K23" i="19"/>
  <c r="M23" i="19"/>
  <c r="I23" i="19"/>
  <c r="E18" i="20"/>
  <c r="G18" i="20" s="1"/>
  <c r="E17" i="20"/>
  <c r="G17" i="20" s="1"/>
  <c r="E21" i="20"/>
  <c r="G21" i="20" s="1"/>
  <c r="AC91" i="11" l="1"/>
  <c r="AD91" i="11" s="1"/>
  <c r="R25" i="10" s="1"/>
  <c r="G147" i="26" s="1"/>
  <c r="L23" i="19"/>
  <c r="N23" i="19" s="1"/>
  <c r="M1078" i="19"/>
  <c r="I1078" i="19"/>
  <c r="M1072" i="19"/>
  <c r="I1072" i="19"/>
  <c r="J1078" i="19"/>
  <c r="J1072" i="19"/>
  <c r="K1078" i="19"/>
  <c r="K1072" i="19"/>
  <c r="G1068" i="19"/>
  <c r="E1123" i="19"/>
  <c r="B1123" i="19"/>
  <c r="D1123" i="19"/>
  <c r="P1123" i="19"/>
  <c r="A1178" i="19"/>
  <c r="F1123" i="19"/>
  <c r="AC92" i="11" l="1"/>
  <c r="AE92" i="11" s="1"/>
  <c r="T92" i="11" s="1"/>
  <c r="V782" i="20"/>
  <c r="AE91" i="11"/>
  <c r="AA91" i="11"/>
  <c r="L1078" i="19"/>
  <c r="L1072" i="19"/>
  <c r="N1072" i="19" s="1"/>
  <c r="A1233" i="19"/>
  <c r="B1178" i="19"/>
  <c r="P1178" i="19"/>
  <c r="F1178" i="19"/>
  <c r="E1178" i="19"/>
  <c r="D1178" i="19"/>
  <c r="G1123" i="19"/>
  <c r="AC93" i="11" l="1"/>
  <c r="AC94" i="11" s="1"/>
  <c r="AD94" i="11" s="1"/>
  <c r="E796" i="20"/>
  <c r="G796" i="20" s="1"/>
  <c r="E795" i="20"/>
  <c r="G795" i="20" s="1"/>
  <c r="AD92" i="11"/>
  <c r="T91" i="11"/>
  <c r="N1078" i="19"/>
  <c r="M1178" i="19"/>
  <c r="I1178" i="19"/>
  <c r="J1178" i="19"/>
  <c r="K1178" i="19"/>
  <c r="G1178" i="19"/>
  <c r="E1233" i="19"/>
  <c r="D1233" i="19"/>
  <c r="P1233" i="19"/>
  <c r="F1233" i="19"/>
  <c r="B1233" i="19"/>
  <c r="A1288" i="19"/>
  <c r="AE93" i="11" l="1"/>
  <c r="I1188" i="19" s="1"/>
  <c r="AD93" i="11"/>
  <c r="J1188" i="19"/>
  <c r="M1188" i="19"/>
  <c r="K1188" i="19"/>
  <c r="T93" i="11"/>
  <c r="AC95" i="11"/>
  <c r="AD95" i="11" s="1"/>
  <c r="R26" i="10" s="1"/>
  <c r="G153" i="26" s="1"/>
  <c r="D1288" i="19"/>
  <c r="A1343" i="19"/>
  <c r="E1288" i="19"/>
  <c r="F1288" i="19"/>
  <c r="P1288" i="19"/>
  <c r="B1288" i="19"/>
  <c r="L1178" i="19"/>
  <c r="G1233" i="19"/>
  <c r="AC96" i="11" l="1"/>
  <c r="AD96" i="11" s="1"/>
  <c r="L1188" i="19"/>
  <c r="N1188" i="19" s="1"/>
  <c r="AE95" i="11"/>
  <c r="T95" i="11" s="1"/>
  <c r="V819" i="20"/>
  <c r="AA95" i="11"/>
  <c r="AE96" i="11"/>
  <c r="N1178" i="19"/>
  <c r="P1343" i="19"/>
  <c r="A1398" i="19"/>
  <c r="E1343" i="19"/>
  <c r="F1343" i="19"/>
  <c r="D1343" i="19"/>
  <c r="B1343" i="19"/>
  <c r="AC97" i="11" l="1"/>
  <c r="AD97" i="11" s="1"/>
  <c r="E832" i="20"/>
  <c r="G832" i="20" s="1"/>
  <c r="E833" i="20"/>
  <c r="G833" i="20" s="1"/>
  <c r="M1243" i="19"/>
  <c r="J1243" i="19"/>
  <c r="T96" i="11"/>
  <c r="AE97" i="11"/>
  <c r="I33" i="19"/>
  <c r="E1398" i="19"/>
  <c r="B1398" i="19"/>
  <c r="P1398" i="19"/>
  <c r="A1453" i="19"/>
  <c r="F1398" i="19"/>
  <c r="D1398" i="19"/>
  <c r="AC98" i="11" l="1"/>
  <c r="AD98" i="11" s="1"/>
  <c r="K1243" i="19"/>
  <c r="I1243" i="19"/>
  <c r="T97" i="11"/>
  <c r="AC99" i="11"/>
  <c r="AD99" i="11" s="1"/>
  <c r="R27" i="10" s="1"/>
  <c r="G159" i="26" s="1"/>
  <c r="K27" i="19"/>
  <c r="M33" i="19"/>
  <c r="K363" i="19"/>
  <c r="M583" i="19"/>
  <c r="K583" i="19"/>
  <c r="J583" i="19"/>
  <c r="I583" i="19"/>
  <c r="M748" i="19"/>
  <c r="I748" i="19"/>
  <c r="J198" i="19"/>
  <c r="J363" i="19"/>
  <c r="M198" i="19"/>
  <c r="I742" i="19"/>
  <c r="M363" i="19"/>
  <c r="J748" i="19"/>
  <c r="K742" i="19"/>
  <c r="J742" i="19"/>
  <c r="K198" i="19"/>
  <c r="I363" i="19"/>
  <c r="M742" i="19"/>
  <c r="K748" i="19"/>
  <c r="I198" i="19"/>
  <c r="J27" i="19"/>
  <c r="J33" i="19"/>
  <c r="I27" i="19"/>
  <c r="K33" i="19"/>
  <c r="M913" i="19"/>
  <c r="K913" i="19"/>
  <c r="M1013" i="19"/>
  <c r="K1013" i="19"/>
  <c r="J1013" i="19"/>
  <c r="J913" i="19"/>
  <c r="I1013" i="19"/>
  <c r="I913" i="19"/>
  <c r="F1453" i="19"/>
  <c r="E1453" i="19"/>
  <c r="B1453" i="19"/>
  <c r="D1453" i="19"/>
  <c r="P1453" i="19"/>
  <c r="A1508" i="19"/>
  <c r="L1243" i="19" l="1"/>
  <c r="N1243" i="19" s="1"/>
  <c r="V856" i="20"/>
  <c r="AE99" i="11"/>
  <c r="T99" i="11" s="1"/>
  <c r="G1288" i="19"/>
  <c r="AC100" i="11"/>
  <c r="AD100" i="11" s="1"/>
  <c r="AA99" i="11"/>
  <c r="AC101" i="11"/>
  <c r="AD101" i="11" s="1"/>
  <c r="L27" i="19"/>
  <c r="N27" i="19" s="1"/>
  <c r="L363" i="19"/>
  <c r="N363" i="19" s="1"/>
  <c r="L33" i="19"/>
  <c r="N33" i="19" s="1"/>
  <c r="L742" i="19"/>
  <c r="N742" i="19" s="1"/>
  <c r="L198" i="19"/>
  <c r="N198" i="19" s="1"/>
  <c r="L748" i="19"/>
  <c r="N748" i="19" s="1"/>
  <c r="L583" i="19"/>
  <c r="N583" i="19" s="1"/>
  <c r="L913" i="19"/>
  <c r="N913" i="19" s="1"/>
  <c r="L1013" i="19"/>
  <c r="N1013" i="19" s="1"/>
  <c r="T10" i="11"/>
  <c r="T14" i="11"/>
  <c r="A1563" i="19"/>
  <c r="E1508" i="19"/>
  <c r="D1508" i="19"/>
  <c r="B1508" i="19"/>
  <c r="P1508" i="19"/>
  <c r="F1508" i="19"/>
  <c r="E870" i="20" l="1"/>
  <c r="G870" i="20" s="1"/>
  <c r="E869" i="20"/>
  <c r="G869" i="20" s="1"/>
  <c r="AE100" i="11"/>
  <c r="K1298" i="19" s="1"/>
  <c r="AC102" i="11"/>
  <c r="AD102" i="11" s="1"/>
  <c r="R28" i="10" s="1"/>
  <c r="G165" i="26" s="1"/>
  <c r="P73" i="19"/>
  <c r="D1563" i="19"/>
  <c r="E1563" i="19"/>
  <c r="B1563" i="19"/>
  <c r="A1618" i="19"/>
  <c r="P1563" i="19"/>
  <c r="F1563" i="19"/>
  <c r="J1298" i="19" l="1"/>
  <c r="M1298" i="19"/>
  <c r="I1298" i="19"/>
  <c r="G1343" i="19"/>
  <c r="T100" i="11"/>
  <c r="AE102" i="11"/>
  <c r="AC103" i="11"/>
  <c r="AD103" i="11" s="1"/>
  <c r="AA102" i="11"/>
  <c r="T22" i="11"/>
  <c r="T31" i="11"/>
  <c r="T26" i="11"/>
  <c r="A1673" i="19"/>
  <c r="E1618" i="19"/>
  <c r="D1618" i="19"/>
  <c r="B1618" i="19"/>
  <c r="P1618" i="19"/>
  <c r="F1618" i="19"/>
  <c r="L1298" i="19" l="1"/>
  <c r="N1298" i="19" s="1"/>
  <c r="AE103" i="11"/>
  <c r="AC104" i="11"/>
  <c r="AD104" i="11" s="1"/>
  <c r="K1347" i="19"/>
  <c r="T102" i="11"/>
  <c r="I1343" i="19"/>
  <c r="I1347" i="19"/>
  <c r="J1343" i="19"/>
  <c r="J1347" i="19"/>
  <c r="M1343" i="19"/>
  <c r="K1343" i="19"/>
  <c r="T103" i="11"/>
  <c r="AC105" i="11"/>
  <c r="AD105" i="11" s="1"/>
  <c r="AE104" i="11"/>
  <c r="K1353" i="19" s="1"/>
  <c r="A1728" i="19"/>
  <c r="E1673" i="19"/>
  <c r="F1673" i="19"/>
  <c r="D1673" i="19"/>
  <c r="B1673" i="19"/>
  <c r="P1673" i="19"/>
  <c r="L1347" i="19" l="1"/>
  <c r="N1347" i="19" s="1"/>
  <c r="J1353" i="19"/>
  <c r="I1353" i="19"/>
  <c r="M1353" i="19"/>
  <c r="L1343" i="19"/>
  <c r="N1343" i="19" s="1"/>
  <c r="T104" i="11"/>
  <c r="A1783" i="19"/>
  <c r="F1728" i="19"/>
  <c r="D1728" i="19"/>
  <c r="E1728" i="19"/>
  <c r="B1728" i="19"/>
  <c r="P1728" i="19"/>
  <c r="L1353" i="19" l="1"/>
  <c r="N1353" i="19" s="1"/>
  <c r="E1783" i="19"/>
  <c r="B1783" i="19"/>
  <c r="D1783" i="19"/>
  <c r="P1783" i="19"/>
  <c r="A1838" i="19"/>
  <c r="F1783" i="19"/>
  <c r="A1893" i="19" l="1"/>
  <c r="E1838" i="19"/>
  <c r="D1838" i="19"/>
  <c r="B1838" i="19"/>
  <c r="P1838" i="19"/>
  <c r="F1838" i="19"/>
  <c r="F1893" i="19" l="1"/>
  <c r="E1893" i="19"/>
  <c r="B1893" i="19"/>
  <c r="A1948" i="19"/>
  <c r="D1893" i="19"/>
  <c r="P1893" i="19"/>
  <c r="A2003" i="19" l="1"/>
  <c r="P1948" i="19"/>
  <c r="E1948" i="19"/>
  <c r="D1948" i="19"/>
  <c r="F1948" i="19"/>
  <c r="B1948" i="19"/>
  <c r="AP1961" i="19" l="1"/>
  <c r="AP1957" i="19"/>
  <c r="AP1953" i="19"/>
  <c r="AP1949" i="19"/>
  <c r="AP1959" i="19"/>
  <c r="AP1955" i="19"/>
  <c r="AP1951" i="19"/>
  <c r="B2003" i="19"/>
  <c r="E2003" i="19"/>
  <c r="P2003" i="19"/>
  <c r="A2058" i="19"/>
  <c r="F2003" i="19"/>
  <c r="D2003" i="19"/>
  <c r="E2058" i="19" l="1"/>
  <c r="P2058" i="19"/>
  <c r="F2058" i="19"/>
  <c r="D2058" i="19"/>
  <c r="A2113" i="19"/>
  <c r="B2058" i="19"/>
  <c r="B2113" i="19" l="1"/>
  <c r="E2113" i="19"/>
  <c r="P2113" i="19"/>
  <c r="F2113" i="19"/>
  <c r="A2168" i="19"/>
  <c r="D2113" i="19"/>
  <c r="D2168" i="19" l="1"/>
  <c r="E2168" i="19"/>
  <c r="B2168" i="19"/>
  <c r="P2168" i="19"/>
  <c r="F2168" i="19"/>
  <c r="A2223" i="19"/>
  <c r="B2223" i="19" l="1"/>
  <c r="D2223" i="19"/>
  <c r="A2278" i="19"/>
  <c r="F2223" i="19"/>
  <c r="P2223" i="19"/>
  <c r="E2223" i="19"/>
  <c r="P2278" i="19" l="1"/>
  <c r="A2333" i="19"/>
  <c r="E2278" i="19"/>
  <c r="B2278" i="19"/>
  <c r="F2278" i="19"/>
  <c r="D2278" i="19"/>
  <c r="E2333" i="19" l="1"/>
  <c r="D2333" i="19"/>
  <c r="F2333" i="19"/>
  <c r="B2333" i="19"/>
  <c r="A2388" i="19"/>
  <c r="P2333" i="19"/>
  <c r="F2388" i="19" l="1"/>
  <c r="P2388" i="19"/>
  <c r="A2443" i="19"/>
  <c r="B2388" i="19"/>
  <c r="E2388" i="19"/>
  <c r="D2388" i="19"/>
  <c r="D2443" i="19" l="1"/>
  <c r="P2443" i="19"/>
  <c r="E2443" i="19"/>
  <c r="A2498" i="19"/>
  <c r="B2443" i="19"/>
  <c r="F2443" i="19"/>
  <c r="D2498" i="19" l="1"/>
  <c r="B2498" i="19"/>
  <c r="F2498" i="19"/>
  <c r="P2498" i="19"/>
  <c r="E2498" i="19"/>
  <c r="A2553" i="19"/>
  <c r="F2553" i="19" l="1"/>
  <c r="B2553" i="19"/>
  <c r="E2553" i="19"/>
  <c r="P2553" i="19"/>
  <c r="D2553" i="19"/>
  <c r="A2608" i="19"/>
  <c r="E2608" i="19" l="1"/>
  <c r="F2608" i="19"/>
  <c r="B2608" i="19"/>
  <c r="D2608" i="19"/>
  <c r="P2608" i="19"/>
  <c r="A2663" i="19"/>
  <c r="B2663" i="19" l="1"/>
  <c r="F2663" i="19"/>
  <c r="P2663" i="19"/>
  <c r="D2663" i="19"/>
  <c r="E2663" i="19"/>
  <c r="A2718" i="19"/>
  <c r="A2773" i="19" l="1"/>
  <c r="B2718" i="19"/>
  <c r="F2718" i="19"/>
  <c r="P2718" i="19"/>
  <c r="E2718" i="19"/>
  <c r="D2718" i="19"/>
  <c r="AP2731" i="19" l="1"/>
  <c r="AP2727" i="19"/>
  <c r="AP2723" i="19"/>
  <c r="AP2719" i="19"/>
  <c r="AP2729" i="19"/>
  <c r="AP2725" i="19"/>
  <c r="AP2721" i="19"/>
  <c r="A2828" i="19"/>
  <c r="B2773" i="19"/>
  <c r="P2773" i="19"/>
  <c r="E2773" i="19"/>
  <c r="D2773" i="19"/>
  <c r="F2773" i="19"/>
  <c r="AC106" i="11" l="1"/>
  <c r="AD106" i="11" s="1"/>
  <c r="R29" i="10" s="1"/>
  <c r="G171" i="26" s="1"/>
  <c r="E2828" i="19"/>
  <c r="B2828" i="19"/>
  <c r="F2828" i="19"/>
  <c r="A2883" i="19"/>
  <c r="D2828" i="19"/>
  <c r="P2828" i="19"/>
  <c r="AE106" i="11" l="1"/>
  <c r="T106" i="11" s="1"/>
  <c r="AC107" i="11"/>
  <c r="G1398" i="19"/>
  <c r="AA106" i="11"/>
  <c r="F2883" i="19"/>
  <c r="D2883" i="19"/>
  <c r="E2883" i="19"/>
  <c r="P2883" i="19"/>
  <c r="B2883" i="19"/>
  <c r="A2938" i="19"/>
  <c r="AC108" i="11"/>
  <c r="AE107" i="11"/>
  <c r="AD107" i="11" l="1"/>
  <c r="AD108" i="11"/>
  <c r="T107" i="11"/>
  <c r="F2938" i="19"/>
  <c r="E2938" i="19"/>
  <c r="P2938" i="19"/>
  <c r="D2938" i="19"/>
  <c r="A2993" i="19"/>
  <c r="B2938" i="19"/>
  <c r="AC109" i="11"/>
  <c r="AD109" i="11" s="1"/>
  <c r="AE108" i="11"/>
  <c r="J1408" i="19" s="1"/>
  <c r="I1408" i="19" l="1"/>
  <c r="T108" i="11"/>
  <c r="P2993" i="19"/>
  <c r="A3048" i="19"/>
  <c r="B2993" i="19"/>
  <c r="F2993" i="19"/>
  <c r="D2993" i="19"/>
  <c r="E2993" i="19"/>
  <c r="AC110" i="11"/>
  <c r="AD110" i="11" s="1"/>
  <c r="R30" i="10" s="1"/>
  <c r="G177" i="26" s="1"/>
  <c r="AA110" i="11" l="1"/>
  <c r="E3048" i="19"/>
  <c r="B3048" i="19"/>
  <c r="D3048" i="19"/>
  <c r="F3048" i="19"/>
  <c r="P3048" i="19"/>
  <c r="AC111" i="11"/>
  <c r="AE110" i="11"/>
  <c r="AD111" i="11" l="1"/>
  <c r="T110" i="11"/>
  <c r="AC112" i="11"/>
  <c r="AD112" i="11" s="1"/>
  <c r="AE111" i="11"/>
  <c r="T111" i="11" s="1"/>
  <c r="AC113" i="11" l="1"/>
  <c r="AD113" i="11" s="1"/>
  <c r="AE112" i="11"/>
  <c r="T112" i="11" l="1"/>
  <c r="AC114" i="11"/>
  <c r="AD114" i="11" s="1"/>
  <c r="R31" i="10" s="1"/>
  <c r="G183" i="26" s="1"/>
  <c r="AA114" i="11" l="1"/>
  <c r="AC115" i="11"/>
  <c r="AD115" i="11" s="1"/>
  <c r="AE114" i="11"/>
  <c r="T114" i="11" l="1"/>
  <c r="AC116" i="11"/>
  <c r="AD116" i="11" s="1"/>
  <c r="AE115" i="11"/>
  <c r="T115" i="11" l="1"/>
  <c r="AC117" i="11"/>
  <c r="AE116" i="11"/>
  <c r="AD117" i="11" l="1"/>
  <c r="T116" i="11"/>
  <c r="AC118" i="11"/>
  <c r="AD118" i="11" s="1"/>
  <c r="AE117" i="11"/>
  <c r="T117" i="11" l="1"/>
  <c r="AC119" i="11"/>
  <c r="AD119" i="11" s="1"/>
  <c r="R32" i="10" s="1"/>
  <c r="G189" i="26" s="1"/>
  <c r="AA119" i="11" l="1"/>
  <c r="AC120" i="11"/>
  <c r="AE119" i="11"/>
  <c r="AD120" i="11" l="1"/>
  <c r="T119" i="11"/>
  <c r="AC121" i="11"/>
  <c r="AE120" i="11"/>
  <c r="AD121" i="11" l="1"/>
  <c r="T120" i="11"/>
  <c r="AC122" i="11"/>
  <c r="AE121" i="11"/>
  <c r="AD122" i="11" l="1"/>
  <c r="T121" i="11"/>
  <c r="AC123" i="11"/>
  <c r="AD123" i="11" s="1"/>
  <c r="AE122" i="11"/>
  <c r="T122" i="11" l="1"/>
  <c r="AC124" i="11" l="1"/>
  <c r="AE124" i="11" l="1"/>
  <c r="T124" i="11" s="1"/>
  <c r="AD124" i="11"/>
  <c r="R33" i="10" s="1"/>
  <c r="G195" i="26" s="1"/>
  <c r="AC125" i="11"/>
  <c r="AC126" i="11" s="1"/>
  <c r="AD126" i="11" s="1"/>
  <c r="AA124" i="11"/>
  <c r="AE125" i="11" l="1"/>
  <c r="T125" i="11" s="1"/>
  <c r="AD125" i="11"/>
  <c r="AC127" i="11"/>
  <c r="AD127" i="11" s="1"/>
  <c r="AE126" i="11"/>
  <c r="T126" i="11" l="1"/>
  <c r="AC128" i="11"/>
  <c r="AE127" i="11"/>
  <c r="AD128" i="11" l="1"/>
  <c r="T127" i="11"/>
  <c r="AC129" i="11"/>
  <c r="AD129" i="11" s="1"/>
  <c r="AE128" i="11"/>
  <c r="T128" i="11" l="1"/>
  <c r="AC130" i="11" l="1"/>
  <c r="AC131" i="11" l="1"/>
  <c r="AE131" i="11" s="1"/>
  <c r="AD130" i="11"/>
  <c r="R34" i="10" s="1"/>
  <c r="G201" i="26" s="1"/>
  <c r="AE130" i="11"/>
  <c r="T130" i="11" s="1"/>
  <c r="AA130" i="11"/>
  <c r="AC132" i="11"/>
  <c r="AD132" i="11" s="1"/>
  <c r="AD131" i="11" l="1"/>
  <c r="T131" i="11"/>
  <c r="AC133" i="11"/>
  <c r="AD133" i="11" s="1"/>
  <c r="R35" i="10" s="1"/>
  <c r="G207" i="26" s="1"/>
  <c r="AE133" i="11" l="1"/>
  <c r="T133" i="11" s="1"/>
  <c r="AC134" i="11"/>
  <c r="AE134" i="11" s="1"/>
  <c r="AA133" i="11"/>
  <c r="AC135" i="11" l="1"/>
  <c r="AD134" i="11"/>
  <c r="T134" i="11"/>
  <c r="AC136" i="11" l="1"/>
  <c r="AD136" i="11" s="1"/>
  <c r="AD135" i="11"/>
  <c r="AE135" i="11"/>
  <c r="T135" i="11" s="1"/>
  <c r="AC137" i="11"/>
  <c r="AC138" i="11" l="1"/>
  <c r="AE138" i="11" s="1"/>
  <c r="AD137" i="11"/>
  <c r="R36" i="10" s="1"/>
  <c r="G213" i="26" s="1"/>
  <c r="AE137" i="11"/>
  <c r="T137" i="11" s="1"/>
  <c r="AA137" i="11"/>
  <c r="AC139" i="11"/>
  <c r="AD139" i="11" s="1"/>
  <c r="AD138" i="11" l="1"/>
  <c r="T138" i="11"/>
  <c r="AC140" i="11"/>
  <c r="AD140" i="11" s="1"/>
  <c r="R37" i="10" s="1"/>
  <c r="G219" i="26" s="1"/>
  <c r="AE140" i="11" l="1"/>
  <c r="T140" i="11" s="1"/>
  <c r="AC141" i="11"/>
  <c r="AD141" i="11" s="1"/>
  <c r="AA140" i="11"/>
  <c r="AE141" i="11" l="1"/>
  <c r="T141" i="11" s="1"/>
  <c r="AC142" i="11"/>
  <c r="AD142" i="11" s="1"/>
  <c r="AE142" i="11" l="1"/>
  <c r="T142" i="11" s="1"/>
  <c r="AC143" i="11"/>
  <c r="AD143" i="11" s="1"/>
  <c r="AC144" i="11"/>
  <c r="AD144" i="11" s="1"/>
  <c r="R38" i="10" s="1"/>
  <c r="G225" i="26" s="1"/>
  <c r="AE144" i="11" l="1"/>
  <c r="AC145" i="11"/>
  <c r="AA144" i="11"/>
  <c r="AD145" i="11" l="1"/>
  <c r="T144" i="11"/>
  <c r="AE145" i="11"/>
  <c r="AC146" i="11"/>
  <c r="AD146" i="11" s="1"/>
  <c r="T145" i="11" l="1"/>
  <c r="AC147" i="11" l="1"/>
  <c r="AD147" i="11" s="1"/>
  <c r="R39" i="10" s="1"/>
  <c r="G231" i="26" s="1"/>
  <c r="AE147" i="11" l="1"/>
  <c r="AC148" i="11"/>
  <c r="AC149" i="11" s="1"/>
  <c r="AD149" i="11" s="1"/>
  <c r="AA147" i="11"/>
  <c r="AE148" i="11" l="1"/>
  <c r="T148" i="11" s="1"/>
  <c r="AD148" i="11"/>
  <c r="T147" i="11"/>
  <c r="AC150" i="11"/>
  <c r="AD150" i="11" s="1"/>
  <c r="R40" i="10" s="1"/>
  <c r="G237" i="26" s="1"/>
  <c r="AE150" i="11" l="1"/>
  <c r="AC151" i="11"/>
  <c r="AC152" i="11" s="1"/>
  <c r="AD152" i="11" s="1"/>
  <c r="AA150" i="11"/>
  <c r="AE151" i="11" l="1"/>
  <c r="T151" i="11" s="1"/>
  <c r="AD151" i="11"/>
  <c r="T150" i="11"/>
  <c r="AC153" i="11"/>
  <c r="AC154" i="11" l="1"/>
  <c r="AE154" i="11" s="1"/>
  <c r="AD153" i="11"/>
  <c r="R41" i="10" s="1"/>
  <c r="G243" i="26" s="1"/>
  <c r="AE153" i="11"/>
  <c r="T153" i="11" s="1"/>
  <c r="AA153" i="11"/>
  <c r="AC155" i="11"/>
  <c r="AD155" i="11" s="1"/>
  <c r="AD154" i="11" l="1"/>
  <c r="T154" i="11"/>
  <c r="AC156" i="11"/>
  <c r="AD156" i="11" s="1"/>
  <c r="R42" i="10" s="1"/>
  <c r="G249" i="26" s="1"/>
  <c r="AC157" i="11" l="1"/>
  <c r="AE157" i="11" s="1"/>
  <c r="AE156" i="11"/>
  <c r="T156" i="11" s="1"/>
  <c r="AA156" i="11"/>
  <c r="AC158" i="11" l="1"/>
  <c r="AD158" i="11" s="1"/>
  <c r="AD157" i="11"/>
  <c r="T157" i="11"/>
  <c r="AC159" i="11"/>
  <c r="AD159" i="11" s="1"/>
  <c r="R43" i="10" s="1"/>
  <c r="G255" i="26" s="1"/>
  <c r="AC160" i="11" l="1"/>
  <c r="AE159" i="11"/>
  <c r="T159" i="11" s="1"/>
  <c r="AA159" i="11"/>
  <c r="AE160" i="11" l="1"/>
  <c r="T160" i="11" s="1"/>
  <c r="AC161" i="11"/>
  <c r="AD161" i="11" s="1"/>
  <c r="AD160" i="11"/>
  <c r="AC162" i="11" l="1"/>
  <c r="AE162" i="11" l="1"/>
  <c r="T162" i="11" s="1"/>
  <c r="AD162" i="11"/>
  <c r="R44" i="10" s="1"/>
  <c r="G261" i="26" s="1"/>
  <c r="AC163" i="11"/>
  <c r="AC164" i="11"/>
  <c r="AC165" i="11" s="1"/>
  <c r="AD165" i="11" s="1"/>
  <c r="AA162" i="11"/>
  <c r="AE164" i="11" l="1"/>
  <c r="T164" i="11" s="1"/>
  <c r="AD164" i="11"/>
  <c r="R45" i="10" s="1"/>
  <c r="G267" i="26" s="1"/>
  <c r="AD163" i="11"/>
  <c r="AC166" i="11"/>
  <c r="AD166" i="11" s="1"/>
  <c r="R46" i="10" s="1"/>
  <c r="G273" i="26" s="1"/>
  <c r="AA164" i="11"/>
  <c r="AE166" i="11" l="1"/>
  <c r="T166" i="11" s="1"/>
  <c r="AC167" i="11"/>
  <c r="AD167" i="11" s="1"/>
  <c r="AA166" i="11"/>
  <c r="AC168" i="11"/>
  <c r="AD168" i="11" s="1"/>
  <c r="AE167" i="11"/>
  <c r="T167" i="11" s="1"/>
  <c r="AC169" i="11" l="1"/>
  <c r="AC170" i="11" l="1"/>
  <c r="AE170" i="11" s="1"/>
  <c r="T170" i="11" s="1"/>
  <c r="AD169" i="11"/>
  <c r="R47" i="10" s="1"/>
  <c r="G279" i="26" s="1"/>
  <c r="AE169" i="11"/>
  <c r="T169" i="11" s="1"/>
  <c r="AA169" i="11"/>
  <c r="AC171" i="11"/>
  <c r="AD171" i="11" s="1"/>
  <c r="AD170" i="11" l="1"/>
  <c r="AC172" i="11"/>
  <c r="AC173" i="11" l="1"/>
  <c r="AE173" i="11" s="1"/>
  <c r="T173" i="11" s="1"/>
  <c r="AD172" i="11"/>
  <c r="R48" i="10" s="1"/>
  <c r="G285" i="26" s="1"/>
  <c r="AE172" i="11"/>
  <c r="T172" i="11" s="1"/>
  <c r="AA172" i="11"/>
  <c r="AC174" i="11"/>
  <c r="AD174" i="11" s="1"/>
  <c r="AD173" i="11" l="1"/>
  <c r="AC175" i="11"/>
  <c r="AC176" i="11" l="1"/>
  <c r="AE176" i="11" s="1"/>
  <c r="T176" i="11" s="1"/>
  <c r="AD175" i="11"/>
  <c r="R49" i="10" s="1"/>
  <c r="G291" i="26" s="1"/>
  <c r="AE175" i="11"/>
  <c r="T175" i="11" s="1"/>
  <c r="AA175" i="11"/>
  <c r="AC177" i="11"/>
  <c r="AD177" i="11" s="1"/>
  <c r="AD176" i="11" l="1"/>
  <c r="AC178" i="11" l="1"/>
  <c r="AC179" i="11" l="1"/>
  <c r="AE179" i="11" s="1"/>
  <c r="T179" i="11" s="1"/>
  <c r="AD178" i="11"/>
  <c r="R50" i="10" s="1"/>
  <c r="G297" i="26" s="1"/>
  <c r="AE178" i="11"/>
  <c r="T178" i="11" s="1"/>
  <c r="AA178" i="11"/>
  <c r="AC180" i="11"/>
  <c r="AD180" i="11" l="1"/>
  <c r="AD179" i="11"/>
  <c r="AC181" i="11"/>
  <c r="AD181" i="11" s="1"/>
  <c r="AE180" i="11"/>
  <c r="T180" i="11" s="1"/>
  <c r="AC182" i="11" l="1"/>
  <c r="AE182" i="11" l="1"/>
  <c r="T182" i="11" s="1"/>
  <c r="AD182" i="11"/>
  <c r="R51" i="10" s="1"/>
  <c r="G303" i="26" s="1"/>
  <c r="AC183" i="11"/>
  <c r="AE183" i="11" s="1"/>
  <c r="T183" i="11" s="1"/>
  <c r="AA182" i="11"/>
  <c r="AD183" i="11" l="1"/>
  <c r="AC184" i="11"/>
  <c r="AD184" i="11" l="1"/>
  <c r="AC185" i="11"/>
  <c r="AE184" i="11"/>
  <c r="T184" i="11" s="1"/>
  <c r="AC186" i="11"/>
  <c r="AC187" i="11" l="1"/>
  <c r="AC188" i="11" s="1"/>
  <c r="AD188" i="11" s="1"/>
  <c r="AD186" i="11"/>
  <c r="R52" i="10" s="1"/>
  <c r="G309" i="26" s="1"/>
  <c r="AD185" i="11"/>
  <c r="AE186" i="11"/>
  <c r="T186" i="11" s="1"/>
  <c r="AA186" i="11"/>
  <c r="AE187" i="11"/>
  <c r="T187" i="11" s="1"/>
  <c r="AD187" i="11" l="1"/>
  <c r="AC189" i="11"/>
  <c r="AC190" i="11" l="1"/>
  <c r="AE190" i="11" s="1"/>
  <c r="T190" i="11" s="1"/>
  <c r="AD189" i="11"/>
  <c r="R53" i="10" s="1"/>
  <c r="G315" i="26" s="1"/>
  <c r="AE189" i="11"/>
  <c r="T189" i="11" s="1"/>
  <c r="AA189" i="11"/>
  <c r="AC191" i="11"/>
  <c r="AD191" i="11" l="1"/>
  <c r="AD190" i="11"/>
  <c r="AC192" i="11"/>
  <c r="AD192" i="11" s="1"/>
  <c r="AE191" i="11"/>
  <c r="T191" i="11" s="1"/>
  <c r="AC193" i="11" l="1"/>
  <c r="AC194" i="11" l="1"/>
  <c r="AE194" i="11" s="1"/>
  <c r="T194" i="11" s="1"/>
  <c r="AD193" i="11"/>
  <c r="R54" i="10" s="1"/>
  <c r="G321" i="26" s="1"/>
  <c r="AE193" i="11"/>
  <c r="T193" i="11" s="1"/>
  <c r="AA193" i="11"/>
  <c r="AC195" i="11"/>
  <c r="AD195" i="11" s="1"/>
  <c r="AD194" i="11" l="1"/>
  <c r="AC196" i="11"/>
  <c r="AC197" i="11" l="1"/>
  <c r="AE197" i="11" s="1"/>
  <c r="T197" i="11" s="1"/>
  <c r="AD196" i="11"/>
  <c r="R55" i="10" s="1"/>
  <c r="G327" i="26" s="1"/>
  <c r="AE196" i="11"/>
  <c r="T196" i="11" s="1"/>
  <c r="AA196" i="11"/>
  <c r="AC198" i="11"/>
  <c r="AD198" i="11" l="1"/>
  <c r="AD197" i="11"/>
  <c r="AC199" i="11"/>
  <c r="AD199" i="11" s="1"/>
  <c r="AE198" i="11"/>
  <c r="T198" i="11" s="1"/>
  <c r="AC200" i="11" l="1"/>
  <c r="AC201" i="11" l="1"/>
  <c r="AC202" i="11" s="1"/>
  <c r="AD202" i="11" s="1"/>
  <c r="AD200" i="11"/>
  <c r="R56" i="10" s="1"/>
  <c r="G333" i="26" s="1"/>
  <c r="AE200" i="11"/>
  <c r="T200" i="11" s="1"/>
  <c r="AA200" i="11"/>
  <c r="AE201" i="11" l="1"/>
  <c r="T201" i="11" s="1"/>
  <c r="AD201" i="11"/>
  <c r="AC203" i="11"/>
  <c r="AC204" i="11" l="1"/>
  <c r="AD204" i="11" s="1"/>
  <c r="AD203" i="11"/>
  <c r="R57" i="10" s="1"/>
  <c r="G339" i="26" s="1"/>
  <c r="AE203" i="11"/>
  <c r="T203" i="11" s="1"/>
  <c r="AA203" i="11"/>
  <c r="AC205" i="11" l="1"/>
  <c r="AC206" i="11" l="1"/>
  <c r="AD206" i="11" s="1"/>
  <c r="AD205" i="11"/>
  <c r="R58" i="10" s="1"/>
  <c r="G345" i="26" s="1"/>
  <c r="AE205" i="11"/>
  <c r="T205" i="11" s="1"/>
  <c r="AA205" i="11"/>
  <c r="AC207" i="11" l="1"/>
  <c r="AC208" i="11" l="1"/>
  <c r="AE208" i="11" s="1"/>
  <c r="AD207" i="11"/>
  <c r="R59" i="10" s="1"/>
  <c r="AE207" i="11"/>
  <c r="T207" i="11" s="1"/>
  <c r="AA207" i="11"/>
  <c r="AC209" i="11"/>
  <c r="AD209" i="11" s="1"/>
  <c r="R61" i="10" l="1"/>
  <c r="G351" i="26"/>
  <c r="AD208" i="11"/>
  <c r="V930" i="20"/>
  <c r="V1781" i="20"/>
  <c r="V1670" i="20"/>
  <c r="V1004" i="20"/>
  <c r="V1411" i="20"/>
  <c r="V893" i="20"/>
  <c r="V1744" i="20"/>
  <c r="V1337" i="20"/>
  <c r="V1522" i="20"/>
  <c r="V1559" i="20"/>
  <c r="V1115" i="20"/>
  <c r="V1300" i="20"/>
  <c r="V1041" i="20"/>
  <c r="V1226" i="20"/>
  <c r="V1633" i="20"/>
  <c r="V1448" i="20"/>
  <c r="V1189" i="20"/>
  <c r="V1078" i="20"/>
  <c r="V1485" i="20"/>
  <c r="V1263" i="20"/>
  <c r="V967" i="20"/>
  <c r="V1892" i="20"/>
  <c r="V1707" i="20"/>
  <c r="G1453" i="19"/>
  <c r="V1596" i="20"/>
  <c r="V1374" i="20"/>
  <c r="V2003" i="20"/>
  <c r="V1818" i="20"/>
  <c r="V1152" i="20"/>
  <c r="G2113" i="19"/>
  <c r="G1508" i="19"/>
  <c r="G1893" i="19"/>
  <c r="G2773" i="19"/>
  <c r="G2333" i="19"/>
  <c r="G1618" i="19"/>
  <c r="G2498" i="19"/>
  <c r="G1563" i="19"/>
  <c r="G1783" i="19"/>
  <c r="G2663" i="19"/>
  <c r="G1728" i="19"/>
  <c r="G2388" i="19"/>
  <c r="G2443" i="19"/>
  <c r="G2223" i="19"/>
  <c r="G2553" i="19"/>
  <c r="G2058" i="19"/>
  <c r="G2608" i="19"/>
  <c r="G2168" i="19"/>
  <c r="G1838" i="19"/>
  <c r="G1948" i="19"/>
  <c r="G2828" i="19"/>
  <c r="G2718" i="19"/>
  <c r="G1673" i="19"/>
  <c r="G2278" i="19"/>
  <c r="G2883" i="19"/>
  <c r="G2003" i="19"/>
  <c r="G2938" i="19"/>
  <c r="G3048" i="19"/>
  <c r="G2993" i="19"/>
  <c r="T208" i="11"/>
  <c r="K137" i="19"/>
  <c r="J632" i="19"/>
  <c r="J137" i="19"/>
  <c r="I137" i="19"/>
  <c r="K632" i="19"/>
  <c r="I632" i="19"/>
  <c r="K1457" i="19"/>
  <c r="I1400" i="19"/>
  <c r="K1127" i="19"/>
  <c r="K1408" i="19"/>
  <c r="L1408" i="19" s="1"/>
  <c r="J1292" i="19"/>
  <c r="I1463" i="19"/>
  <c r="M1292" i="19"/>
  <c r="I1457" i="19"/>
  <c r="K1400" i="19"/>
  <c r="M1400" i="19"/>
  <c r="M1127" i="19"/>
  <c r="J1127" i="19"/>
  <c r="K1463" i="19"/>
  <c r="M1408" i="19"/>
  <c r="I1292" i="19"/>
  <c r="J1400" i="19"/>
  <c r="K1292" i="19"/>
  <c r="J1457" i="19"/>
  <c r="J1463" i="19"/>
  <c r="I1127" i="19"/>
  <c r="M1457" i="19"/>
  <c r="J1518" i="19"/>
  <c r="J1508" i="19"/>
  <c r="K1508" i="19"/>
  <c r="M1508" i="19"/>
  <c r="M1463" i="19"/>
  <c r="J1567" i="19"/>
  <c r="M1567" i="19"/>
  <c r="I1508" i="19"/>
  <c r="K1518" i="19"/>
  <c r="I1518" i="19"/>
  <c r="J1628" i="19"/>
  <c r="I1628" i="19"/>
  <c r="K1848" i="19"/>
  <c r="I2777" i="19"/>
  <c r="I1567" i="19"/>
  <c r="I2508" i="19"/>
  <c r="K1573" i="19"/>
  <c r="I2673" i="19"/>
  <c r="J1738" i="19"/>
  <c r="I2233" i="19"/>
  <c r="J2172" i="19"/>
  <c r="I2447" i="19"/>
  <c r="J2013" i="19"/>
  <c r="K2172" i="19"/>
  <c r="J2777" i="19"/>
  <c r="I2557" i="19"/>
  <c r="I2667" i="19"/>
  <c r="M1673" i="19"/>
  <c r="J2398" i="19"/>
  <c r="I1573" i="19"/>
  <c r="M2618" i="19"/>
  <c r="K2223" i="19"/>
  <c r="K2667" i="19"/>
  <c r="J1673" i="19"/>
  <c r="M2168" i="19"/>
  <c r="J2333" i="19"/>
  <c r="M2123" i="19"/>
  <c r="K2278" i="19"/>
  <c r="J1903" i="19"/>
  <c r="I2392" i="19"/>
  <c r="I2288" i="19"/>
  <c r="M2398" i="19"/>
  <c r="K1838" i="19"/>
  <c r="M1573" i="19"/>
  <c r="J1573" i="19"/>
  <c r="I2563" i="19"/>
  <c r="M1783" i="19"/>
  <c r="K1783" i="19"/>
  <c r="M2553" i="19"/>
  <c r="J2392" i="19"/>
  <c r="M2058" i="19"/>
  <c r="I2227" i="19"/>
  <c r="K2343" i="19"/>
  <c r="K2673" i="19"/>
  <c r="J2123" i="19"/>
  <c r="M2337" i="19"/>
  <c r="J2343" i="19"/>
  <c r="K2388" i="19"/>
  <c r="M2223" i="19"/>
  <c r="K2288" i="19"/>
  <c r="I1903" i="19"/>
  <c r="I1738" i="19"/>
  <c r="M2227" i="19"/>
  <c r="K2003" i="19"/>
  <c r="M1903" i="19"/>
  <c r="J2563" i="19"/>
  <c r="J2612" i="19"/>
  <c r="I2223" i="19"/>
  <c r="K1567" i="19"/>
  <c r="K1673" i="19"/>
  <c r="M1838" i="19"/>
  <c r="M2508" i="19"/>
  <c r="I2003" i="19"/>
  <c r="I2123" i="19"/>
  <c r="K2392" i="19"/>
  <c r="J2673" i="19"/>
  <c r="J1838" i="19"/>
  <c r="I1893" i="19"/>
  <c r="M2172" i="19"/>
  <c r="I1948" i="19"/>
  <c r="M2563" i="19"/>
  <c r="J2388" i="19"/>
  <c r="K2502" i="19"/>
  <c r="I2013" i="19"/>
  <c r="J2223" i="19"/>
  <c r="K2227" i="19"/>
  <c r="J1793" i="19"/>
  <c r="J1848" i="19"/>
  <c r="J2233" i="19"/>
  <c r="I2453" i="19"/>
  <c r="M2343" i="19"/>
  <c r="I2278" i="19"/>
  <c r="M1893" i="19"/>
  <c r="I2502" i="19"/>
  <c r="M2775" i="19"/>
  <c r="K2233" i="19"/>
  <c r="M2068" i="19"/>
  <c r="K2563" i="19"/>
  <c r="M2447" i="19"/>
  <c r="K1948" i="19"/>
  <c r="J1948" i="19"/>
  <c r="M1948" i="19"/>
  <c r="I2337" i="19"/>
  <c r="J2783" i="19"/>
  <c r="J2667" i="19"/>
  <c r="M2282" i="19"/>
  <c r="I2058" i="19"/>
  <c r="K2282" i="19"/>
  <c r="K2612" i="19"/>
  <c r="I2343" i="19"/>
  <c r="M2233" i="19"/>
  <c r="M1793" i="19"/>
  <c r="K2013" i="19"/>
  <c r="M2388" i="19"/>
  <c r="K2508" i="19"/>
  <c r="K2333" i="19"/>
  <c r="M2278" i="19"/>
  <c r="K2783" i="19"/>
  <c r="K1958" i="19"/>
  <c r="K2557" i="19"/>
  <c r="I2775" i="19"/>
  <c r="M2673" i="19"/>
  <c r="M2783" i="19"/>
  <c r="I2333" i="19"/>
  <c r="M2333" i="19"/>
  <c r="M2178" i="19"/>
  <c r="I2398" i="19"/>
  <c r="J2113" i="19"/>
  <c r="J2003" i="19"/>
  <c r="M2288" i="19"/>
  <c r="K2113" i="19"/>
  <c r="K2453" i="19"/>
  <c r="J2168" i="19"/>
  <c r="K2618" i="19"/>
  <c r="J2288" i="19"/>
  <c r="I2178" i="19"/>
  <c r="J1783" i="19"/>
  <c r="K2447" i="19"/>
  <c r="J2227" i="19"/>
  <c r="I2388" i="19"/>
  <c r="J2337" i="19"/>
  <c r="M2392" i="19"/>
  <c r="J2068" i="19"/>
  <c r="K1683" i="19"/>
  <c r="J2557" i="19"/>
  <c r="K1628" i="19"/>
  <c r="K2337" i="19"/>
  <c r="M2667" i="19"/>
  <c r="K2123" i="19"/>
  <c r="K2777" i="19"/>
  <c r="K2178" i="19"/>
  <c r="I2068" i="19"/>
  <c r="J1893" i="19"/>
  <c r="M1958" i="19"/>
  <c r="J2058" i="19"/>
  <c r="M1848" i="19"/>
  <c r="I1673" i="19"/>
  <c r="K1903" i="19"/>
  <c r="K2553" i="19"/>
  <c r="J1958" i="19"/>
  <c r="M2003" i="19"/>
  <c r="I1793" i="19"/>
  <c r="M2777" i="19"/>
  <c r="J2453" i="19"/>
  <c r="I1683" i="19"/>
  <c r="I1838" i="19"/>
  <c r="K2168" i="19"/>
  <c r="I2168" i="19"/>
  <c r="K1793" i="19"/>
  <c r="J2502" i="19"/>
  <c r="M2113" i="19"/>
  <c r="I2783" i="19"/>
  <c r="J2775" i="19"/>
  <c r="J2618" i="19"/>
  <c r="J2553" i="19"/>
  <c r="K2058" i="19"/>
  <c r="I1958" i="19"/>
  <c r="J2178" i="19"/>
  <c r="J2828" i="19"/>
  <c r="I2113" i="19"/>
  <c r="I2618" i="19"/>
  <c r="K2068" i="19"/>
  <c r="M2502" i="19"/>
  <c r="I2612" i="19"/>
  <c r="J2447" i="19"/>
  <c r="K2838" i="19"/>
  <c r="M2828" i="19"/>
  <c r="M2612" i="19"/>
  <c r="M2453" i="19"/>
  <c r="J1683" i="19"/>
  <c r="I2838" i="19"/>
  <c r="K1893" i="19"/>
  <c r="I2553" i="19"/>
  <c r="J2832" i="19"/>
  <c r="I1783" i="19"/>
  <c r="K2775" i="19"/>
  <c r="I2172" i="19"/>
  <c r="J2508" i="19"/>
  <c r="J2278" i="19"/>
  <c r="J2838" i="19"/>
  <c r="M1738" i="19"/>
  <c r="J2282" i="19"/>
  <c r="I2828" i="19"/>
  <c r="K2398" i="19"/>
  <c r="I2282" i="19"/>
  <c r="I1848" i="19"/>
  <c r="I2997" i="19"/>
  <c r="K1738" i="19"/>
  <c r="J2938" i="19"/>
  <c r="M2948" i="19"/>
  <c r="I2893" i="19"/>
  <c r="K2993" i="19"/>
  <c r="J2942" i="19"/>
  <c r="J2893" i="19"/>
  <c r="M2997" i="19"/>
  <c r="K2832" i="19"/>
  <c r="K2893" i="19"/>
  <c r="K2997" i="19"/>
  <c r="I2832" i="19"/>
  <c r="M2993" i="19"/>
  <c r="I3003" i="19"/>
  <c r="J3003" i="19"/>
  <c r="K3058" i="19"/>
  <c r="K2828" i="19"/>
  <c r="I2938" i="19"/>
  <c r="I2948" i="19"/>
  <c r="M2938" i="19"/>
  <c r="K3003" i="19"/>
  <c r="M2942" i="19"/>
  <c r="M2893" i="19"/>
  <c r="K2942" i="19"/>
  <c r="I2993" i="19"/>
  <c r="I2942" i="19"/>
  <c r="J2993" i="19"/>
  <c r="J2948" i="19"/>
  <c r="M3003" i="19"/>
  <c r="K2948" i="19"/>
  <c r="I3048" i="19"/>
  <c r="K2938" i="19"/>
  <c r="K3048" i="19"/>
  <c r="J3048" i="19"/>
  <c r="J2997" i="19"/>
  <c r="J3058" i="19"/>
  <c r="M3048" i="19"/>
  <c r="I3058" i="19"/>
  <c r="M3058" i="19"/>
  <c r="E2017" i="20" l="1"/>
  <c r="G2017" i="20" s="1"/>
  <c r="E2016" i="20"/>
  <c r="G2016" i="20" s="1"/>
  <c r="E1906" i="20"/>
  <c r="G1906" i="20" s="1"/>
  <c r="E1905" i="20"/>
  <c r="G1905" i="20" s="1"/>
  <c r="E1832" i="20"/>
  <c r="G1832" i="20" s="1"/>
  <c r="E1831" i="20"/>
  <c r="G1831" i="20" s="1"/>
  <c r="E1794" i="20"/>
  <c r="G1794" i="20" s="1"/>
  <c r="E1795" i="20"/>
  <c r="G1795" i="20" s="1"/>
  <c r="E1758" i="20"/>
  <c r="G1758" i="20" s="1"/>
  <c r="E1757" i="20"/>
  <c r="G1757" i="20" s="1"/>
  <c r="E1720" i="20"/>
  <c r="G1720" i="20" s="1"/>
  <c r="E1721" i="20"/>
  <c r="G1721" i="20" s="1"/>
  <c r="E1684" i="20"/>
  <c r="G1684" i="20" s="1"/>
  <c r="E1683" i="20"/>
  <c r="G1683" i="20" s="1"/>
  <c r="E1647" i="20"/>
  <c r="G1647" i="20" s="1"/>
  <c r="E1646" i="20"/>
  <c r="G1646" i="20" s="1"/>
  <c r="E1610" i="20"/>
  <c r="G1610" i="20" s="1"/>
  <c r="E1609" i="20"/>
  <c r="G1609" i="20" s="1"/>
  <c r="E1573" i="20"/>
  <c r="G1573" i="20" s="1"/>
  <c r="E1572" i="20"/>
  <c r="G1572" i="20" s="1"/>
  <c r="E1535" i="20"/>
  <c r="G1535" i="20" s="1"/>
  <c r="E1536" i="20"/>
  <c r="G1536" i="20" s="1"/>
  <c r="E1499" i="20"/>
  <c r="G1499" i="20" s="1"/>
  <c r="E1498" i="20"/>
  <c r="G1498" i="20" s="1"/>
  <c r="E1462" i="20"/>
  <c r="G1462" i="20" s="1"/>
  <c r="E1461" i="20"/>
  <c r="G1461" i="20" s="1"/>
  <c r="E1425" i="20"/>
  <c r="G1425" i="20" s="1"/>
  <c r="E1424" i="20"/>
  <c r="G1424" i="20" s="1"/>
  <c r="E1388" i="20"/>
  <c r="G1388" i="20" s="1"/>
  <c r="E1387" i="20"/>
  <c r="G1387" i="20" s="1"/>
  <c r="E1351" i="20"/>
  <c r="G1351" i="20" s="1"/>
  <c r="E1350" i="20"/>
  <c r="G1350" i="20" s="1"/>
  <c r="E1314" i="20"/>
  <c r="G1314" i="20" s="1"/>
  <c r="E1313" i="20"/>
  <c r="G1313" i="20" s="1"/>
  <c r="E1277" i="20"/>
  <c r="G1277" i="20" s="1"/>
  <c r="E1276" i="20"/>
  <c r="G1276" i="20" s="1"/>
  <c r="E1240" i="20"/>
  <c r="G1240" i="20" s="1"/>
  <c r="E1239" i="20"/>
  <c r="G1239" i="20" s="1"/>
  <c r="E1203" i="20"/>
  <c r="G1203" i="20" s="1"/>
  <c r="E1202" i="20"/>
  <c r="G1202" i="20" s="1"/>
  <c r="E1166" i="20"/>
  <c r="G1166" i="20" s="1"/>
  <c r="E1165" i="20"/>
  <c r="G1165" i="20" s="1"/>
  <c r="E1129" i="20"/>
  <c r="G1129" i="20" s="1"/>
  <c r="E1128" i="20"/>
  <c r="G1128" i="20" s="1"/>
  <c r="E1091" i="20"/>
  <c r="G1091" i="20" s="1"/>
  <c r="E1092" i="20"/>
  <c r="G1092" i="20" s="1"/>
  <c r="E907" i="20"/>
  <c r="G907" i="20" s="1"/>
  <c r="E906" i="20"/>
  <c r="G906" i="20" s="1"/>
  <c r="E980" i="20"/>
  <c r="G980" i="20" s="1"/>
  <c r="E981" i="20"/>
  <c r="G981" i="20" s="1"/>
  <c r="E1055" i="20"/>
  <c r="G1055" i="20" s="1"/>
  <c r="E1054" i="20"/>
  <c r="G1054" i="20" s="1"/>
  <c r="E943" i="20"/>
  <c r="G943" i="20" s="1"/>
  <c r="E944" i="20"/>
  <c r="G944" i="20" s="1"/>
  <c r="E1018" i="20"/>
  <c r="G1018" i="20" s="1"/>
  <c r="E1017" i="20"/>
  <c r="G1017" i="20" s="1"/>
  <c r="L2388" i="19"/>
  <c r="N2388" i="19" s="1"/>
  <c r="L1848" i="19"/>
  <c r="N1848" i="19" s="1"/>
  <c r="L1783" i="19"/>
  <c r="N1783" i="19" s="1"/>
  <c r="L2343" i="19"/>
  <c r="N2343" i="19" s="1"/>
  <c r="L2333" i="19"/>
  <c r="N2333" i="19" s="1"/>
  <c r="L2993" i="19"/>
  <c r="N2993" i="19" s="1"/>
  <c r="L2172" i="19"/>
  <c r="N2172" i="19" s="1"/>
  <c r="L2223" i="19"/>
  <c r="N2223" i="19" s="1"/>
  <c r="L1127" i="19"/>
  <c r="N1127" i="19" s="1"/>
  <c r="L3058" i="19"/>
  <c r="N3058" i="19" s="1"/>
  <c r="L2942" i="19"/>
  <c r="N2942" i="19" s="1"/>
  <c r="L2938" i="19"/>
  <c r="N2938" i="19" s="1"/>
  <c r="L3003" i="19"/>
  <c r="N3003" i="19" s="1"/>
  <c r="L2838" i="19"/>
  <c r="L2278" i="19"/>
  <c r="N2278" i="19" s="1"/>
  <c r="L2003" i="19"/>
  <c r="N2003" i="19" s="1"/>
  <c r="L1738" i="19"/>
  <c r="N1738" i="19" s="1"/>
  <c r="L2563" i="19"/>
  <c r="N2563" i="19" s="1"/>
  <c r="L1573" i="19"/>
  <c r="N1573" i="19" s="1"/>
  <c r="L2447" i="19"/>
  <c r="N2447" i="19" s="1"/>
  <c r="L137" i="19"/>
  <c r="N137" i="19" s="1"/>
  <c r="L1793" i="19"/>
  <c r="N1793" i="19" s="1"/>
  <c r="L2398" i="19"/>
  <c r="N2398" i="19" s="1"/>
  <c r="L2013" i="19"/>
  <c r="N2013" i="19" s="1"/>
  <c r="N1408" i="19"/>
  <c r="N2838" i="19"/>
  <c r="L2178" i="19"/>
  <c r="N2178" i="19" s="1"/>
  <c r="L2557" i="19"/>
  <c r="N2557" i="19" s="1"/>
  <c r="L2673" i="19"/>
  <c r="N2673" i="19" s="1"/>
  <c r="L2282" i="19"/>
  <c r="N2282" i="19" s="1"/>
  <c r="L1838" i="19"/>
  <c r="N1838" i="19" s="1"/>
  <c r="L2058" i="19"/>
  <c r="N2058" i="19" s="1"/>
  <c r="L2337" i="19"/>
  <c r="N2337" i="19" s="1"/>
  <c r="L1948" i="19"/>
  <c r="N1948" i="19" s="1"/>
  <c r="L1903" i="19"/>
  <c r="N1903" i="19" s="1"/>
  <c r="L2288" i="19"/>
  <c r="N2288" i="19" s="1"/>
  <c r="L2777" i="19"/>
  <c r="N2777" i="19" s="1"/>
  <c r="L1518" i="19"/>
  <c r="N1518" i="19" s="1"/>
  <c r="L1457" i="19"/>
  <c r="N1457" i="19" s="1"/>
  <c r="L632" i="19"/>
  <c r="N632" i="19" s="1"/>
  <c r="L1958" i="19"/>
  <c r="N1958" i="19" s="1"/>
  <c r="L2502" i="19"/>
  <c r="N2502" i="19" s="1"/>
  <c r="L2227" i="19"/>
  <c r="N2227" i="19" s="1"/>
  <c r="L2392" i="19"/>
  <c r="N2392" i="19" s="1"/>
  <c r="L2233" i="19"/>
  <c r="N2233" i="19" s="1"/>
  <c r="L2508" i="19"/>
  <c r="N2508" i="19" s="1"/>
  <c r="L1292" i="19"/>
  <c r="N1292" i="19" s="1"/>
  <c r="L2832" i="19"/>
  <c r="N2832" i="19" s="1"/>
  <c r="L2553" i="19"/>
  <c r="N2553" i="19" s="1"/>
  <c r="L2618" i="19"/>
  <c r="N2618" i="19" s="1"/>
  <c r="L1683" i="19"/>
  <c r="N1683" i="19" s="1"/>
  <c r="L1673" i="19"/>
  <c r="N1673" i="19" s="1"/>
  <c r="L2453" i="19"/>
  <c r="N2453" i="19" s="1"/>
  <c r="L3048" i="19"/>
  <c r="N3048" i="19" s="1"/>
  <c r="L2948" i="19"/>
  <c r="N2948" i="19" s="1"/>
  <c r="L2893" i="19"/>
  <c r="N2893" i="19" s="1"/>
  <c r="L2997" i="19"/>
  <c r="N2997" i="19" s="1"/>
  <c r="L2828" i="19"/>
  <c r="N2828" i="19" s="1"/>
  <c r="L2612" i="19"/>
  <c r="N2612" i="19" s="1"/>
  <c r="L2113" i="19"/>
  <c r="N2113" i="19" s="1"/>
  <c r="L2783" i="19"/>
  <c r="N2783" i="19" s="1"/>
  <c r="L2168" i="19"/>
  <c r="N2168" i="19" s="1"/>
  <c r="L2068" i="19"/>
  <c r="N2068" i="19" s="1"/>
  <c r="L2775" i="19"/>
  <c r="N2775" i="19" s="1"/>
  <c r="L1893" i="19"/>
  <c r="N1893" i="19" s="1"/>
  <c r="L2123" i="19"/>
  <c r="N2123" i="19" s="1"/>
  <c r="L2667" i="19"/>
  <c r="N2667" i="19" s="1"/>
  <c r="L1567" i="19"/>
  <c r="N1567" i="19" s="1"/>
  <c r="L1628" i="19"/>
  <c r="N1628" i="19" s="1"/>
  <c r="L1508" i="19"/>
  <c r="N1508" i="19" s="1"/>
  <c r="L1463" i="19"/>
  <c r="N1463" i="19" s="1"/>
  <c r="L1400" i="19"/>
  <c r="N1400" i="19" s="1"/>
  <c r="H51" i="10"/>
  <c r="L23" i="10"/>
  <c r="Q708" i="20" s="1"/>
  <c r="D712" i="20" s="1"/>
  <c r="H5" i="10"/>
  <c r="L45" i="10"/>
  <c r="Q1522" i="20" s="1"/>
  <c r="D1526" i="20" s="1"/>
  <c r="L41" i="10"/>
  <c r="Q1374" i="20" s="1"/>
  <c r="D1378" i="20" s="1"/>
  <c r="L32" i="10"/>
  <c r="Q1041" i="20" s="1"/>
  <c r="D1045" i="20" s="1"/>
  <c r="H6" i="10"/>
  <c r="H52" i="10"/>
  <c r="L34" i="10"/>
  <c r="Q1115" i="20" s="1"/>
  <c r="D1119" i="20" s="1"/>
  <c r="L22" i="10"/>
  <c r="Q671" i="20" s="1"/>
  <c r="D675" i="20" s="1"/>
  <c r="H30" i="10"/>
  <c r="R967" i="20" s="1"/>
  <c r="D972" i="20" s="1"/>
  <c r="H38" i="10"/>
  <c r="R1263" i="20" s="1"/>
  <c r="D1268" i="20" s="1"/>
  <c r="H39" i="10"/>
  <c r="L31" i="10"/>
  <c r="Q1004" i="20" s="1"/>
  <c r="D1008" i="20" s="1"/>
  <c r="L19" i="10"/>
  <c r="Q560" i="20" s="1"/>
  <c r="D564" i="20" s="1"/>
  <c r="L18" i="10"/>
  <c r="Q523" i="20" s="1"/>
  <c r="D527" i="20" s="1"/>
  <c r="H10" i="10"/>
  <c r="R227" i="20" s="1"/>
  <c r="D232" i="20" s="1"/>
  <c r="L6" i="10"/>
  <c r="Q79" i="20" s="1"/>
  <c r="D83" i="20" s="1"/>
  <c r="L36" i="10"/>
  <c r="Q1189" i="20" s="1"/>
  <c r="D1193" i="20" s="1"/>
  <c r="H25" i="10"/>
  <c r="L12" i="10"/>
  <c r="Q301" i="20" s="1"/>
  <c r="D305" i="20" s="1"/>
  <c r="H41" i="10"/>
  <c r="R1374" i="20" s="1"/>
  <c r="D1379" i="20" s="1"/>
  <c r="H19" i="10"/>
  <c r="L30" i="10"/>
  <c r="Q967" i="20" s="1"/>
  <c r="D971" i="20" s="1"/>
  <c r="L10" i="10"/>
  <c r="Q227" i="20" s="1"/>
  <c r="D231" i="20" s="1"/>
  <c r="L8" i="10"/>
  <c r="Q153" i="20" s="1"/>
  <c r="D157" i="20" s="1"/>
  <c r="H43" i="10"/>
  <c r="H7" i="10"/>
  <c r="R116" i="20" s="1"/>
  <c r="D121" i="20" s="1"/>
  <c r="H15" i="10"/>
  <c r="L48" i="10"/>
  <c r="Q1633" i="20" s="1"/>
  <c r="D1637" i="20" s="1"/>
  <c r="H31" i="10"/>
  <c r="H21" i="10"/>
  <c r="L44" i="10"/>
  <c r="Q1485" i="20" s="1"/>
  <c r="D1489" i="20" s="1"/>
  <c r="L33" i="10"/>
  <c r="Q1078" i="20" s="1"/>
  <c r="D1082" i="20" s="1"/>
  <c r="L39" i="10"/>
  <c r="Q1300" i="20" s="1"/>
  <c r="D1304" i="20" s="1"/>
  <c r="L49" i="10"/>
  <c r="Q1670" i="20" s="1"/>
  <c r="D1674" i="20" s="1"/>
  <c r="H29" i="10"/>
  <c r="L16" i="10"/>
  <c r="Q449" i="20" s="1"/>
  <c r="D453" i="20" s="1"/>
  <c r="H50" i="10"/>
  <c r="R1707" i="20" s="1"/>
  <c r="D1712" i="20" s="1"/>
  <c r="H8" i="10"/>
  <c r="H28" i="10"/>
  <c r="L17" i="10"/>
  <c r="Q486" i="20" s="1"/>
  <c r="D490" i="20" s="1"/>
  <c r="H44" i="10"/>
  <c r="R1485" i="20" s="1"/>
  <c r="D1490" i="20" s="1"/>
  <c r="H27" i="10"/>
  <c r="R856" i="20" s="1"/>
  <c r="D861" i="20" s="1"/>
  <c r="H26" i="10"/>
  <c r="L4" i="10"/>
  <c r="H17" i="10"/>
  <c r="R486" i="20" s="1"/>
  <c r="D491" i="20" s="1"/>
  <c r="H45" i="10"/>
  <c r="H9" i="10"/>
  <c r="H42" i="10"/>
  <c r="L38" i="10"/>
  <c r="Q1263" i="20" s="1"/>
  <c r="D1267" i="20" s="1"/>
  <c r="L50" i="10"/>
  <c r="Q1707" i="20" s="1"/>
  <c r="D1711" i="20" s="1"/>
  <c r="H33" i="10"/>
  <c r="R1078" i="20" s="1"/>
  <c r="D1083" i="20" s="1"/>
  <c r="L42" i="10"/>
  <c r="Q1411" i="20" s="1"/>
  <c r="D1415" i="20" s="1"/>
  <c r="L29" i="10"/>
  <c r="Q930" i="20" s="1"/>
  <c r="D934" i="20" s="1"/>
  <c r="H35" i="10"/>
  <c r="R1152" i="20" s="1"/>
  <c r="D1157" i="20" s="1"/>
  <c r="L40" i="10"/>
  <c r="Q1337" i="20" s="1"/>
  <c r="D1341" i="20" s="1"/>
  <c r="H47" i="10"/>
  <c r="R1596" i="20" s="1"/>
  <c r="D1601" i="20" s="1"/>
  <c r="L20" i="10"/>
  <c r="Q597" i="20" s="1"/>
  <c r="D601" i="20" s="1"/>
  <c r="H13" i="10"/>
  <c r="L24" i="10"/>
  <c r="Q745" i="20" s="1"/>
  <c r="D749" i="20" s="1"/>
  <c r="L46" i="10"/>
  <c r="Q1559" i="20" s="1"/>
  <c r="D1563" i="20" s="1"/>
  <c r="H37" i="10"/>
  <c r="L11" i="10"/>
  <c r="Q264" i="20" s="1"/>
  <c r="D268" i="20" s="1"/>
  <c r="L37" i="10"/>
  <c r="Q1226" i="20" s="1"/>
  <c r="D1230" i="20" s="1"/>
  <c r="L9" i="10"/>
  <c r="Q190" i="20" s="1"/>
  <c r="D194" i="20" s="1"/>
  <c r="L14" i="10"/>
  <c r="Q375" i="20" s="1"/>
  <c r="D379" i="20" s="1"/>
  <c r="L26" i="10"/>
  <c r="Q819" i="20" s="1"/>
  <c r="D823" i="20" s="1"/>
  <c r="H36" i="10"/>
  <c r="H11" i="10"/>
  <c r="H34" i="10"/>
  <c r="H48" i="10"/>
  <c r="L5" i="10"/>
  <c r="Q42" i="20" s="1"/>
  <c r="D46" i="20" s="1"/>
  <c r="H4" i="10"/>
  <c r="H23" i="10"/>
  <c r="H20" i="10"/>
  <c r="R597" i="20" s="1"/>
  <c r="D602" i="20" s="1"/>
  <c r="L21" i="10"/>
  <c r="Q634" i="20" s="1"/>
  <c r="D638" i="20" s="1"/>
  <c r="L51" i="10"/>
  <c r="Q1744" i="20" s="1"/>
  <c r="D1748" i="20" s="1"/>
  <c r="L27" i="10"/>
  <c r="Q856" i="20" s="1"/>
  <c r="D860" i="20" s="1"/>
  <c r="H12" i="10"/>
  <c r="H24" i="10"/>
  <c r="R745" i="20" s="1"/>
  <c r="D750" i="20" s="1"/>
  <c r="L7" i="10"/>
  <c r="Q116" i="20" s="1"/>
  <c r="D120" i="20" s="1"/>
  <c r="H18" i="10"/>
  <c r="H14" i="10"/>
  <c r="R375" i="20" s="1"/>
  <c r="D380" i="20" s="1"/>
  <c r="H46" i="10"/>
  <c r="L43" i="10"/>
  <c r="Q1448" i="20" s="1"/>
  <c r="D1452" i="20" s="1"/>
  <c r="H40" i="10"/>
  <c r="L35" i="10"/>
  <c r="Q1152" i="20" s="1"/>
  <c r="D1156" i="20" s="1"/>
  <c r="L25" i="10"/>
  <c r="Q782" i="20" s="1"/>
  <c r="D786" i="20" s="1"/>
  <c r="H49" i="10"/>
  <c r="H16" i="10"/>
  <c r="L13" i="10"/>
  <c r="Q338" i="20" s="1"/>
  <c r="D342" i="20" s="1"/>
  <c r="L47" i="10"/>
  <c r="Q1596" i="20" s="1"/>
  <c r="D1600" i="20" s="1"/>
  <c r="H32" i="10"/>
  <c r="L28" i="10"/>
  <c r="Q893" i="20" s="1"/>
  <c r="D897" i="20" s="1"/>
  <c r="H22" i="10"/>
  <c r="R671" i="20" s="1"/>
  <c r="D676" i="20" s="1"/>
  <c r="L52" i="10"/>
  <c r="Q1781" i="20" s="1"/>
  <c r="D1785" i="20" s="1"/>
  <c r="L15" i="10"/>
  <c r="Q412" i="20" s="1"/>
  <c r="D416" i="20" s="1"/>
  <c r="I139" i="19" l="1"/>
  <c r="J133" i="19"/>
  <c r="I133" i="19"/>
  <c r="M133" i="19"/>
  <c r="K133" i="19"/>
  <c r="J253" i="19"/>
  <c r="J139" i="19"/>
  <c r="K139" i="19"/>
  <c r="K412" i="19"/>
  <c r="K253" i="19"/>
  <c r="M253" i="19"/>
  <c r="J463" i="19"/>
  <c r="I253" i="19"/>
  <c r="J410" i="19"/>
  <c r="K463" i="19"/>
  <c r="K410" i="19"/>
  <c r="I410" i="19"/>
  <c r="I412" i="19"/>
  <c r="M463" i="19"/>
  <c r="I463" i="19"/>
  <c r="J412" i="19"/>
  <c r="I858" i="19"/>
  <c r="K858" i="19"/>
  <c r="J858" i="19"/>
  <c r="M858" i="19"/>
  <c r="M1123" i="19"/>
  <c r="I1068" i="19"/>
  <c r="I1123" i="19"/>
  <c r="K1068" i="19"/>
  <c r="J1068" i="19"/>
  <c r="M1068" i="19"/>
  <c r="K1123" i="19"/>
  <c r="J1123" i="19"/>
  <c r="I1237" i="19"/>
  <c r="K1237" i="19"/>
  <c r="J1237" i="19"/>
  <c r="J1239" i="19"/>
  <c r="K1239" i="19"/>
  <c r="M1237" i="19"/>
  <c r="M1239" i="19"/>
  <c r="I1239" i="19"/>
  <c r="I192" i="19"/>
  <c r="J1406" i="19"/>
  <c r="K1406" i="19"/>
  <c r="J1398" i="19"/>
  <c r="K192" i="19"/>
  <c r="I1406" i="19"/>
  <c r="M1398" i="19"/>
  <c r="I1398" i="19"/>
  <c r="J192" i="19"/>
  <c r="M192" i="19"/>
  <c r="K1398" i="19"/>
  <c r="M1406" i="19"/>
  <c r="J1565" i="19"/>
  <c r="K1677" i="19"/>
  <c r="J1677" i="19"/>
  <c r="M1732" i="19"/>
  <c r="I1732" i="19"/>
  <c r="J1732" i="19"/>
  <c r="K1565" i="19"/>
  <c r="I1565" i="19"/>
  <c r="I1677" i="19"/>
  <c r="K1732" i="19"/>
  <c r="J2498" i="19"/>
  <c r="I2443" i="19"/>
  <c r="K2443" i="19"/>
  <c r="J2443" i="19"/>
  <c r="M2443" i="19"/>
  <c r="I2498" i="19"/>
  <c r="M2498" i="19"/>
  <c r="K2498" i="19"/>
  <c r="M2722" i="19"/>
  <c r="J2722" i="19"/>
  <c r="K2722" i="19"/>
  <c r="I2722" i="19"/>
  <c r="K2944" i="19"/>
  <c r="K2940" i="19"/>
  <c r="M3052" i="19"/>
  <c r="J2944" i="19"/>
  <c r="I2940" i="19"/>
  <c r="M2940" i="19"/>
  <c r="I2944" i="19"/>
  <c r="M2944" i="19"/>
  <c r="K3050" i="19"/>
  <c r="I3050" i="19"/>
  <c r="K3052" i="19"/>
  <c r="M3050" i="19"/>
  <c r="J3052" i="19"/>
  <c r="I3052" i="19"/>
  <c r="J2940" i="19"/>
  <c r="J3050" i="19"/>
  <c r="V1855" i="20"/>
  <c r="V1929" i="20"/>
  <c r="V1966" i="20"/>
  <c r="AP1238" i="19"/>
  <c r="AP1407" i="19"/>
  <c r="AP1464" i="19"/>
  <c r="AP1242" i="19"/>
  <c r="AP1350" i="19"/>
  <c r="AP1289" i="19"/>
  <c r="AP1409" i="19"/>
  <c r="AP1352" i="19"/>
  <c r="AP1344" i="19"/>
  <c r="AP1458" i="19"/>
  <c r="AP1124" i="19"/>
  <c r="AP1179" i="19"/>
  <c r="AP1128" i="19"/>
  <c r="AP1244" i="19"/>
  <c r="AP1291" i="19"/>
  <c r="AP1126" i="19"/>
  <c r="AP1517" i="19"/>
  <c r="AP1185" i="19"/>
  <c r="AP1299" i="19"/>
  <c r="AP1405" i="19"/>
  <c r="AP1234" i="19"/>
  <c r="AP1399" i="19"/>
  <c r="AP1189" i="19"/>
  <c r="AP1519" i="19"/>
  <c r="AP1240" i="19"/>
  <c r="AP1187" i="19"/>
  <c r="AP1511" i="19"/>
  <c r="AP1297" i="19"/>
  <c r="AP1181" i="19"/>
  <c r="AP1403" i="19"/>
  <c r="AP1401" i="19"/>
  <c r="AP1354" i="19"/>
  <c r="AP1460" i="19"/>
  <c r="AP1295" i="19"/>
  <c r="AP1183" i="19"/>
  <c r="AP1348" i="19"/>
  <c r="AP1346" i="19"/>
  <c r="AP1236" i="19"/>
  <c r="AP1454" i="19"/>
  <c r="AP1130" i="19"/>
  <c r="AP1462" i="19"/>
  <c r="AP1513" i="19"/>
  <c r="AP1509" i="19"/>
  <c r="AP1456" i="19"/>
  <c r="AP1515" i="19"/>
  <c r="AP1680" i="19"/>
  <c r="AP1621" i="19"/>
  <c r="AP1574" i="19"/>
  <c r="AP1570" i="19"/>
  <c r="AP1566" i="19"/>
  <c r="AP1293" i="19"/>
  <c r="AP1564" i="19"/>
  <c r="AP1625" i="19"/>
  <c r="AP1623" i="19"/>
  <c r="AP1572" i="19"/>
  <c r="AP1568" i="19"/>
  <c r="AP1684" i="19"/>
  <c r="AP1619" i="19"/>
  <c r="AP1629" i="19"/>
  <c r="AP1792" i="19"/>
  <c r="AP1627" i="19"/>
  <c r="AP1678" i="19"/>
  <c r="AP1682" i="19"/>
  <c r="AP1735" i="19"/>
  <c r="AP1676" i="19"/>
  <c r="AP1788" i="19"/>
  <c r="AP1674" i="19"/>
  <c r="AP1733" i="19"/>
  <c r="AP1731" i="19"/>
  <c r="AP1898" i="19"/>
  <c r="AP1784" i="19"/>
  <c r="AP1847" i="19"/>
  <c r="AP1739" i="19"/>
  <c r="AP1729" i="19"/>
  <c r="AP1794" i="19"/>
  <c r="AP1790" i="19"/>
  <c r="AP1843" i="19"/>
  <c r="AP1737" i="19"/>
  <c r="AP1786" i="19"/>
  <c r="K1956" i="19"/>
  <c r="AP1896" i="19"/>
  <c r="AP1841" i="19"/>
  <c r="AP1849" i="19"/>
  <c r="AP1845" i="19"/>
  <c r="AP1894" i="19"/>
  <c r="AP1904" i="19"/>
  <c r="I1952" i="19"/>
  <c r="AP1900" i="19"/>
  <c r="AP1902" i="19"/>
  <c r="J1954" i="19"/>
  <c r="AP1839" i="19"/>
  <c r="I1950" i="19"/>
  <c r="K1950" i="19"/>
  <c r="M1952" i="19"/>
  <c r="I1956" i="19"/>
  <c r="K1952" i="19"/>
  <c r="I1954" i="19"/>
  <c r="K1954" i="19"/>
  <c r="J1950" i="19"/>
  <c r="J1952" i="19"/>
  <c r="M1950" i="19"/>
  <c r="J1956" i="19"/>
  <c r="M1956" i="19"/>
  <c r="M1954" i="19"/>
  <c r="AP2061" i="19"/>
  <c r="AP2006" i="19"/>
  <c r="AP2014" i="19"/>
  <c r="AP2010" i="19"/>
  <c r="AP2012" i="19"/>
  <c r="AP2067" i="19"/>
  <c r="AP2008" i="19"/>
  <c r="AP2059" i="19"/>
  <c r="AP2069" i="19"/>
  <c r="AP2063" i="19"/>
  <c r="AP2116" i="19"/>
  <c r="AP2065" i="19"/>
  <c r="AP2004" i="19"/>
  <c r="AP2120" i="19"/>
  <c r="AP2122" i="19"/>
  <c r="AP2114" i="19"/>
  <c r="AP2226" i="19"/>
  <c r="AP2171" i="19"/>
  <c r="AP2169" i="19"/>
  <c r="AP2124" i="19"/>
  <c r="AP2118" i="19"/>
  <c r="AP2281" i="19"/>
  <c r="AP2232" i="19"/>
  <c r="AP2228" i="19"/>
  <c r="AP2224" i="19"/>
  <c r="AP2179" i="19"/>
  <c r="AP2173" i="19"/>
  <c r="AP2175" i="19"/>
  <c r="AP2283" i="19"/>
  <c r="AP2289" i="19"/>
  <c r="AP2230" i="19"/>
  <c r="AP2234" i="19"/>
  <c r="AP2279" i="19"/>
  <c r="AP2177" i="19"/>
  <c r="AP2342" i="19"/>
  <c r="AP2334" i="19"/>
  <c r="AP2395" i="19"/>
  <c r="AP2287" i="19"/>
  <c r="AP2399" i="19"/>
  <c r="AP2393" i="19"/>
  <c r="AP2340" i="19"/>
  <c r="AP2389" i="19"/>
  <c r="AP2397" i="19"/>
  <c r="AP2338" i="19"/>
  <c r="AP2344" i="19"/>
  <c r="AP2285" i="19"/>
  <c r="AP2448" i="19"/>
  <c r="AP2450" i="19"/>
  <c r="AP2391" i="19"/>
  <c r="AP2336" i="19"/>
  <c r="AP2446" i="19"/>
  <c r="AP2454" i="19"/>
  <c r="AP2444" i="19"/>
  <c r="AP2501" i="19"/>
  <c r="AP2452" i="19"/>
  <c r="AP2503" i="19"/>
  <c r="AP2505" i="19"/>
  <c r="AP2507" i="19"/>
  <c r="AP2558" i="19"/>
  <c r="AP2499" i="19"/>
  <c r="AP2509" i="19"/>
  <c r="AP2556" i="19"/>
  <c r="AP2554" i="19"/>
  <c r="AP2560" i="19"/>
  <c r="AP2564" i="19"/>
  <c r="AP2609" i="19"/>
  <c r="AP2562" i="19"/>
  <c r="AP2615" i="19"/>
  <c r="AP2617" i="19"/>
  <c r="AP2611" i="19"/>
  <c r="AP2613" i="19"/>
  <c r="AP2674" i="19"/>
  <c r="AP2666" i="19"/>
  <c r="AP2664" i="19"/>
  <c r="AP2668" i="19"/>
  <c r="AP2672" i="19"/>
  <c r="AP2670" i="19"/>
  <c r="AP2619" i="19"/>
  <c r="J2773" i="19"/>
  <c r="M2779" i="19"/>
  <c r="I2773" i="19"/>
  <c r="AP2780" i="19"/>
  <c r="K2773" i="19"/>
  <c r="J2779" i="19"/>
  <c r="AP2776" i="19"/>
  <c r="AP2778" i="19"/>
  <c r="J2781" i="19"/>
  <c r="I2779" i="19"/>
  <c r="M2781" i="19"/>
  <c r="AP2784" i="19"/>
  <c r="M2773" i="19"/>
  <c r="AP2835" i="19"/>
  <c r="AP2782" i="19"/>
  <c r="K2781" i="19"/>
  <c r="K2779" i="19"/>
  <c r="AP2833" i="19"/>
  <c r="I2834" i="19"/>
  <c r="I2781" i="19"/>
  <c r="J2836" i="19"/>
  <c r="K2834" i="19"/>
  <c r="I2836" i="19"/>
  <c r="I2889" i="19"/>
  <c r="K2830" i="19"/>
  <c r="J2887" i="19"/>
  <c r="AP2774" i="19"/>
  <c r="K2885" i="19"/>
  <c r="AP2890" i="19"/>
  <c r="J2883" i="19"/>
  <c r="I2883" i="19"/>
  <c r="I2885" i="19"/>
  <c r="AP2886" i="19"/>
  <c r="K2891" i="19"/>
  <c r="I2891" i="19"/>
  <c r="K2889" i="19"/>
  <c r="K2883" i="19"/>
  <c r="AP2837" i="19"/>
  <c r="J2891" i="19"/>
  <c r="M2891" i="19"/>
  <c r="J2885" i="19"/>
  <c r="AP2894" i="19"/>
  <c r="AP2943" i="19"/>
  <c r="AP2945" i="19"/>
  <c r="AP2839" i="19"/>
  <c r="AP3002" i="19"/>
  <c r="AP2949" i="19"/>
  <c r="I2887" i="19"/>
  <c r="I2830" i="19"/>
  <c r="J2995" i="19"/>
  <c r="K2836" i="19"/>
  <c r="AP2996" i="19"/>
  <c r="J2946" i="19"/>
  <c r="I2946" i="19"/>
  <c r="M2995" i="19"/>
  <c r="AP2941" i="19"/>
  <c r="M2999" i="19"/>
  <c r="K2995" i="19"/>
  <c r="I2995" i="19"/>
  <c r="J2834" i="19"/>
  <c r="M2885" i="19"/>
  <c r="AP2994" i="19"/>
  <c r="AP2998" i="19"/>
  <c r="M2889" i="19"/>
  <c r="AP2884" i="19"/>
  <c r="K3001" i="19"/>
  <c r="M2887" i="19"/>
  <c r="I2999" i="19"/>
  <c r="AP2831" i="19"/>
  <c r="M2883" i="19"/>
  <c r="J2830" i="19"/>
  <c r="AP2888" i="19"/>
  <c r="K2999" i="19"/>
  <c r="I3054" i="19"/>
  <c r="J3056" i="19"/>
  <c r="AP3051" i="19"/>
  <c r="I3001" i="19"/>
  <c r="AP2829" i="19"/>
  <c r="AP2939" i="19"/>
  <c r="J2889" i="19"/>
  <c r="AP3004" i="19"/>
  <c r="K2946" i="19"/>
  <c r="M3054" i="19"/>
  <c r="M3001" i="19"/>
  <c r="M2946" i="19"/>
  <c r="AP2947" i="19"/>
  <c r="J3001" i="19"/>
  <c r="AP3059" i="19"/>
  <c r="AP2892" i="19"/>
  <c r="K3054" i="19"/>
  <c r="AP3000" i="19"/>
  <c r="J3054" i="19"/>
  <c r="K3056" i="19"/>
  <c r="AP3049" i="19"/>
  <c r="J2999" i="19"/>
  <c r="I3056" i="19"/>
  <c r="K2887" i="19"/>
  <c r="AP3055" i="19"/>
  <c r="AP3053" i="19"/>
  <c r="AP3057" i="19"/>
  <c r="M3056" i="19"/>
  <c r="AP1466" i="19"/>
  <c r="AP146" i="19"/>
  <c r="AP971" i="19"/>
  <c r="AP36" i="19"/>
  <c r="AP366" i="19"/>
  <c r="AP1521" i="19"/>
  <c r="AP421" i="19"/>
  <c r="H59" i="10"/>
  <c r="R2040" i="20" s="1"/>
  <c r="D2045" i="20" s="1"/>
  <c r="L59" i="10"/>
  <c r="Q2040" i="20" s="1"/>
  <c r="D2044" i="20" s="1"/>
  <c r="AP1026" i="19"/>
  <c r="AP806" i="19"/>
  <c r="AP1191" i="19"/>
  <c r="H53" i="10"/>
  <c r="R1818" i="20" s="1"/>
  <c r="D1823" i="20" s="1"/>
  <c r="E1845" i="20" s="1"/>
  <c r="AP1136" i="19"/>
  <c r="AP1246" i="19"/>
  <c r="L54" i="10"/>
  <c r="Q1855" i="20" s="1"/>
  <c r="D1859" i="20" s="1"/>
  <c r="L57" i="10"/>
  <c r="Q1966" i="20" s="1"/>
  <c r="D1970" i="20" s="1"/>
  <c r="AP1301" i="19"/>
  <c r="H58" i="10"/>
  <c r="R2003" i="20" s="1"/>
  <c r="D2008" i="20" s="1"/>
  <c r="AP861" i="19"/>
  <c r="AP201" i="19"/>
  <c r="AP916" i="19"/>
  <c r="AP91" i="19"/>
  <c r="H55" i="10"/>
  <c r="R1892" i="20" s="1"/>
  <c r="D1897" i="20" s="1"/>
  <c r="AP256" i="19"/>
  <c r="AP1081" i="19"/>
  <c r="AP311" i="19"/>
  <c r="AP751" i="19"/>
  <c r="AP696" i="19"/>
  <c r="AP1576" i="19"/>
  <c r="L58" i="10"/>
  <c r="Q2003" i="20" s="1"/>
  <c r="D2007" i="20" s="1"/>
  <c r="L53" i="10"/>
  <c r="Q1818" i="20" s="1"/>
  <c r="D1822" i="20" s="1"/>
  <c r="AP1411" i="19"/>
  <c r="AP1356" i="19"/>
  <c r="H54" i="10"/>
  <c r="R1855" i="20" s="1"/>
  <c r="D1860" i="20" s="1"/>
  <c r="AP1741" i="19"/>
  <c r="AP1851" i="19"/>
  <c r="AP1686" i="19"/>
  <c r="AP1631" i="19"/>
  <c r="AP1796" i="19"/>
  <c r="AP1906" i="19"/>
  <c r="AP2071" i="19"/>
  <c r="AP2016" i="19"/>
  <c r="AP2126" i="19"/>
  <c r="AP2181" i="19"/>
  <c r="AP2291" i="19"/>
  <c r="AP2401" i="19"/>
  <c r="AP2566" i="19"/>
  <c r="AP2346" i="19"/>
  <c r="AP2236" i="19"/>
  <c r="AP2456" i="19"/>
  <c r="AP2511" i="19"/>
  <c r="AP2621" i="19"/>
  <c r="AP2896" i="19"/>
  <c r="AP2676" i="19"/>
  <c r="AP2786" i="19"/>
  <c r="AP2841" i="19"/>
  <c r="AP3006" i="19"/>
  <c r="AP2951" i="19"/>
  <c r="AP3061" i="19"/>
  <c r="AP309" i="19"/>
  <c r="AP199" i="19"/>
  <c r="M194" i="19"/>
  <c r="AP136" i="19"/>
  <c r="AP521" i="19"/>
  <c r="AP189" i="19"/>
  <c r="AP411" i="19"/>
  <c r="I194" i="19"/>
  <c r="AP254" i="19"/>
  <c r="AP523" i="19"/>
  <c r="AP362" i="19"/>
  <c r="AP134" i="19"/>
  <c r="AP356" i="19"/>
  <c r="AP470" i="19"/>
  <c r="AP246" i="19"/>
  <c r="AP87" i="19"/>
  <c r="AP250" i="19"/>
  <c r="AP138" i="19"/>
  <c r="AP358" i="19"/>
  <c r="AP415" i="19"/>
  <c r="AP85" i="19"/>
  <c r="AP252" i="19"/>
  <c r="AP191" i="19"/>
  <c r="AP89" i="19"/>
  <c r="AP301" i="19"/>
  <c r="AP307" i="19"/>
  <c r="AP413" i="19"/>
  <c r="AP360" i="19"/>
  <c r="AP197" i="19"/>
  <c r="J194" i="19"/>
  <c r="AP519" i="19"/>
  <c r="AP417" i="19"/>
  <c r="AP584" i="19"/>
  <c r="AP195" i="19"/>
  <c r="AP193" i="19"/>
  <c r="AP576" i="19"/>
  <c r="AP472" i="19"/>
  <c r="AP464" i="19"/>
  <c r="AP303" i="19"/>
  <c r="AP83" i="19"/>
  <c r="AP140" i="19"/>
  <c r="AP419" i="19"/>
  <c r="AP142" i="19"/>
  <c r="AP466" i="19"/>
  <c r="AP244" i="19"/>
  <c r="AP409" i="19"/>
  <c r="AP631" i="19"/>
  <c r="AP364" i="19"/>
  <c r="AP580" i="19"/>
  <c r="AP468" i="19"/>
  <c r="AP299" i="19"/>
  <c r="AP354" i="19"/>
  <c r="AP474" i="19"/>
  <c r="AP79" i="19"/>
  <c r="AP144" i="19"/>
  <c r="K194" i="19"/>
  <c r="AP248" i="19"/>
  <c r="AP305" i="19"/>
  <c r="AP525" i="19"/>
  <c r="AP578" i="19"/>
  <c r="AP81" i="19"/>
  <c r="AP574" i="19"/>
  <c r="AP635" i="19"/>
  <c r="AP629" i="19"/>
  <c r="AP633" i="19"/>
  <c r="AP739" i="19"/>
  <c r="AP690" i="19"/>
  <c r="AP692" i="19"/>
  <c r="AP686" i="19"/>
  <c r="AP639" i="19"/>
  <c r="AP582" i="19"/>
  <c r="AP527" i="19"/>
  <c r="AP749" i="19"/>
  <c r="AP529" i="19"/>
  <c r="AP637" i="19"/>
  <c r="AP684" i="19"/>
  <c r="AP688" i="19"/>
  <c r="AP694" i="19"/>
  <c r="AP800" i="19"/>
  <c r="AP798" i="19"/>
  <c r="AP804" i="19"/>
  <c r="AP794" i="19"/>
  <c r="AP741" i="19"/>
  <c r="AP853" i="19"/>
  <c r="AP745" i="19"/>
  <c r="AP849" i="19"/>
  <c r="AP747" i="19"/>
  <c r="AP851" i="19"/>
  <c r="AP802" i="19"/>
  <c r="AP796" i="19"/>
  <c r="AP743" i="19"/>
  <c r="AP855" i="19"/>
  <c r="AP859" i="19"/>
  <c r="AP857" i="19"/>
  <c r="AP959" i="19"/>
  <c r="AP910" i="19"/>
  <c r="AP904" i="19"/>
  <c r="AP961" i="19"/>
  <c r="AP965" i="19"/>
  <c r="AP969" i="19"/>
  <c r="AP32" i="19"/>
  <c r="AP967" i="19"/>
  <c r="AP1020" i="19"/>
  <c r="AP906" i="19"/>
  <c r="AP914" i="19"/>
  <c r="AP912" i="19"/>
  <c r="AP1014" i="19"/>
  <c r="AP1022" i="19"/>
  <c r="AP908" i="19"/>
  <c r="AP34" i="19"/>
  <c r="AP963" i="19"/>
  <c r="AP28" i="19"/>
  <c r="AP30" i="19"/>
  <c r="AP24" i="19"/>
  <c r="AP1073" i="19"/>
  <c r="AP1018" i="19"/>
  <c r="AP1024" i="19"/>
  <c r="AP1075" i="19"/>
  <c r="AP1069" i="19"/>
  <c r="AP26" i="19"/>
  <c r="AP1132" i="19"/>
  <c r="AP1134" i="19"/>
  <c r="AP1079" i="19"/>
  <c r="AP1077" i="19"/>
  <c r="AP1016" i="19"/>
  <c r="AP1071" i="19"/>
  <c r="V2040" i="20"/>
  <c r="AP586" i="19"/>
  <c r="AP476" i="19"/>
  <c r="AP641" i="19"/>
  <c r="AP531" i="19"/>
  <c r="H57" i="10"/>
  <c r="R1966" i="20" s="1"/>
  <c r="D1971" i="20" s="1"/>
  <c r="L55" i="10"/>
  <c r="Q1892" i="20" s="1"/>
  <c r="D1896" i="20" s="1"/>
  <c r="L56" i="10"/>
  <c r="Q1929" i="20" s="1"/>
  <c r="D1933" i="20" s="1"/>
  <c r="H56" i="10"/>
  <c r="R1929" i="20" s="1"/>
  <c r="D1934" i="20" s="1"/>
  <c r="J2669" i="19"/>
  <c r="K2663" i="19"/>
  <c r="I2669" i="19"/>
  <c r="I2663" i="19"/>
  <c r="K2665" i="19"/>
  <c r="J2663" i="19"/>
  <c r="M2669" i="19"/>
  <c r="K2669" i="19"/>
  <c r="M2665" i="19"/>
  <c r="J2665" i="19"/>
  <c r="I2665" i="19"/>
  <c r="M2663" i="19"/>
  <c r="R1559" i="20"/>
  <c r="D1564" i="20" s="1"/>
  <c r="R190" i="20"/>
  <c r="D195" i="20" s="1"/>
  <c r="R819" i="20"/>
  <c r="D824" i="20" s="1"/>
  <c r="R930" i="20"/>
  <c r="D935" i="20" s="1"/>
  <c r="R338" i="20"/>
  <c r="D343" i="20" s="1"/>
  <c r="R449" i="20"/>
  <c r="D454" i="20" s="1"/>
  <c r="R1337" i="20"/>
  <c r="D1342" i="20" s="1"/>
  <c r="R708" i="20"/>
  <c r="D713" i="20" s="1"/>
  <c r="R1115" i="20"/>
  <c r="D1120" i="20" s="1"/>
  <c r="R1226" i="20"/>
  <c r="D1231" i="20" s="1"/>
  <c r="R634" i="20"/>
  <c r="D639" i="20" s="1"/>
  <c r="R1781" i="20"/>
  <c r="D1786" i="20" s="1"/>
  <c r="R1041" i="20"/>
  <c r="D1046" i="20" s="1"/>
  <c r="R1670" i="20"/>
  <c r="D1675" i="20" s="1"/>
  <c r="R264" i="20"/>
  <c r="D269" i="20" s="1"/>
  <c r="R1448" i="20"/>
  <c r="D1453" i="20" s="1"/>
  <c r="R560" i="20"/>
  <c r="D565" i="20" s="1"/>
  <c r="R79" i="20"/>
  <c r="D84" i="20" s="1"/>
  <c r="I135" i="19"/>
  <c r="K141" i="19"/>
  <c r="K135" i="19"/>
  <c r="K304" i="19"/>
  <c r="M249" i="19"/>
  <c r="J141" i="19"/>
  <c r="J304" i="19"/>
  <c r="M306" i="19"/>
  <c r="I141" i="19"/>
  <c r="J298" i="19"/>
  <c r="K249" i="19"/>
  <c r="I304" i="19"/>
  <c r="J306" i="19"/>
  <c r="I249" i="19"/>
  <c r="M298" i="19"/>
  <c r="J135" i="19"/>
  <c r="K300" i="19"/>
  <c r="I300" i="19"/>
  <c r="I306" i="19"/>
  <c r="J249" i="19"/>
  <c r="J300" i="19"/>
  <c r="M304" i="19"/>
  <c r="I298" i="19"/>
  <c r="K306" i="19"/>
  <c r="J418" i="19"/>
  <c r="J414" i="19"/>
  <c r="K298" i="19"/>
  <c r="K416" i="19"/>
  <c r="I418" i="19"/>
  <c r="I416" i="19"/>
  <c r="I414" i="19"/>
  <c r="K418" i="19"/>
  <c r="M300" i="19"/>
  <c r="M526" i="19"/>
  <c r="K414" i="19"/>
  <c r="I520" i="19"/>
  <c r="K520" i="19"/>
  <c r="J416" i="19"/>
  <c r="J524" i="19"/>
  <c r="I526" i="19"/>
  <c r="M524" i="19"/>
  <c r="I524" i="19"/>
  <c r="J526" i="19"/>
  <c r="K526" i="19"/>
  <c r="K524" i="19"/>
  <c r="J691" i="19"/>
  <c r="I691" i="19"/>
  <c r="M520" i="19"/>
  <c r="J520" i="19"/>
  <c r="M691" i="19"/>
  <c r="I628" i="19"/>
  <c r="J628" i="19"/>
  <c r="M628" i="19"/>
  <c r="J685" i="19"/>
  <c r="K691" i="19"/>
  <c r="M689" i="19"/>
  <c r="I685" i="19"/>
  <c r="J689" i="19"/>
  <c r="K685" i="19"/>
  <c r="M685" i="19"/>
  <c r="K689" i="19"/>
  <c r="K628" i="19"/>
  <c r="I689" i="19"/>
  <c r="K854" i="19"/>
  <c r="I854" i="19"/>
  <c r="M850" i="19"/>
  <c r="K856" i="19"/>
  <c r="J854" i="19"/>
  <c r="I856" i="19"/>
  <c r="J856" i="19"/>
  <c r="I850" i="19"/>
  <c r="M856" i="19"/>
  <c r="J850" i="19"/>
  <c r="K850" i="19"/>
  <c r="M854" i="19"/>
  <c r="J960" i="19"/>
  <c r="J966" i="19"/>
  <c r="J964" i="19"/>
  <c r="I964" i="19"/>
  <c r="I960" i="19"/>
  <c r="K958" i="19"/>
  <c r="I1076" i="19"/>
  <c r="M958" i="19"/>
  <c r="M964" i="19"/>
  <c r="I966" i="19"/>
  <c r="K966" i="19"/>
  <c r="K960" i="19"/>
  <c r="M966" i="19"/>
  <c r="K964" i="19"/>
  <c r="J958" i="19"/>
  <c r="I958" i="19"/>
  <c r="M960" i="19"/>
  <c r="I1074" i="19"/>
  <c r="J1076" i="19"/>
  <c r="J1070" i="19"/>
  <c r="M1070" i="19"/>
  <c r="K1076" i="19"/>
  <c r="M1076" i="19"/>
  <c r="I1241" i="19"/>
  <c r="M1182" i="19"/>
  <c r="K1074" i="19"/>
  <c r="I1070" i="19"/>
  <c r="M1233" i="19"/>
  <c r="K1070" i="19"/>
  <c r="M1235" i="19"/>
  <c r="J1074" i="19"/>
  <c r="M1074" i="19"/>
  <c r="K1235" i="19"/>
  <c r="J1182" i="19"/>
  <c r="K1182" i="19"/>
  <c r="I1233" i="19"/>
  <c r="I1182" i="19"/>
  <c r="I1288" i="19"/>
  <c r="K1241" i="19"/>
  <c r="M1241" i="19"/>
  <c r="K1288" i="19"/>
  <c r="J1235" i="19"/>
  <c r="I1235" i="19"/>
  <c r="K1233" i="19"/>
  <c r="J1241" i="19"/>
  <c r="J1233" i="19"/>
  <c r="M1288" i="19"/>
  <c r="J1288" i="19"/>
  <c r="J357" i="19"/>
  <c r="I1125" i="19"/>
  <c r="J577" i="19"/>
  <c r="M1125" i="19"/>
  <c r="M357" i="19"/>
  <c r="I359" i="19"/>
  <c r="I357" i="19"/>
  <c r="M1402" i="19"/>
  <c r="J1125" i="19"/>
  <c r="M577" i="19"/>
  <c r="I577" i="19"/>
  <c r="K1402" i="19"/>
  <c r="I1453" i="19"/>
  <c r="I1404" i="19"/>
  <c r="J1402" i="19"/>
  <c r="J359" i="19"/>
  <c r="K1125" i="19"/>
  <c r="M359" i="19"/>
  <c r="K1453" i="19"/>
  <c r="K359" i="19"/>
  <c r="M1453" i="19"/>
  <c r="K357" i="19"/>
  <c r="K1404" i="19"/>
  <c r="K577" i="19"/>
  <c r="M1404" i="19"/>
  <c r="I1563" i="19"/>
  <c r="J1404" i="19"/>
  <c r="I1402" i="19"/>
  <c r="M1571" i="19"/>
  <c r="K1571" i="19"/>
  <c r="J1453" i="19"/>
  <c r="K1563" i="19"/>
  <c r="J1563" i="19"/>
  <c r="J1569" i="19"/>
  <c r="I1571" i="19"/>
  <c r="K1569" i="19"/>
  <c r="M1563" i="19"/>
  <c r="J1571" i="19"/>
  <c r="M1569" i="19"/>
  <c r="I1679" i="19"/>
  <c r="K1679" i="19"/>
  <c r="I1681" i="19"/>
  <c r="I1569" i="19"/>
  <c r="J1679" i="19"/>
  <c r="J1681" i="19"/>
  <c r="J1734" i="19"/>
  <c r="K1675" i="19"/>
  <c r="J1675" i="19"/>
  <c r="M1734" i="19"/>
  <c r="K1734" i="19"/>
  <c r="K1681" i="19"/>
  <c r="I1734" i="19"/>
  <c r="M1842" i="19"/>
  <c r="K1787" i="19"/>
  <c r="J1787" i="19"/>
  <c r="I1675" i="19"/>
  <c r="M1787" i="19"/>
  <c r="I1846" i="19"/>
  <c r="K1846" i="19"/>
  <c r="I1842" i="19"/>
  <c r="J1842" i="19"/>
  <c r="J1846" i="19"/>
  <c r="K1844" i="19"/>
  <c r="I1787" i="19"/>
  <c r="J1840" i="19"/>
  <c r="M1846" i="19"/>
  <c r="I1840" i="19"/>
  <c r="I1844" i="19"/>
  <c r="K1842" i="19"/>
  <c r="K1840" i="19"/>
  <c r="K1897" i="19"/>
  <c r="I1897" i="19"/>
  <c r="M1844" i="19"/>
  <c r="M1840" i="19"/>
  <c r="J1844" i="19"/>
  <c r="M1897" i="19"/>
  <c r="J1897" i="19"/>
  <c r="I2011" i="19"/>
  <c r="I2007" i="19"/>
  <c r="J2005" i="19"/>
  <c r="J2007" i="19"/>
  <c r="I2009" i="19"/>
  <c r="J2011" i="19"/>
  <c r="J2009" i="19"/>
  <c r="K2011" i="19"/>
  <c r="J2062" i="19"/>
  <c r="K2005" i="19"/>
  <c r="K2009" i="19"/>
  <c r="I2005" i="19"/>
  <c r="I2062" i="19"/>
  <c r="M2117" i="19"/>
  <c r="K2062" i="19"/>
  <c r="K2007" i="19"/>
  <c r="J2117" i="19"/>
  <c r="M2062" i="19"/>
  <c r="K2117" i="19"/>
  <c r="M2176" i="19"/>
  <c r="K2176" i="19"/>
  <c r="J2170" i="19"/>
  <c r="J2176" i="19"/>
  <c r="K2170" i="19"/>
  <c r="I2176" i="19"/>
  <c r="M2174" i="19"/>
  <c r="I2170" i="19"/>
  <c r="I2117" i="19"/>
  <c r="M2170" i="19"/>
  <c r="K2174" i="19"/>
  <c r="J2174" i="19"/>
  <c r="I2174" i="19"/>
  <c r="I2341" i="19"/>
  <c r="K2335" i="19"/>
  <c r="M2341" i="19"/>
  <c r="M2339" i="19"/>
  <c r="K2339" i="19"/>
  <c r="I2335" i="19"/>
  <c r="J2335" i="19"/>
  <c r="J2341" i="19"/>
  <c r="I2339" i="19"/>
  <c r="K2341" i="19"/>
  <c r="J2339" i="19"/>
  <c r="M2335" i="19"/>
  <c r="I2500" i="19"/>
  <c r="K2506" i="19"/>
  <c r="J2504" i="19"/>
  <c r="M2504" i="19"/>
  <c r="I2504" i="19"/>
  <c r="K2500" i="19"/>
  <c r="K2504" i="19"/>
  <c r="M2500" i="19"/>
  <c r="J2506" i="19"/>
  <c r="K2671" i="19"/>
  <c r="M2506" i="19"/>
  <c r="J2500" i="19"/>
  <c r="I2506" i="19"/>
  <c r="J2671" i="19"/>
  <c r="I2671" i="19"/>
  <c r="M2671" i="19"/>
  <c r="R1744" i="20"/>
  <c r="D1749" i="20" s="1"/>
  <c r="R1189" i="20"/>
  <c r="D1194" i="20" s="1"/>
  <c r="R893" i="20"/>
  <c r="D898" i="20" s="1"/>
  <c r="R523" i="20"/>
  <c r="D528" i="20" s="1"/>
  <c r="R301" i="20"/>
  <c r="D306" i="20" s="1"/>
  <c r="R1633" i="20"/>
  <c r="D1638" i="20" s="1"/>
  <c r="R1522" i="20"/>
  <c r="D1527" i="20" s="1"/>
  <c r="R153" i="20"/>
  <c r="D158" i="20" s="1"/>
  <c r="R412" i="20"/>
  <c r="D417" i="20" s="1"/>
  <c r="R1300" i="20"/>
  <c r="D1305" i="20" s="1"/>
  <c r="R782" i="20"/>
  <c r="D787" i="20" s="1"/>
  <c r="R1411" i="20"/>
  <c r="D1416" i="20" s="1"/>
  <c r="R1004" i="20"/>
  <c r="D1009" i="20" s="1"/>
  <c r="R42" i="20"/>
  <c r="D47" i="20" s="1"/>
  <c r="J80" i="19"/>
  <c r="M80" i="19"/>
  <c r="J86" i="19"/>
  <c r="J84" i="19"/>
  <c r="J245" i="19"/>
  <c r="M86" i="19"/>
  <c r="M84" i="19"/>
  <c r="I245" i="19"/>
  <c r="I86" i="19"/>
  <c r="K84" i="19"/>
  <c r="I84" i="19"/>
  <c r="K86" i="19"/>
  <c r="K251" i="19"/>
  <c r="I251" i="19"/>
  <c r="I80" i="19"/>
  <c r="M251" i="19"/>
  <c r="M245" i="19"/>
  <c r="K80" i="19"/>
  <c r="K465" i="19"/>
  <c r="K245" i="19"/>
  <c r="J469" i="19"/>
  <c r="I469" i="19"/>
  <c r="M465" i="19"/>
  <c r="J251" i="19"/>
  <c r="K469" i="19"/>
  <c r="J465" i="19"/>
  <c r="I465" i="19"/>
  <c r="J471" i="19"/>
  <c r="K630" i="19"/>
  <c r="I471" i="19"/>
  <c r="K471" i="19"/>
  <c r="I630" i="19"/>
  <c r="K634" i="19"/>
  <c r="J636" i="19"/>
  <c r="I634" i="19"/>
  <c r="I636" i="19"/>
  <c r="K636" i="19"/>
  <c r="M799" i="19"/>
  <c r="K799" i="19"/>
  <c r="J799" i="19"/>
  <c r="J630" i="19"/>
  <c r="J634" i="19"/>
  <c r="I799" i="19"/>
  <c r="K795" i="19"/>
  <c r="I907" i="19"/>
  <c r="M801" i="19"/>
  <c r="J801" i="19"/>
  <c r="I795" i="19"/>
  <c r="M793" i="19"/>
  <c r="I793" i="19"/>
  <c r="M795" i="19"/>
  <c r="K907" i="19"/>
  <c r="J793" i="19"/>
  <c r="K801" i="19"/>
  <c r="I801" i="19"/>
  <c r="K793" i="19"/>
  <c r="M907" i="19"/>
  <c r="J907" i="19"/>
  <c r="J795" i="19"/>
  <c r="K1180" i="19"/>
  <c r="M1180" i="19"/>
  <c r="M1184" i="19"/>
  <c r="I1186" i="19"/>
  <c r="K1184" i="19"/>
  <c r="J1184" i="19"/>
  <c r="M1186" i="19"/>
  <c r="J1186" i="19"/>
  <c r="J1180" i="19"/>
  <c r="K1186" i="19"/>
  <c r="I1184" i="19"/>
  <c r="I1180" i="19"/>
  <c r="M1023" i="19"/>
  <c r="K1349" i="19"/>
  <c r="K1351" i="19"/>
  <c r="J1345" i="19"/>
  <c r="K1345" i="19"/>
  <c r="J1023" i="19"/>
  <c r="M1349" i="19"/>
  <c r="I1345" i="19"/>
  <c r="J1349" i="19"/>
  <c r="J1351" i="19"/>
  <c r="I1351" i="19"/>
  <c r="I1023" i="19"/>
  <c r="I1349" i="19"/>
  <c r="J1510" i="19"/>
  <c r="K1023" i="19"/>
  <c r="M1351" i="19"/>
  <c r="I1510" i="19"/>
  <c r="J1516" i="19"/>
  <c r="I1514" i="19"/>
  <c r="M1510" i="19"/>
  <c r="K1512" i="19"/>
  <c r="J1514" i="19"/>
  <c r="K1510" i="19"/>
  <c r="I1618" i="19"/>
  <c r="I1512" i="19"/>
  <c r="I1516" i="19"/>
  <c r="K1514" i="19"/>
  <c r="M1618" i="19"/>
  <c r="J1512" i="19"/>
  <c r="K1516" i="19"/>
  <c r="I1791" i="19"/>
  <c r="J1618" i="19"/>
  <c r="K1618" i="19"/>
  <c r="J1785" i="19"/>
  <c r="M1791" i="19"/>
  <c r="K1791" i="19"/>
  <c r="M1785" i="19"/>
  <c r="M1789" i="19"/>
  <c r="I1785" i="19"/>
  <c r="K1785" i="19"/>
  <c r="I1789" i="19"/>
  <c r="J1789" i="19"/>
  <c r="K1789" i="19"/>
  <c r="J1791" i="19"/>
  <c r="I2115" i="19"/>
  <c r="M2121" i="19"/>
  <c r="J2119" i="19"/>
  <c r="J2121" i="19"/>
  <c r="J2115" i="19"/>
  <c r="K2119" i="19"/>
  <c r="M2119" i="19"/>
  <c r="M2115" i="19"/>
  <c r="I2121" i="19"/>
  <c r="K2121" i="19"/>
  <c r="K2115" i="19"/>
  <c r="I2119" i="19"/>
  <c r="M2286" i="19"/>
  <c r="K2284" i="19"/>
  <c r="J2284" i="19"/>
  <c r="K2280" i="19"/>
  <c r="K2286" i="19"/>
  <c r="I2280" i="19"/>
  <c r="J2286" i="19"/>
  <c r="I2286" i="19"/>
  <c r="M2280" i="19"/>
  <c r="I2284" i="19"/>
  <c r="J2280" i="19"/>
  <c r="J2290" i="19" s="1"/>
  <c r="M2284" i="19"/>
  <c r="M2449" i="19"/>
  <c r="I2449" i="19"/>
  <c r="K2449" i="19"/>
  <c r="I2451" i="19"/>
  <c r="M2445" i="19"/>
  <c r="M2451" i="19"/>
  <c r="J2449" i="19"/>
  <c r="J2451" i="19"/>
  <c r="K2451" i="19"/>
  <c r="J2445" i="19"/>
  <c r="I2445" i="19"/>
  <c r="M2616" i="19"/>
  <c r="K2445" i="19"/>
  <c r="I2608" i="19"/>
  <c r="I2616" i="19"/>
  <c r="K2608" i="19"/>
  <c r="J2610" i="19"/>
  <c r="J2614" i="19"/>
  <c r="I2614" i="19"/>
  <c r="J2616" i="19"/>
  <c r="M2610" i="19"/>
  <c r="K2610" i="19"/>
  <c r="M2728" i="19"/>
  <c r="J2608" i="19"/>
  <c r="I2610" i="19"/>
  <c r="M2608" i="19"/>
  <c r="K2728" i="19"/>
  <c r="K2614" i="19"/>
  <c r="K2616" i="19"/>
  <c r="M2614" i="19"/>
  <c r="J2728" i="19"/>
  <c r="I2728" i="19"/>
  <c r="E769" i="20"/>
  <c r="E772" i="20"/>
  <c r="E770" i="20"/>
  <c r="E771" i="20"/>
  <c r="G749" i="20"/>
  <c r="E1102" i="20"/>
  <c r="E1105" i="20"/>
  <c r="G1082" i="20"/>
  <c r="E1104" i="20"/>
  <c r="E1103" i="20"/>
  <c r="E1401" i="20"/>
  <c r="E1400" i="20"/>
  <c r="G1378" i="20"/>
  <c r="E1398" i="20"/>
  <c r="E1399" i="20"/>
  <c r="E696" i="20"/>
  <c r="G675" i="20"/>
  <c r="E697" i="20"/>
  <c r="E695" i="20"/>
  <c r="E698" i="20"/>
  <c r="E401" i="20"/>
  <c r="E399" i="20"/>
  <c r="E402" i="20"/>
  <c r="G379" i="20"/>
  <c r="E400" i="20"/>
  <c r="E624" i="20"/>
  <c r="E621" i="20"/>
  <c r="G601" i="20"/>
  <c r="E623" i="20"/>
  <c r="E622" i="20"/>
  <c r="E1178" i="20"/>
  <c r="G1156" i="20"/>
  <c r="E1176" i="20"/>
  <c r="E1179" i="20"/>
  <c r="E1177" i="20"/>
  <c r="E883" i="20"/>
  <c r="E882" i="20"/>
  <c r="E880" i="20"/>
  <c r="E881" i="20"/>
  <c r="G860" i="20"/>
  <c r="E251" i="20"/>
  <c r="G231" i="20"/>
  <c r="E254" i="20"/>
  <c r="E252" i="20"/>
  <c r="E253" i="20"/>
  <c r="E1842" i="20"/>
  <c r="E510" i="20"/>
  <c r="E513" i="20"/>
  <c r="E512" i="20"/>
  <c r="G490" i="20"/>
  <c r="E511" i="20"/>
  <c r="E1509" i="20"/>
  <c r="E1512" i="20"/>
  <c r="G1489" i="20"/>
  <c r="E1510" i="20"/>
  <c r="E1511" i="20"/>
  <c r="E1734" i="20"/>
  <c r="E1732" i="20"/>
  <c r="G1711" i="20"/>
  <c r="E1733" i="20"/>
  <c r="E1731" i="20"/>
  <c r="E140" i="20"/>
  <c r="G120" i="20"/>
  <c r="E142" i="20"/>
  <c r="E141" i="20"/>
  <c r="E143" i="20"/>
  <c r="E1290" i="20"/>
  <c r="E1289" i="20"/>
  <c r="E1288" i="20"/>
  <c r="E1287" i="20"/>
  <c r="G1267" i="20"/>
  <c r="R5" i="20"/>
  <c r="D10" i="20" s="1"/>
  <c r="E1620" i="20"/>
  <c r="E1622" i="20"/>
  <c r="G1600" i="20"/>
  <c r="E1621" i="20"/>
  <c r="E1623" i="20"/>
  <c r="Q5" i="20"/>
  <c r="D9" i="20" s="1"/>
  <c r="E993" i="20"/>
  <c r="E991" i="20"/>
  <c r="E994" i="20"/>
  <c r="E992" i="20"/>
  <c r="G971" i="20"/>
  <c r="J1133" i="19"/>
  <c r="I2726" i="19"/>
  <c r="I2724" i="19"/>
  <c r="M31" i="19"/>
  <c r="J744" i="19"/>
  <c r="J2724" i="19"/>
  <c r="J2561" i="19"/>
  <c r="M911" i="19"/>
  <c r="K1296" i="19"/>
  <c r="I31" i="19"/>
  <c r="I581" i="19"/>
  <c r="I2555" i="19"/>
  <c r="J579" i="19"/>
  <c r="K911" i="19"/>
  <c r="I29" i="19"/>
  <c r="J1899" i="19"/>
  <c r="K746" i="19"/>
  <c r="I744" i="19"/>
  <c r="M1129" i="19"/>
  <c r="J1455" i="19"/>
  <c r="K1290" i="19"/>
  <c r="M1290" i="19"/>
  <c r="M1899" i="19"/>
  <c r="J2559" i="19"/>
  <c r="K2718" i="19"/>
  <c r="J911" i="19"/>
  <c r="K1455" i="19"/>
  <c r="J909" i="19"/>
  <c r="J25" i="19"/>
  <c r="J1736" i="19"/>
  <c r="M2718" i="19"/>
  <c r="K190" i="19"/>
  <c r="J1294" i="19"/>
  <c r="M1019" i="19"/>
  <c r="I2066" i="19"/>
  <c r="M1294" i="19"/>
  <c r="I1133" i="19"/>
  <c r="I1017" i="19"/>
  <c r="I2559" i="19"/>
  <c r="J2231" i="19"/>
  <c r="J1129" i="19"/>
  <c r="K25" i="19"/>
  <c r="M1131" i="19"/>
  <c r="J1622" i="19"/>
  <c r="M1017" i="19"/>
  <c r="K2720" i="19"/>
  <c r="J1296" i="19"/>
  <c r="I911" i="19"/>
  <c r="K579" i="19"/>
  <c r="M2064" i="19"/>
  <c r="K1730" i="19"/>
  <c r="M2066" i="19"/>
  <c r="K1736" i="19"/>
  <c r="J361" i="19"/>
  <c r="J746" i="19"/>
  <c r="I1736" i="19"/>
  <c r="I2394" i="19"/>
  <c r="J740" i="19"/>
  <c r="M2060" i="19"/>
  <c r="I2718" i="19"/>
  <c r="I2231" i="19"/>
  <c r="K1899" i="19"/>
  <c r="K31" i="19"/>
  <c r="M190" i="19"/>
  <c r="K1017" i="19"/>
  <c r="K1131" i="19"/>
  <c r="J903" i="19"/>
  <c r="K2555" i="19"/>
  <c r="J2060" i="19"/>
  <c r="K2390" i="19"/>
  <c r="I2229" i="19"/>
  <c r="J1019" i="19"/>
  <c r="M1730" i="19"/>
  <c r="M905" i="19"/>
  <c r="I2396" i="19"/>
  <c r="M2561" i="19"/>
  <c r="M744" i="19"/>
  <c r="J575" i="19"/>
  <c r="I579" i="19"/>
  <c r="I905" i="19"/>
  <c r="K2225" i="19"/>
  <c r="K2724" i="19"/>
  <c r="I1728" i="19"/>
  <c r="J1017" i="19"/>
  <c r="J355" i="19"/>
  <c r="I746" i="19"/>
  <c r="I355" i="19"/>
  <c r="J2394" i="19"/>
  <c r="K2229" i="19"/>
  <c r="I25" i="19"/>
  <c r="I575" i="19"/>
  <c r="K1459" i="19"/>
  <c r="J1290" i="19"/>
  <c r="M1895" i="19"/>
  <c r="I1129" i="19"/>
  <c r="J1461" i="19"/>
  <c r="M1459" i="19"/>
  <c r="J190" i="19"/>
  <c r="I1021" i="19"/>
  <c r="J196" i="19"/>
  <c r="J1131" i="19"/>
  <c r="J1895" i="19"/>
  <c r="M1901" i="19"/>
  <c r="I190" i="19"/>
  <c r="K196" i="19"/>
  <c r="I2390" i="19"/>
  <c r="M1736" i="19"/>
  <c r="K1622" i="19"/>
  <c r="K2066" i="19"/>
  <c r="K2394" i="19"/>
  <c r="I1620" i="19"/>
  <c r="K2231" i="19"/>
  <c r="K581" i="19"/>
  <c r="K29" i="19"/>
  <c r="I909" i="19"/>
  <c r="M2726" i="19"/>
  <c r="K2396" i="19"/>
  <c r="M2720" i="19"/>
  <c r="J2555" i="19"/>
  <c r="I2720" i="19"/>
  <c r="M579" i="19"/>
  <c r="J1015" i="19"/>
  <c r="J2396" i="19"/>
  <c r="K1021" i="19"/>
  <c r="J581" i="19"/>
  <c r="I1290" i="19"/>
  <c r="I1730" i="19"/>
  <c r="M1728" i="19"/>
  <c r="M1015" i="19"/>
  <c r="K355" i="19"/>
  <c r="J29" i="19"/>
  <c r="K1294" i="19"/>
  <c r="M2390" i="19"/>
  <c r="J1730" i="19"/>
  <c r="J905" i="19"/>
  <c r="J2726" i="19"/>
  <c r="I1622" i="19"/>
  <c r="K1728" i="19"/>
  <c r="M903" i="19"/>
  <c r="M909" i="19"/>
  <c r="K2561" i="19"/>
  <c r="I2561" i="19"/>
  <c r="M1461" i="19"/>
  <c r="I2225" i="19"/>
  <c r="K1015" i="19"/>
  <c r="J1728" i="19"/>
  <c r="I1015" i="19"/>
  <c r="I903" i="19"/>
  <c r="K1895" i="19"/>
  <c r="J1620" i="19"/>
  <c r="K361" i="19"/>
  <c r="I2060" i="19"/>
  <c r="J1901" i="19"/>
  <c r="I1459" i="19"/>
  <c r="I1296" i="19"/>
  <c r="M1133" i="19"/>
  <c r="I1461" i="19"/>
  <c r="I1901" i="19"/>
  <c r="M196" i="19"/>
  <c r="J1021" i="19"/>
  <c r="J2229" i="19"/>
  <c r="K903" i="19"/>
  <c r="M25" i="19"/>
  <c r="J1624" i="19"/>
  <c r="K744" i="19"/>
  <c r="K1133" i="19"/>
  <c r="M2394" i="19"/>
  <c r="K2726" i="19"/>
  <c r="K575" i="19"/>
  <c r="J2066" i="19"/>
  <c r="I1019" i="19"/>
  <c r="M2559" i="19"/>
  <c r="I1626" i="19"/>
  <c r="K905" i="19"/>
  <c r="I1131" i="19"/>
  <c r="I1455" i="19"/>
  <c r="J2225" i="19"/>
  <c r="K1461" i="19"/>
  <c r="K1019" i="19"/>
  <c r="J2720" i="19"/>
  <c r="J2390" i="19"/>
  <c r="I2064" i="19"/>
  <c r="I361" i="19"/>
  <c r="M746" i="19"/>
  <c r="I1624" i="19"/>
  <c r="M29" i="19"/>
  <c r="I740" i="19"/>
  <c r="M1296" i="19"/>
  <c r="K1620" i="19"/>
  <c r="K2060" i="19"/>
  <c r="M355" i="19"/>
  <c r="K1626" i="19"/>
  <c r="M2229" i="19"/>
  <c r="M2225" i="19"/>
  <c r="K909" i="19"/>
  <c r="J2718" i="19"/>
  <c r="I1899" i="19"/>
  <c r="K1901" i="19"/>
  <c r="M575" i="19"/>
  <c r="K1624" i="19"/>
  <c r="M2396" i="19"/>
  <c r="I196" i="19"/>
  <c r="J2064" i="19"/>
  <c r="J31" i="19"/>
  <c r="I1294" i="19"/>
  <c r="M1021" i="19"/>
  <c r="M581" i="19"/>
  <c r="K2559" i="19"/>
  <c r="K1129" i="19"/>
  <c r="J1459" i="19"/>
  <c r="K2064" i="19"/>
  <c r="K740" i="19"/>
  <c r="I1895" i="19"/>
  <c r="M2231" i="19"/>
  <c r="M740" i="19"/>
  <c r="M361" i="19"/>
  <c r="M1455" i="19"/>
  <c r="M2724" i="19"/>
  <c r="J1626" i="19"/>
  <c r="E2054" i="20" l="1"/>
  <c r="G2054" i="20" s="1"/>
  <c r="E2053" i="20"/>
  <c r="G2053" i="20" s="1"/>
  <c r="E1980" i="20"/>
  <c r="G1980" i="20" s="1"/>
  <c r="E1979" i="20"/>
  <c r="G1979" i="20" s="1"/>
  <c r="E1943" i="20"/>
  <c r="G1943" i="20" s="1"/>
  <c r="E1942" i="20"/>
  <c r="G1942" i="20" s="1"/>
  <c r="E1869" i="20"/>
  <c r="G1869" i="20" s="1"/>
  <c r="E1868" i="20"/>
  <c r="G1868" i="20" s="1"/>
  <c r="K2950" i="19"/>
  <c r="E1843" i="20"/>
  <c r="L3056" i="19"/>
  <c r="N3056" i="19" s="1"/>
  <c r="J3060" i="19"/>
  <c r="L2722" i="19"/>
  <c r="N2722" i="19" s="1"/>
  <c r="L1398" i="19"/>
  <c r="N1398" i="19" s="1"/>
  <c r="L1239" i="19"/>
  <c r="N1239" i="19" s="1"/>
  <c r="L2781" i="19"/>
  <c r="N2781" i="19" s="1"/>
  <c r="M2785" i="19"/>
  <c r="L1406" i="19"/>
  <c r="N1406" i="19" s="1"/>
  <c r="L3001" i="19"/>
  <c r="N3001" i="19" s="1"/>
  <c r="L2836" i="19"/>
  <c r="N2836" i="19" s="1"/>
  <c r="M2950" i="19"/>
  <c r="J2950" i="19"/>
  <c r="L2944" i="19"/>
  <c r="N2944" i="19" s="1"/>
  <c r="L1677" i="19"/>
  <c r="N1677" i="19" s="1"/>
  <c r="L1237" i="19"/>
  <c r="N1237" i="19" s="1"/>
  <c r="L858" i="19"/>
  <c r="N858" i="19" s="1"/>
  <c r="L412" i="19"/>
  <c r="N412" i="19" s="1"/>
  <c r="J2840" i="19"/>
  <c r="L1732" i="19"/>
  <c r="N1732" i="19" s="1"/>
  <c r="L1123" i="19"/>
  <c r="N1123" i="19" s="1"/>
  <c r="L463" i="19"/>
  <c r="N463" i="19" s="1"/>
  <c r="L410" i="19"/>
  <c r="N410" i="19" s="1"/>
  <c r="L253" i="19"/>
  <c r="N253" i="19" s="1"/>
  <c r="L133" i="19"/>
  <c r="N133" i="19" s="1"/>
  <c r="L3052" i="19"/>
  <c r="N3052" i="19" s="1"/>
  <c r="L3050" i="19"/>
  <c r="N3050" i="19" s="1"/>
  <c r="L2498" i="19"/>
  <c r="N2498" i="19" s="1"/>
  <c r="L2443" i="19"/>
  <c r="N2443" i="19" s="1"/>
  <c r="L1565" i="19"/>
  <c r="N1565" i="19" s="1"/>
  <c r="L1068" i="19"/>
  <c r="N1068" i="19" s="1"/>
  <c r="G1822" i="20"/>
  <c r="K2895" i="19"/>
  <c r="I1960" i="19"/>
  <c r="L2940" i="19"/>
  <c r="N2940" i="19" s="1"/>
  <c r="L192" i="19"/>
  <c r="N192" i="19" s="1"/>
  <c r="L139" i="19"/>
  <c r="N139" i="19" s="1"/>
  <c r="E1879" i="20"/>
  <c r="G1859" i="20"/>
  <c r="E1882" i="20"/>
  <c r="E1881" i="20"/>
  <c r="L61" i="10"/>
  <c r="E2028" i="20"/>
  <c r="E2027" i="20"/>
  <c r="E2030" i="20"/>
  <c r="G2007" i="20"/>
  <c r="E2029" i="20"/>
  <c r="E1844" i="20"/>
  <c r="L194" i="19"/>
  <c r="N194" i="19" s="1"/>
  <c r="E1917" i="20"/>
  <c r="E1919" i="20"/>
  <c r="G1896" i="20"/>
  <c r="E1916" i="20"/>
  <c r="E1918" i="20"/>
  <c r="E2064" i="20"/>
  <c r="E2066" i="20"/>
  <c r="E2067" i="20"/>
  <c r="G2044" i="20"/>
  <c r="H61" i="10"/>
  <c r="L2830" i="19"/>
  <c r="N2830" i="19" s="1"/>
  <c r="I2840" i="19"/>
  <c r="J2895" i="19"/>
  <c r="L2834" i="19"/>
  <c r="N2834" i="19" s="1"/>
  <c r="L2999" i="19"/>
  <c r="N2999" i="19" s="1"/>
  <c r="L2887" i="19"/>
  <c r="N2887" i="19" s="1"/>
  <c r="L2885" i="19"/>
  <c r="N2885" i="19" s="1"/>
  <c r="M2840" i="19"/>
  <c r="L2779" i="19"/>
  <c r="N2779" i="19" s="1"/>
  <c r="I2785" i="19"/>
  <c r="L2773" i="19"/>
  <c r="N2773" i="19" s="1"/>
  <c r="J1960" i="19"/>
  <c r="M3060" i="19"/>
  <c r="I3005" i="19"/>
  <c r="L2995" i="19"/>
  <c r="N2995" i="19" s="1"/>
  <c r="M3005" i="19"/>
  <c r="L2891" i="19"/>
  <c r="N2891" i="19" s="1"/>
  <c r="K2840" i="19"/>
  <c r="K3060" i="19"/>
  <c r="L3054" i="19"/>
  <c r="N3054" i="19" s="1"/>
  <c r="I3060" i="19"/>
  <c r="M2895" i="19"/>
  <c r="K3005" i="19"/>
  <c r="I2950" i="19"/>
  <c r="L2946" i="19"/>
  <c r="N2946" i="19" s="1"/>
  <c r="J3005" i="19"/>
  <c r="L2883" i="19"/>
  <c r="N2883" i="19" s="1"/>
  <c r="I2895" i="19"/>
  <c r="L2889" i="19"/>
  <c r="N2889" i="19" s="1"/>
  <c r="K2785" i="19"/>
  <c r="J2785" i="19"/>
  <c r="M1960" i="19"/>
  <c r="K1960" i="19"/>
  <c r="G1933" i="20"/>
  <c r="E1955" i="20"/>
  <c r="E1953" i="20"/>
  <c r="E1956" i="20"/>
  <c r="E1992" i="20"/>
  <c r="G1970" i="20"/>
  <c r="E1990" i="20"/>
  <c r="E1993" i="20"/>
  <c r="K1135" i="19"/>
  <c r="M2345" i="19"/>
  <c r="L1952" i="19"/>
  <c r="N1952" i="19" s="1"/>
  <c r="L1349" i="19"/>
  <c r="N1349" i="19" s="1"/>
  <c r="J2675" i="19"/>
  <c r="K2675" i="19"/>
  <c r="M640" i="19"/>
  <c r="K90" i="19"/>
  <c r="K1740" i="19"/>
  <c r="L2665" i="19"/>
  <c r="N2665" i="19" s="1"/>
  <c r="L141" i="19"/>
  <c r="N141" i="19" s="1"/>
  <c r="M695" i="19"/>
  <c r="J145" i="19"/>
  <c r="M2675" i="19"/>
  <c r="J2510" i="19"/>
  <c r="L2117" i="19"/>
  <c r="N2117" i="19" s="1"/>
  <c r="L1787" i="19"/>
  <c r="N1787" i="19" s="1"/>
  <c r="J970" i="19"/>
  <c r="L2663" i="19"/>
  <c r="N2663" i="19" s="1"/>
  <c r="L2669" i="19"/>
  <c r="N2669" i="19" s="1"/>
  <c r="L2174" i="19"/>
  <c r="N2174" i="19" s="1"/>
  <c r="K1245" i="19"/>
  <c r="M2510" i="19"/>
  <c r="J1245" i="19"/>
  <c r="L966" i="19"/>
  <c r="N966" i="19" s="1"/>
  <c r="J860" i="19"/>
  <c r="L856" i="19"/>
  <c r="N856" i="19" s="1"/>
  <c r="J530" i="19"/>
  <c r="L304" i="19"/>
  <c r="N304" i="19" s="1"/>
  <c r="K860" i="19"/>
  <c r="K2510" i="19"/>
  <c r="M2015" i="19"/>
  <c r="M145" i="19"/>
  <c r="M1575" i="19"/>
  <c r="L300" i="19"/>
  <c r="K2180" i="19"/>
  <c r="I2015" i="19"/>
  <c r="L2005" i="19"/>
  <c r="N2005" i="19" s="1"/>
  <c r="L2009" i="19"/>
  <c r="N2009" i="19" s="1"/>
  <c r="J2015" i="19"/>
  <c r="J1850" i="19"/>
  <c r="L1679" i="19"/>
  <c r="N1679" i="19" s="1"/>
  <c r="K1575" i="19"/>
  <c r="L1402" i="19"/>
  <c r="N1402" i="19" s="1"/>
  <c r="I1410" i="19"/>
  <c r="K1410" i="19"/>
  <c r="M1410" i="19"/>
  <c r="L1233" i="19"/>
  <c r="N1233" i="19" s="1"/>
  <c r="I1245" i="19"/>
  <c r="M1245" i="19"/>
  <c r="L1241" i="19"/>
  <c r="N1241" i="19" s="1"/>
  <c r="J1080" i="19"/>
  <c r="I970" i="19"/>
  <c r="L958" i="19"/>
  <c r="N958" i="19" s="1"/>
  <c r="M970" i="19"/>
  <c r="L964" i="19"/>
  <c r="N964" i="19" s="1"/>
  <c r="I860" i="19"/>
  <c r="L850" i="19"/>
  <c r="N850" i="19" s="1"/>
  <c r="L689" i="19"/>
  <c r="N689" i="19" s="1"/>
  <c r="K695" i="19"/>
  <c r="L628" i="19"/>
  <c r="N628" i="19" s="1"/>
  <c r="L691" i="19"/>
  <c r="N691" i="19" s="1"/>
  <c r="N300" i="19"/>
  <c r="L249" i="19"/>
  <c r="N249" i="19" s="1"/>
  <c r="J310" i="19"/>
  <c r="E104" i="20"/>
  <c r="E105" i="20"/>
  <c r="G83" i="20"/>
  <c r="E103" i="20"/>
  <c r="E106" i="20"/>
  <c r="G1452" i="20"/>
  <c r="E1474" i="20"/>
  <c r="E1473" i="20"/>
  <c r="E1472" i="20"/>
  <c r="E1475" i="20"/>
  <c r="E1696" i="20"/>
  <c r="G1674" i="20"/>
  <c r="E1695" i="20"/>
  <c r="E1694" i="20"/>
  <c r="E1697" i="20"/>
  <c r="G1785" i="20"/>
  <c r="E1807" i="20"/>
  <c r="E1806" i="20"/>
  <c r="E1808" i="20"/>
  <c r="E1805" i="20"/>
  <c r="G1230" i="20"/>
  <c r="E1252" i="20"/>
  <c r="E1251" i="20"/>
  <c r="E1250" i="20"/>
  <c r="E1253" i="20"/>
  <c r="E734" i="20"/>
  <c r="E732" i="20"/>
  <c r="E735" i="20"/>
  <c r="G712" i="20"/>
  <c r="E733" i="20"/>
  <c r="E475" i="20"/>
  <c r="E474" i="20"/>
  <c r="E476" i="20"/>
  <c r="E473" i="20"/>
  <c r="G453" i="20"/>
  <c r="E956" i="20"/>
  <c r="G934" i="20"/>
  <c r="E954" i="20"/>
  <c r="E957" i="20"/>
  <c r="E955" i="20"/>
  <c r="E214" i="20"/>
  <c r="E217" i="20"/>
  <c r="G194" i="20"/>
  <c r="E216" i="20"/>
  <c r="E215" i="20"/>
  <c r="J2125" i="19"/>
  <c r="M255" i="19"/>
  <c r="L2671" i="19"/>
  <c r="N2671" i="19" s="1"/>
  <c r="I2675" i="19"/>
  <c r="J2345" i="19"/>
  <c r="I2180" i="19"/>
  <c r="L2170" i="19"/>
  <c r="N2170" i="19" s="1"/>
  <c r="L2007" i="19"/>
  <c r="N2007" i="19" s="1"/>
  <c r="M1850" i="19"/>
  <c r="L1897" i="19"/>
  <c r="N1897" i="19" s="1"/>
  <c r="L1844" i="19"/>
  <c r="N1844" i="19" s="1"/>
  <c r="L1842" i="19"/>
  <c r="N1842" i="19" s="1"/>
  <c r="L1675" i="19"/>
  <c r="N1675" i="19" s="1"/>
  <c r="I1685" i="19"/>
  <c r="L1734" i="19"/>
  <c r="N1734" i="19" s="1"/>
  <c r="J1685" i="19"/>
  <c r="L1571" i="19"/>
  <c r="N1571" i="19" s="1"/>
  <c r="J1410" i="19"/>
  <c r="L577" i="19"/>
  <c r="N577" i="19" s="1"/>
  <c r="L357" i="19"/>
  <c r="N357" i="19" s="1"/>
  <c r="L1235" i="19"/>
  <c r="N1235" i="19" s="1"/>
  <c r="L1070" i="19"/>
  <c r="N1070" i="19" s="1"/>
  <c r="I1080" i="19"/>
  <c r="L1076" i="19"/>
  <c r="N1076" i="19" s="1"/>
  <c r="M860" i="19"/>
  <c r="J695" i="19"/>
  <c r="L524" i="19"/>
  <c r="N524" i="19" s="1"/>
  <c r="K420" i="19"/>
  <c r="L414" i="19"/>
  <c r="N414" i="19" s="1"/>
  <c r="I420" i="19"/>
  <c r="K310" i="19"/>
  <c r="M420" i="19"/>
  <c r="K145" i="19"/>
  <c r="L2335" i="19"/>
  <c r="N2335" i="19" s="1"/>
  <c r="I2345" i="19"/>
  <c r="K2345" i="19"/>
  <c r="J2180" i="19"/>
  <c r="K2015" i="19"/>
  <c r="I1850" i="19"/>
  <c r="L1840" i="19"/>
  <c r="N1840" i="19" s="1"/>
  <c r="K1685" i="19"/>
  <c r="L1569" i="19"/>
  <c r="N1569" i="19" s="1"/>
  <c r="I1575" i="19"/>
  <c r="L1563" i="19"/>
  <c r="N1563" i="19" s="1"/>
  <c r="L1404" i="19"/>
  <c r="N1404" i="19" s="1"/>
  <c r="L359" i="19"/>
  <c r="N359" i="19" s="1"/>
  <c r="L1125" i="19"/>
  <c r="N1125" i="19" s="1"/>
  <c r="L1288" i="19"/>
  <c r="N1288" i="19" s="1"/>
  <c r="L1074" i="19"/>
  <c r="N1074" i="19" s="1"/>
  <c r="K970" i="19"/>
  <c r="L854" i="19"/>
  <c r="N854" i="19" s="1"/>
  <c r="L685" i="19"/>
  <c r="N685" i="19" s="1"/>
  <c r="I695" i="19"/>
  <c r="K530" i="19"/>
  <c r="L416" i="19"/>
  <c r="N416" i="19" s="1"/>
  <c r="J420" i="19"/>
  <c r="E586" i="20"/>
  <c r="E587" i="20"/>
  <c r="G564" i="20"/>
  <c r="E584" i="20"/>
  <c r="E585" i="20"/>
  <c r="E291" i="20"/>
  <c r="G268" i="20"/>
  <c r="E290" i="20"/>
  <c r="E288" i="20"/>
  <c r="E289" i="20"/>
  <c r="G1045" i="20"/>
  <c r="E1067" i="20"/>
  <c r="E1066" i="20"/>
  <c r="E1068" i="20"/>
  <c r="E1065" i="20"/>
  <c r="E660" i="20"/>
  <c r="G638" i="20"/>
  <c r="E658" i="20"/>
  <c r="E661" i="20"/>
  <c r="E659" i="20"/>
  <c r="G1119" i="20"/>
  <c r="E1140" i="20"/>
  <c r="E1141" i="20"/>
  <c r="E1142" i="20"/>
  <c r="E1139" i="20"/>
  <c r="E1363" i="20"/>
  <c r="G1341" i="20"/>
  <c r="E1362" i="20"/>
  <c r="E1361" i="20"/>
  <c r="E1364" i="20"/>
  <c r="E363" i="20"/>
  <c r="E364" i="20"/>
  <c r="E362" i="20"/>
  <c r="G342" i="20"/>
  <c r="E365" i="20"/>
  <c r="E845" i="20"/>
  <c r="G823" i="20"/>
  <c r="E846" i="20"/>
  <c r="E844" i="20"/>
  <c r="E843" i="20"/>
  <c r="G1563" i="20"/>
  <c r="E1584" i="20"/>
  <c r="E1585" i="20"/>
  <c r="E1583" i="20"/>
  <c r="E1586" i="20"/>
  <c r="L2506" i="19"/>
  <c r="N2506" i="19" s="1"/>
  <c r="L2504" i="19"/>
  <c r="N2504" i="19" s="1"/>
  <c r="L2500" i="19"/>
  <c r="N2500" i="19" s="1"/>
  <c r="I2510" i="19"/>
  <c r="L2339" i="19"/>
  <c r="N2339" i="19" s="1"/>
  <c r="L2341" i="19"/>
  <c r="N2341" i="19" s="1"/>
  <c r="M2180" i="19"/>
  <c r="L2176" i="19"/>
  <c r="N2176" i="19" s="1"/>
  <c r="L2062" i="19"/>
  <c r="N2062" i="19" s="1"/>
  <c r="L2011" i="19"/>
  <c r="N2011" i="19" s="1"/>
  <c r="K1850" i="19"/>
  <c r="L1846" i="19"/>
  <c r="N1846" i="19" s="1"/>
  <c r="L1681" i="19"/>
  <c r="N1681" i="19" s="1"/>
  <c r="M1685" i="19"/>
  <c r="J1575" i="19"/>
  <c r="L1453" i="19"/>
  <c r="N1453" i="19" s="1"/>
  <c r="L1182" i="19"/>
  <c r="N1182" i="19" s="1"/>
  <c r="K1080" i="19"/>
  <c r="M1080" i="19"/>
  <c r="L960" i="19"/>
  <c r="N960" i="19" s="1"/>
  <c r="M530" i="19"/>
  <c r="L526" i="19"/>
  <c r="N526" i="19" s="1"/>
  <c r="I530" i="19"/>
  <c r="L520" i="19"/>
  <c r="N520" i="19" s="1"/>
  <c r="L418" i="19"/>
  <c r="N418" i="19" s="1"/>
  <c r="I310" i="19"/>
  <c r="L298" i="19"/>
  <c r="N298" i="19" s="1"/>
  <c r="L306" i="19"/>
  <c r="N306" i="19" s="1"/>
  <c r="M310" i="19"/>
  <c r="I145" i="19"/>
  <c r="L135" i="19"/>
  <c r="N135" i="19" s="1"/>
  <c r="J2455" i="19"/>
  <c r="M1190" i="19"/>
  <c r="L907" i="19"/>
  <c r="N907" i="19" s="1"/>
  <c r="J640" i="19"/>
  <c r="L251" i="19"/>
  <c r="N251" i="19" s="1"/>
  <c r="M90" i="19"/>
  <c r="M2290" i="19"/>
  <c r="L86" i="19"/>
  <c r="N86" i="19" s="1"/>
  <c r="J90" i="19"/>
  <c r="L2616" i="19"/>
  <c r="N2616" i="19" s="1"/>
  <c r="M2620" i="19"/>
  <c r="I2620" i="19"/>
  <c r="L2608" i="19"/>
  <c r="N2608" i="19" s="1"/>
  <c r="L2284" i="19"/>
  <c r="N2284" i="19" s="1"/>
  <c r="L1514" i="19"/>
  <c r="N1514" i="19" s="1"/>
  <c r="J805" i="19"/>
  <c r="M805" i="19"/>
  <c r="E1029" i="20"/>
  <c r="E1030" i="20"/>
  <c r="G1008" i="20"/>
  <c r="E1028" i="20"/>
  <c r="E1031" i="20"/>
  <c r="E808" i="20"/>
  <c r="G786" i="20"/>
  <c r="E809" i="20"/>
  <c r="E806" i="20"/>
  <c r="E807" i="20"/>
  <c r="E326" i="20"/>
  <c r="E327" i="20"/>
  <c r="G305" i="20"/>
  <c r="E328" i="20"/>
  <c r="E325" i="20"/>
  <c r="M2455" i="19"/>
  <c r="L2728" i="19"/>
  <c r="N2728" i="19" s="1"/>
  <c r="J2620" i="19"/>
  <c r="K2620" i="19"/>
  <c r="L2451" i="19"/>
  <c r="N2451" i="19" s="1"/>
  <c r="L2286" i="19"/>
  <c r="N2286" i="19" s="1"/>
  <c r="K2290" i="19"/>
  <c r="L2119" i="19"/>
  <c r="N2119" i="19" s="1"/>
  <c r="M2125" i="19"/>
  <c r="K1795" i="19"/>
  <c r="L1618" i="19"/>
  <c r="N1618" i="19" s="1"/>
  <c r="L1510" i="19"/>
  <c r="N1510" i="19" s="1"/>
  <c r="I1520" i="19"/>
  <c r="M1355" i="19"/>
  <c r="L1345" i="19"/>
  <c r="N1345" i="19" s="1"/>
  <c r="I1355" i="19"/>
  <c r="J1355" i="19"/>
  <c r="L1180" i="19"/>
  <c r="N1180" i="19" s="1"/>
  <c r="I1190" i="19"/>
  <c r="L1186" i="19"/>
  <c r="N1186" i="19" s="1"/>
  <c r="L801" i="19"/>
  <c r="N801" i="19" s="1"/>
  <c r="L799" i="19"/>
  <c r="N799" i="19" s="1"/>
  <c r="L636" i="19"/>
  <c r="N636" i="19" s="1"/>
  <c r="L471" i="19"/>
  <c r="N471" i="19" s="1"/>
  <c r="J475" i="19"/>
  <c r="M475" i="19"/>
  <c r="K255" i="19"/>
  <c r="L245" i="19"/>
  <c r="N245" i="19" s="1"/>
  <c r="I255" i="19"/>
  <c r="E67" i="20"/>
  <c r="E69" i="20"/>
  <c r="G46" i="20"/>
  <c r="E66" i="20"/>
  <c r="E68" i="20"/>
  <c r="G1415" i="20"/>
  <c r="E1436" i="20"/>
  <c r="E1437" i="20"/>
  <c r="E1438" i="20"/>
  <c r="E1435" i="20"/>
  <c r="E1326" i="20"/>
  <c r="G1304" i="20"/>
  <c r="E1325" i="20"/>
  <c r="E1324" i="20"/>
  <c r="E1327" i="20"/>
  <c r="E178" i="20"/>
  <c r="E177" i="20"/>
  <c r="G157" i="20"/>
  <c r="E179" i="20"/>
  <c r="E180" i="20"/>
  <c r="E1659" i="20"/>
  <c r="E1658" i="20"/>
  <c r="G1637" i="20"/>
  <c r="E1657" i="20"/>
  <c r="E1660" i="20"/>
  <c r="E548" i="20"/>
  <c r="E549" i="20"/>
  <c r="E547" i="20"/>
  <c r="G527" i="20"/>
  <c r="E550" i="20"/>
  <c r="E1215" i="20"/>
  <c r="G1193" i="20"/>
  <c r="E1214" i="20"/>
  <c r="E1213" i="20"/>
  <c r="E1216" i="20"/>
  <c r="L2449" i="19"/>
  <c r="N2449" i="19" s="1"/>
  <c r="L2614" i="19"/>
  <c r="N2614" i="19" s="1"/>
  <c r="L2445" i="19"/>
  <c r="N2445" i="19" s="1"/>
  <c r="I2455" i="19"/>
  <c r="K2125" i="19"/>
  <c r="L1954" i="19"/>
  <c r="N1954" i="19" s="1"/>
  <c r="L1785" i="19"/>
  <c r="N1785" i="19" s="1"/>
  <c r="I1795" i="19"/>
  <c r="L1791" i="19"/>
  <c r="N1791" i="19" s="1"/>
  <c r="K1520" i="19"/>
  <c r="M1520" i="19"/>
  <c r="J1520" i="19"/>
  <c r="L1351" i="19"/>
  <c r="N1351" i="19" s="1"/>
  <c r="L1184" i="19"/>
  <c r="N1184" i="19" s="1"/>
  <c r="I805" i="19"/>
  <c r="L793" i="19"/>
  <c r="N793" i="19" s="1"/>
  <c r="L634" i="19"/>
  <c r="N634" i="19" s="1"/>
  <c r="L630" i="19"/>
  <c r="N630" i="19" s="1"/>
  <c r="I640" i="19"/>
  <c r="K640" i="19"/>
  <c r="L469" i="19"/>
  <c r="N469" i="19" s="1"/>
  <c r="K475" i="19"/>
  <c r="L80" i="19"/>
  <c r="N80" i="19" s="1"/>
  <c r="I90" i="19"/>
  <c r="L84" i="19"/>
  <c r="N84" i="19" s="1"/>
  <c r="L2280" i="19"/>
  <c r="N2280" i="19" s="1"/>
  <c r="I2290" i="19"/>
  <c r="L2290" i="19" s="1"/>
  <c r="N2290" i="19" s="1"/>
  <c r="R2274" i="19" s="1"/>
  <c r="Q2274" i="19" s="1"/>
  <c r="J1795" i="19"/>
  <c r="L1516" i="19"/>
  <c r="N1516" i="19" s="1"/>
  <c r="E437" i="20"/>
  <c r="E436" i="20"/>
  <c r="E438" i="20"/>
  <c r="E439" i="20"/>
  <c r="G416" i="20"/>
  <c r="E1547" i="20"/>
  <c r="E1548" i="20"/>
  <c r="G1526" i="20"/>
  <c r="E1549" i="20"/>
  <c r="E1546" i="20"/>
  <c r="E919" i="20"/>
  <c r="E918" i="20"/>
  <c r="E917" i="20"/>
  <c r="G897" i="20"/>
  <c r="E920" i="20"/>
  <c r="G1748" i="20"/>
  <c r="E1770" i="20"/>
  <c r="E1769" i="20"/>
  <c r="E1768" i="20"/>
  <c r="E1771" i="20"/>
  <c r="L2610" i="19"/>
  <c r="N2610" i="19" s="1"/>
  <c r="K2455" i="19"/>
  <c r="L2121" i="19"/>
  <c r="N2121" i="19" s="1"/>
  <c r="I2125" i="19"/>
  <c r="L2115" i="19"/>
  <c r="N2115" i="19" s="1"/>
  <c r="L1956" i="19"/>
  <c r="N1956" i="19" s="1"/>
  <c r="L1950" i="19"/>
  <c r="N1950" i="19" s="1"/>
  <c r="L1789" i="19"/>
  <c r="N1789" i="19" s="1"/>
  <c r="M1795" i="19"/>
  <c r="L1512" i="19"/>
  <c r="N1512" i="19" s="1"/>
  <c r="L1023" i="19"/>
  <c r="N1023" i="19" s="1"/>
  <c r="K1355" i="19"/>
  <c r="J1190" i="19"/>
  <c r="K1190" i="19"/>
  <c r="K805" i="19"/>
  <c r="L795" i="19"/>
  <c r="N795" i="19" s="1"/>
  <c r="L465" i="19"/>
  <c r="N465" i="19" s="1"/>
  <c r="I475" i="19"/>
  <c r="J255" i="19"/>
  <c r="E625" i="20"/>
  <c r="W597" i="20" s="1"/>
  <c r="I20" i="10" s="1"/>
  <c r="E699" i="20"/>
  <c r="D701" i="20" s="1"/>
  <c r="E1735" i="20"/>
  <c r="D1737" i="20" s="1"/>
  <c r="E1513" i="20"/>
  <c r="W1485" i="20" s="1"/>
  <c r="I44" i="10" s="1"/>
  <c r="E995" i="20"/>
  <c r="W967" i="20" s="1"/>
  <c r="I30" i="10" s="1"/>
  <c r="E1624" i="20"/>
  <c r="W1596" i="20" s="1"/>
  <c r="I47" i="10" s="1"/>
  <c r="E1291" i="20"/>
  <c r="D1293" i="20" s="1"/>
  <c r="E144" i="20"/>
  <c r="W116" i="20" s="1"/>
  <c r="I7" i="10" s="1"/>
  <c r="E884" i="20"/>
  <c r="W856" i="20" s="1"/>
  <c r="I27" i="10" s="1"/>
  <c r="E403" i="20"/>
  <c r="D405" i="20" s="1"/>
  <c r="E1106" i="20"/>
  <c r="D1108" i="20" s="1"/>
  <c r="E514" i="20"/>
  <c r="D516" i="20" s="1"/>
  <c r="E255" i="20"/>
  <c r="D257" i="20" s="1"/>
  <c r="E1180" i="20"/>
  <c r="D1182" i="20" s="1"/>
  <c r="E773" i="20"/>
  <c r="D775" i="20" s="1"/>
  <c r="K585" i="19"/>
  <c r="J1740" i="19"/>
  <c r="J750" i="19"/>
  <c r="L361" i="19"/>
  <c r="N361" i="19" s="1"/>
  <c r="J2565" i="19"/>
  <c r="E1402" i="20"/>
  <c r="W1374" i="20" s="1"/>
  <c r="I41" i="10" s="1"/>
  <c r="K750" i="19"/>
  <c r="J2235" i="19"/>
  <c r="M1465" i="19"/>
  <c r="J2730" i="19"/>
  <c r="M750" i="19"/>
  <c r="L196" i="19"/>
  <c r="N196" i="19" s="1"/>
  <c r="L1131" i="19"/>
  <c r="N1131" i="19" s="1"/>
  <c r="L1296" i="19"/>
  <c r="N1296" i="19" s="1"/>
  <c r="J1300" i="19"/>
  <c r="L1736" i="19"/>
  <c r="N1736" i="19" s="1"/>
  <c r="L911" i="19"/>
  <c r="N911" i="19" s="1"/>
  <c r="J2400" i="19"/>
  <c r="L1622" i="19"/>
  <c r="N1622" i="19" s="1"/>
  <c r="L746" i="19"/>
  <c r="N746" i="19" s="1"/>
  <c r="M1740" i="19"/>
  <c r="J365" i="19"/>
  <c r="M2070" i="19"/>
  <c r="L2561" i="19"/>
  <c r="N2561" i="19" s="1"/>
  <c r="M2235" i="19"/>
  <c r="K2070" i="19"/>
  <c r="L1019" i="19"/>
  <c r="N1019" i="19" s="1"/>
  <c r="M35" i="19"/>
  <c r="I1025" i="19"/>
  <c r="L1015" i="19"/>
  <c r="N1015" i="19" s="1"/>
  <c r="M915" i="19"/>
  <c r="L2720" i="19"/>
  <c r="N2720" i="19" s="1"/>
  <c r="K2235" i="19"/>
  <c r="J585" i="19"/>
  <c r="L2229" i="19"/>
  <c r="N2229" i="19" s="1"/>
  <c r="J915" i="19"/>
  <c r="K200" i="19"/>
  <c r="K1300" i="19"/>
  <c r="L2724" i="19"/>
  <c r="N2724" i="19" s="1"/>
  <c r="E29" i="20"/>
  <c r="G9" i="20"/>
  <c r="E32" i="20"/>
  <c r="E30" i="20"/>
  <c r="E31" i="20"/>
  <c r="I1905" i="19"/>
  <c r="L1895" i="19"/>
  <c r="N1895" i="19" s="1"/>
  <c r="L1294" i="19"/>
  <c r="N1294" i="19" s="1"/>
  <c r="L1899" i="19"/>
  <c r="N1899" i="19" s="1"/>
  <c r="K1630" i="19"/>
  <c r="L1624" i="19"/>
  <c r="N1624" i="19" s="1"/>
  <c r="L2064" i="19"/>
  <c r="N2064" i="19" s="1"/>
  <c r="K915" i="19"/>
  <c r="L1901" i="19"/>
  <c r="N1901" i="19" s="1"/>
  <c r="L1459" i="19"/>
  <c r="N1459" i="19" s="1"/>
  <c r="J1630" i="19"/>
  <c r="L1730" i="19"/>
  <c r="N1730" i="19" s="1"/>
  <c r="L909" i="19"/>
  <c r="N909" i="19" s="1"/>
  <c r="I1630" i="19"/>
  <c r="L1620" i="19"/>
  <c r="N1620" i="19" s="1"/>
  <c r="I200" i="19"/>
  <c r="L190" i="19"/>
  <c r="N190" i="19" s="1"/>
  <c r="L905" i="19"/>
  <c r="N905" i="19" s="1"/>
  <c r="K2400" i="19"/>
  <c r="L2559" i="19"/>
  <c r="N2559" i="19" s="1"/>
  <c r="L2066" i="19"/>
  <c r="N2066" i="19" s="1"/>
  <c r="M2730" i="19"/>
  <c r="K1465" i="19"/>
  <c r="J1465" i="19"/>
  <c r="L31" i="19"/>
  <c r="N31" i="19" s="1"/>
  <c r="L2726" i="19"/>
  <c r="N2726" i="19" s="1"/>
  <c r="L1626" i="19"/>
  <c r="N1626" i="19" s="1"/>
  <c r="L1461" i="19"/>
  <c r="N1461" i="19" s="1"/>
  <c r="K1905" i="19"/>
  <c r="K1025" i="19"/>
  <c r="M2400" i="19"/>
  <c r="K365" i="19"/>
  <c r="I1300" i="19"/>
  <c r="L1290" i="19"/>
  <c r="N1290" i="19" s="1"/>
  <c r="J1025" i="19"/>
  <c r="L1021" i="19"/>
  <c r="N1021" i="19" s="1"/>
  <c r="I1135" i="19"/>
  <c r="L1129" i="19"/>
  <c r="N1129" i="19" s="1"/>
  <c r="I585" i="19"/>
  <c r="L575" i="19"/>
  <c r="N575" i="19" s="1"/>
  <c r="I365" i="19"/>
  <c r="L355" i="19"/>
  <c r="N355" i="19" s="1"/>
  <c r="L1728" i="19"/>
  <c r="N1728" i="19" s="1"/>
  <c r="I1740" i="19"/>
  <c r="L579" i="19"/>
  <c r="N579" i="19" s="1"/>
  <c r="M1630" i="19"/>
  <c r="J2070" i="19"/>
  <c r="L2231" i="19"/>
  <c r="N2231" i="19" s="1"/>
  <c r="L2394" i="19"/>
  <c r="N2394" i="19" s="1"/>
  <c r="K35" i="19"/>
  <c r="L1017" i="19"/>
  <c r="N1017" i="19" s="1"/>
  <c r="M1135" i="19"/>
  <c r="L29" i="19"/>
  <c r="N29" i="19" s="1"/>
  <c r="L2555" i="19"/>
  <c r="N2555" i="19" s="1"/>
  <c r="I2565" i="19"/>
  <c r="M585" i="19"/>
  <c r="M365" i="19"/>
  <c r="L740" i="19"/>
  <c r="N740" i="19" s="1"/>
  <c r="I750" i="19"/>
  <c r="L1455" i="19"/>
  <c r="N1455" i="19" s="1"/>
  <c r="I1465" i="19"/>
  <c r="I2070" i="19"/>
  <c r="L2060" i="19"/>
  <c r="N2060" i="19" s="1"/>
  <c r="L903" i="19"/>
  <c r="N903" i="19" s="1"/>
  <c r="I915" i="19"/>
  <c r="I2235" i="19"/>
  <c r="L2225" i="19"/>
  <c r="N2225" i="19" s="1"/>
  <c r="M1025" i="19"/>
  <c r="I2400" i="19"/>
  <c r="L2390" i="19"/>
  <c r="N2390" i="19" s="1"/>
  <c r="J1905" i="19"/>
  <c r="J200" i="19"/>
  <c r="M1905" i="19"/>
  <c r="L25" i="19"/>
  <c r="N25" i="19" s="1"/>
  <c r="I35" i="19"/>
  <c r="M2565" i="19"/>
  <c r="L2396" i="19"/>
  <c r="N2396" i="19" s="1"/>
  <c r="K2565" i="19"/>
  <c r="M200" i="19"/>
  <c r="I2730" i="19"/>
  <c r="L2718" i="19"/>
  <c r="N2718" i="19" s="1"/>
  <c r="J1135" i="19"/>
  <c r="L1133" i="19"/>
  <c r="N1133" i="19" s="1"/>
  <c r="J35" i="19"/>
  <c r="K2730" i="19"/>
  <c r="M1300" i="19"/>
  <c r="L744" i="19"/>
  <c r="N744" i="19" s="1"/>
  <c r="L581" i="19"/>
  <c r="N581" i="19" s="1"/>
  <c r="E1846" i="20" l="1"/>
  <c r="D1848" i="20" s="1"/>
  <c r="X1818" i="20" s="1"/>
  <c r="E1954" i="20"/>
  <c r="E1957" i="20" s="1"/>
  <c r="D1959" i="20" s="1"/>
  <c r="E1991" i="20"/>
  <c r="E1994" i="20" s="1"/>
  <c r="L2950" i="19"/>
  <c r="N2950" i="19" s="1"/>
  <c r="R2934" i="19" s="1"/>
  <c r="Q2934" i="19" s="1"/>
  <c r="J2932" i="19" s="1"/>
  <c r="J2939" i="19" s="1"/>
  <c r="L3060" i="19"/>
  <c r="N3060" i="19" s="1"/>
  <c r="R3044" i="19" s="1"/>
  <c r="Q3044" i="19" s="1"/>
  <c r="J3043" i="19" s="1"/>
  <c r="J3051" i="19" s="1"/>
  <c r="E1880" i="20"/>
  <c r="E1883" i="20" s="1"/>
  <c r="L3005" i="19"/>
  <c r="N3005" i="19" s="1"/>
  <c r="R2989" i="19" s="1"/>
  <c r="Q2989" i="19" s="1"/>
  <c r="I2987" i="19" s="1"/>
  <c r="I2994" i="19" s="1"/>
  <c r="E2065" i="20"/>
  <c r="E2068" i="20" s="1"/>
  <c r="L2895" i="19"/>
  <c r="N2895" i="19" s="1"/>
  <c r="R2879" i="19" s="1"/>
  <c r="Q2879" i="19" s="1"/>
  <c r="L2840" i="19"/>
  <c r="N2840" i="19" s="1"/>
  <c r="R2824" i="19" s="1"/>
  <c r="Q2824" i="19" s="1"/>
  <c r="E1920" i="20"/>
  <c r="E2031" i="20"/>
  <c r="L2785" i="19"/>
  <c r="N2785" i="19" s="1"/>
  <c r="R2769" i="19" s="1"/>
  <c r="Q2769" i="19" s="1"/>
  <c r="L310" i="19"/>
  <c r="N310" i="19" s="1"/>
  <c r="R294" i="19" s="1"/>
  <c r="Q294" i="19" s="1"/>
  <c r="L530" i="19"/>
  <c r="N530" i="19" s="1"/>
  <c r="R514" i="19" s="1"/>
  <c r="Q514" i="19" s="1"/>
  <c r="L860" i="19"/>
  <c r="N860" i="19" s="1"/>
  <c r="R844" i="19" s="1"/>
  <c r="Q844" i="19" s="1"/>
  <c r="L2125" i="19"/>
  <c r="N2125" i="19" s="1"/>
  <c r="R2109" i="19" s="1"/>
  <c r="Q2109" i="19" s="1"/>
  <c r="K2110" i="19" s="1"/>
  <c r="K2120" i="19" s="1"/>
  <c r="L145" i="19"/>
  <c r="N145" i="19" s="1"/>
  <c r="R129" i="19" s="1"/>
  <c r="Q129" i="19" s="1"/>
  <c r="L2675" i="19"/>
  <c r="N2675" i="19" s="1"/>
  <c r="R2659" i="19" s="1"/>
  <c r="Q2659" i="19" s="1"/>
  <c r="M2658" i="19" s="1"/>
  <c r="M2666" i="19" s="1"/>
  <c r="L90" i="19"/>
  <c r="N90" i="19" s="1"/>
  <c r="R74" i="19" s="1"/>
  <c r="Q74" i="19" s="1"/>
  <c r="I77" i="19" s="1"/>
  <c r="L475" i="19"/>
  <c r="N475" i="19" s="1"/>
  <c r="R459" i="19" s="1"/>
  <c r="Q459" i="19" s="1"/>
  <c r="I458" i="19" s="1"/>
  <c r="I466" i="19" s="1"/>
  <c r="E1698" i="20"/>
  <c r="W1670" i="20" s="1"/>
  <c r="I49" i="10" s="1"/>
  <c r="D627" i="20"/>
  <c r="D628" i="20" s="1"/>
  <c r="Y597" i="20" s="1"/>
  <c r="P20" i="10" s="1"/>
  <c r="D997" i="20"/>
  <c r="X967" i="20" s="1"/>
  <c r="E662" i="20"/>
  <c r="W634" i="20" s="1"/>
  <c r="I21" i="10" s="1"/>
  <c r="L2345" i="19"/>
  <c r="N2345" i="19" s="1"/>
  <c r="R2329" i="19" s="1"/>
  <c r="Q2329" i="19" s="1"/>
  <c r="M2329" i="19" s="1"/>
  <c r="M2338" i="19" s="1"/>
  <c r="W486" i="20"/>
  <c r="I17" i="10" s="1"/>
  <c r="L2510" i="19"/>
  <c r="N2510" i="19" s="1"/>
  <c r="R2494" i="19" s="1"/>
  <c r="Q2494" i="19" s="1"/>
  <c r="K2497" i="19" s="1"/>
  <c r="K2509" i="19" s="1"/>
  <c r="E1365" i="20"/>
  <c r="W1337" i="20" s="1"/>
  <c r="I40" i="10" s="1"/>
  <c r="E1069" i="20"/>
  <c r="D1071" i="20" s="1"/>
  <c r="L1245" i="19"/>
  <c r="N1245" i="19" s="1"/>
  <c r="R1229" i="19" s="1"/>
  <c r="Q1229" i="19" s="1"/>
  <c r="K1232" i="19" s="1"/>
  <c r="K1244" i="19" s="1"/>
  <c r="L695" i="19"/>
  <c r="N695" i="19" s="1"/>
  <c r="R679" i="19" s="1"/>
  <c r="Q679" i="19" s="1"/>
  <c r="J680" i="19" s="1"/>
  <c r="J690" i="19" s="1"/>
  <c r="E736" i="20"/>
  <c r="W708" i="20" s="1"/>
  <c r="I23" i="10" s="1"/>
  <c r="E1809" i="20"/>
  <c r="D1811" i="20" s="1"/>
  <c r="L1850" i="19"/>
  <c r="N1850" i="19" s="1"/>
  <c r="R1834" i="19" s="1"/>
  <c r="Q1834" i="19" s="1"/>
  <c r="L2180" i="19"/>
  <c r="N2180" i="19" s="1"/>
  <c r="R2164" i="19" s="1"/>
  <c r="Q2164" i="19" s="1"/>
  <c r="L970" i="19"/>
  <c r="N970" i="19" s="1"/>
  <c r="R954" i="19" s="1"/>
  <c r="Q954" i="19" s="1"/>
  <c r="L1410" i="19"/>
  <c r="N1410" i="19" s="1"/>
  <c r="R1394" i="19" s="1"/>
  <c r="Q1394" i="19" s="1"/>
  <c r="E1587" i="20"/>
  <c r="E366" i="20"/>
  <c r="E292" i="20"/>
  <c r="E958" i="20"/>
  <c r="E477" i="20"/>
  <c r="E1476" i="20"/>
  <c r="L640" i="19"/>
  <c r="N640" i="19" s="1"/>
  <c r="R624" i="19" s="1"/>
  <c r="Q624" i="19" s="1"/>
  <c r="K624" i="19" s="1"/>
  <c r="K633" i="19" s="1"/>
  <c r="E847" i="20"/>
  <c r="E1143" i="20"/>
  <c r="E588" i="20"/>
  <c r="L420" i="19"/>
  <c r="N420" i="19" s="1"/>
  <c r="R404" i="19" s="1"/>
  <c r="Q404" i="19" s="1"/>
  <c r="L1080" i="19"/>
  <c r="N1080" i="19" s="1"/>
  <c r="R1064" i="19" s="1"/>
  <c r="Q1064" i="19" s="1"/>
  <c r="E218" i="20"/>
  <c r="E1254" i="20"/>
  <c r="L2015" i="19"/>
  <c r="N2015" i="19" s="1"/>
  <c r="R1999" i="19" s="1"/>
  <c r="Q1999" i="19" s="1"/>
  <c r="L1575" i="19"/>
  <c r="N1575" i="19" s="1"/>
  <c r="R1559" i="19" s="1"/>
  <c r="Q1559" i="19" s="1"/>
  <c r="L1685" i="19"/>
  <c r="N1685" i="19" s="1"/>
  <c r="R1669" i="19" s="1"/>
  <c r="Q1669" i="19" s="1"/>
  <c r="E107" i="20"/>
  <c r="E1661" i="20"/>
  <c r="W1633" i="20" s="1"/>
  <c r="I48" i="10" s="1"/>
  <c r="E810" i="20"/>
  <c r="D812" i="20" s="1"/>
  <c r="E1032" i="20"/>
  <c r="W1004" i="20" s="1"/>
  <c r="I31" i="10" s="1"/>
  <c r="E1217" i="20"/>
  <c r="D1219" i="20" s="1"/>
  <c r="E1328" i="20"/>
  <c r="W1300" i="20" s="1"/>
  <c r="I39" i="10" s="1"/>
  <c r="E329" i="20"/>
  <c r="W301" i="20" s="1"/>
  <c r="I12" i="10" s="1"/>
  <c r="L1190" i="19"/>
  <c r="N1190" i="19" s="1"/>
  <c r="R1174" i="19" s="1"/>
  <c r="Q1174" i="19" s="1"/>
  <c r="E921" i="20"/>
  <c r="E1550" i="20"/>
  <c r="M2276" i="19"/>
  <c r="M2287" i="19" s="1"/>
  <c r="I2273" i="19"/>
  <c r="I2281" i="19" s="1"/>
  <c r="I2276" i="19"/>
  <c r="I2287" i="19" s="1"/>
  <c r="K2272" i="19"/>
  <c r="K2279" i="19" s="1"/>
  <c r="J2273" i="19"/>
  <c r="J2281" i="19" s="1"/>
  <c r="J2274" i="19"/>
  <c r="J2283" i="19" s="1"/>
  <c r="J2276" i="19"/>
  <c r="J2287" i="19" s="1"/>
  <c r="I2274" i="19"/>
  <c r="I2283" i="19" s="1"/>
  <c r="K2273" i="19"/>
  <c r="K2281" i="19" s="1"/>
  <c r="K2276" i="19"/>
  <c r="K2287" i="19" s="1"/>
  <c r="J2272" i="19"/>
  <c r="J2279" i="19" s="1"/>
  <c r="J2275" i="19"/>
  <c r="J2285" i="19" s="1"/>
  <c r="M2277" i="19"/>
  <c r="M2289" i="19" s="1"/>
  <c r="M2272" i="19"/>
  <c r="M2279" i="19" s="1"/>
  <c r="K2274" i="19"/>
  <c r="K2283" i="19" s="1"/>
  <c r="M2275" i="19"/>
  <c r="M2285" i="19" s="1"/>
  <c r="J2277" i="19"/>
  <c r="J2289" i="19" s="1"/>
  <c r="M2273" i="19"/>
  <c r="M2281" i="19" s="1"/>
  <c r="M2274" i="19"/>
  <c r="M2283" i="19" s="1"/>
  <c r="K2277" i="19"/>
  <c r="K2289" i="19" s="1"/>
  <c r="I2272" i="19"/>
  <c r="I2279" i="19" s="1"/>
  <c r="K2275" i="19"/>
  <c r="K2285" i="19" s="1"/>
  <c r="I2275" i="19"/>
  <c r="I2277" i="19"/>
  <c r="L805" i="19"/>
  <c r="N805" i="19" s="1"/>
  <c r="R789" i="19" s="1"/>
  <c r="Q789" i="19" s="1"/>
  <c r="L2455" i="19"/>
  <c r="N2455" i="19" s="1"/>
  <c r="R2439" i="19" s="1"/>
  <c r="Q2439" i="19" s="1"/>
  <c r="E181" i="20"/>
  <c r="E1439" i="20"/>
  <c r="L1520" i="19"/>
  <c r="N1520" i="19" s="1"/>
  <c r="R1504" i="19" s="1"/>
  <c r="Q1504" i="19" s="1"/>
  <c r="E1772" i="20"/>
  <c r="E551" i="20"/>
  <c r="E70" i="20"/>
  <c r="L255" i="19"/>
  <c r="N255" i="19" s="1"/>
  <c r="R239" i="19" s="1"/>
  <c r="Q239" i="19" s="1"/>
  <c r="L1355" i="19"/>
  <c r="N1355" i="19" s="1"/>
  <c r="R1339" i="19" s="1"/>
  <c r="Q1339" i="19" s="1"/>
  <c r="L2620" i="19"/>
  <c r="N2620" i="19" s="1"/>
  <c r="R2604" i="19" s="1"/>
  <c r="Q2604" i="19" s="1"/>
  <c r="E440" i="20"/>
  <c r="L1795" i="19"/>
  <c r="N1795" i="19" s="1"/>
  <c r="R1779" i="19" s="1"/>
  <c r="Q1779" i="19" s="1"/>
  <c r="D146" i="20"/>
  <c r="X116" i="20" s="1"/>
  <c r="J7" i="10" s="1"/>
  <c r="W375" i="20"/>
  <c r="I14" i="10" s="1"/>
  <c r="W1078" i="20"/>
  <c r="I33" i="10" s="1"/>
  <c r="W745" i="20"/>
  <c r="I24" i="10" s="1"/>
  <c r="W1707" i="20"/>
  <c r="I50" i="10" s="1"/>
  <c r="W671" i="20"/>
  <c r="I22" i="10" s="1"/>
  <c r="W1152" i="20"/>
  <c r="I35" i="10" s="1"/>
  <c r="W1263" i="20"/>
  <c r="I38" i="10" s="1"/>
  <c r="D1515" i="20"/>
  <c r="D1516" i="20" s="1"/>
  <c r="Y1485" i="20" s="1"/>
  <c r="P44" i="10" s="1"/>
  <c r="W227" i="20"/>
  <c r="I10" i="10" s="1"/>
  <c r="D886" i="20"/>
  <c r="X856" i="20" s="1"/>
  <c r="D1626" i="20"/>
  <c r="D1627" i="20" s="1"/>
  <c r="Y1596" i="20" s="1"/>
  <c r="P47" i="10" s="1"/>
  <c r="E33" i="20"/>
  <c r="W5" i="20" s="1"/>
  <c r="I4" i="10" s="1"/>
  <c r="L1740" i="19"/>
  <c r="N1740" i="19" s="1"/>
  <c r="R1724" i="19" s="1"/>
  <c r="Q1724" i="19" s="1"/>
  <c r="I1722" i="19" s="1"/>
  <c r="I1729" i="19" s="1"/>
  <c r="D1404" i="20"/>
  <c r="X1374" i="20" s="1"/>
  <c r="L585" i="19"/>
  <c r="N585" i="19" s="1"/>
  <c r="R569" i="19" s="1"/>
  <c r="Q569" i="19" s="1"/>
  <c r="L750" i="19"/>
  <c r="N750" i="19" s="1"/>
  <c r="R734" i="19" s="1"/>
  <c r="Q734" i="19" s="1"/>
  <c r="J732" i="19" s="1"/>
  <c r="J739" i="19" s="1"/>
  <c r="L2400" i="19"/>
  <c r="N2400" i="19" s="1"/>
  <c r="R2384" i="19" s="1"/>
  <c r="Q2384" i="19" s="1"/>
  <c r="M2387" i="19" s="1"/>
  <c r="M2399" i="19" s="1"/>
  <c r="L915" i="19"/>
  <c r="N915" i="19" s="1"/>
  <c r="R899" i="19" s="1"/>
  <c r="Q899" i="19" s="1"/>
  <c r="J898" i="19" s="1"/>
  <c r="J906" i="19" s="1"/>
  <c r="L1465" i="19"/>
  <c r="N1465" i="19" s="1"/>
  <c r="R1449" i="19" s="1"/>
  <c r="Q1449" i="19" s="1"/>
  <c r="J1449" i="19" s="1"/>
  <c r="J1458" i="19" s="1"/>
  <c r="L35" i="19"/>
  <c r="N35" i="19" s="1"/>
  <c r="R19" i="19" s="1"/>
  <c r="Q19" i="19" s="1"/>
  <c r="J17" i="19" s="1"/>
  <c r="J24" i="19" s="1"/>
  <c r="L2235" i="19"/>
  <c r="N2235" i="19" s="1"/>
  <c r="R2219" i="19" s="1"/>
  <c r="Q2219" i="19" s="1"/>
  <c r="K2222" i="19" s="1"/>
  <c r="K2234" i="19" s="1"/>
  <c r="L1300" i="19"/>
  <c r="N1300" i="19" s="1"/>
  <c r="R1284" i="19" s="1"/>
  <c r="Q1284" i="19" s="1"/>
  <c r="L1630" i="19"/>
  <c r="N1630" i="19" s="1"/>
  <c r="R1614" i="19" s="1"/>
  <c r="Q1614" i="19" s="1"/>
  <c r="K1616" i="19" s="1"/>
  <c r="K1627" i="19" s="1"/>
  <c r="L365" i="19"/>
  <c r="N365" i="19" s="1"/>
  <c r="R349" i="19" s="1"/>
  <c r="Q349" i="19" s="1"/>
  <c r="L2565" i="19"/>
  <c r="N2565" i="19" s="1"/>
  <c r="R2549" i="19" s="1"/>
  <c r="Q2549" i="19" s="1"/>
  <c r="X1152" i="20"/>
  <c r="D1183" i="20"/>
  <c r="Y1152" i="20" s="1"/>
  <c r="P35" i="10" s="1"/>
  <c r="D1738" i="20"/>
  <c r="Y1707" i="20" s="1"/>
  <c r="P50" i="10" s="1"/>
  <c r="X1707" i="20"/>
  <c r="X375" i="20"/>
  <c r="J14" i="10" s="1"/>
  <c r="D406" i="20"/>
  <c r="Y375" i="20" s="1"/>
  <c r="P14" i="10" s="1"/>
  <c r="X1263" i="20"/>
  <c r="D1294" i="20"/>
  <c r="Y1263" i="20" s="1"/>
  <c r="P38" i="10" s="1"/>
  <c r="L1025" i="19"/>
  <c r="N1025" i="19" s="1"/>
  <c r="R1009" i="19" s="1"/>
  <c r="Q1009" i="19" s="1"/>
  <c r="D258" i="20"/>
  <c r="Y227" i="20" s="1"/>
  <c r="P10" i="10" s="1"/>
  <c r="X227" i="20"/>
  <c r="J10" i="10" s="1"/>
  <c r="L2070" i="19"/>
  <c r="N2070" i="19" s="1"/>
  <c r="R2054" i="19" s="1"/>
  <c r="Q2054" i="19" s="1"/>
  <c r="D1109" i="20"/>
  <c r="Y1078" i="20" s="1"/>
  <c r="P33" i="10" s="1"/>
  <c r="X1078" i="20"/>
  <c r="D776" i="20"/>
  <c r="Y745" i="20" s="1"/>
  <c r="P24" i="10" s="1"/>
  <c r="X745" i="20"/>
  <c r="L1135" i="19"/>
  <c r="N1135" i="19" s="1"/>
  <c r="R1119" i="19" s="1"/>
  <c r="Q1119" i="19" s="1"/>
  <c r="L2730" i="19"/>
  <c r="N2730" i="19" s="1"/>
  <c r="R2714" i="19" s="1"/>
  <c r="Q2714" i="19" s="1"/>
  <c r="X671" i="20"/>
  <c r="J22" i="10" s="1"/>
  <c r="D702" i="20"/>
  <c r="Y671" i="20" s="1"/>
  <c r="P22" i="10" s="1"/>
  <c r="X486" i="20"/>
  <c r="J17" i="10" s="1"/>
  <c r="D517" i="20"/>
  <c r="Y486" i="20" s="1"/>
  <c r="P17" i="10" s="1"/>
  <c r="L200" i="19"/>
  <c r="N200" i="19" s="1"/>
  <c r="R184" i="19" s="1"/>
  <c r="Q184" i="19" s="1"/>
  <c r="L1905" i="19"/>
  <c r="N1905" i="19" s="1"/>
  <c r="R1889" i="19" s="1"/>
  <c r="Q1889" i="19" s="1"/>
  <c r="D1849" i="20" l="1"/>
  <c r="Y1818" i="20" s="1"/>
  <c r="P53" i="10" s="1"/>
  <c r="W1818" i="20"/>
  <c r="I53" i="10" s="1"/>
  <c r="M3043" i="19"/>
  <c r="M3051" i="19" s="1"/>
  <c r="I2991" i="19"/>
  <c r="I3002" i="19" s="1"/>
  <c r="K2991" i="19"/>
  <c r="K3002" i="19" s="1"/>
  <c r="J3046" i="19"/>
  <c r="J3057" i="19" s="1"/>
  <c r="I3044" i="19"/>
  <c r="I3053" i="19" s="1"/>
  <c r="J3047" i="19"/>
  <c r="J3059" i="19" s="1"/>
  <c r="I3046" i="19"/>
  <c r="I3057" i="19" s="1"/>
  <c r="K2990" i="19"/>
  <c r="K3000" i="19" s="1"/>
  <c r="M3042" i="19"/>
  <c r="M3049" i="19" s="1"/>
  <c r="I2935" i="19"/>
  <c r="I2945" i="19" s="1"/>
  <c r="M2934" i="19"/>
  <c r="M2943" i="19" s="1"/>
  <c r="K2934" i="19"/>
  <c r="K2943" i="19" s="1"/>
  <c r="D1996" i="20"/>
  <c r="D1997" i="20" s="1"/>
  <c r="Y1966" i="20" s="1"/>
  <c r="P57" i="10" s="1"/>
  <c r="W1966" i="20"/>
  <c r="I57" i="10" s="1"/>
  <c r="I2990" i="19"/>
  <c r="I3000" i="19" s="1"/>
  <c r="J2989" i="19"/>
  <c r="J2998" i="19" s="1"/>
  <c r="M2992" i="19"/>
  <c r="M3004" i="19" s="1"/>
  <c r="K2988" i="19"/>
  <c r="K2996" i="19" s="1"/>
  <c r="K2992" i="19"/>
  <c r="K3004" i="19" s="1"/>
  <c r="K2989" i="19"/>
  <c r="K2998" i="19" s="1"/>
  <c r="J2988" i="19"/>
  <c r="J2996" i="19" s="1"/>
  <c r="M2991" i="19"/>
  <c r="M3002" i="19" s="1"/>
  <c r="M2987" i="19"/>
  <c r="M2994" i="19" s="1"/>
  <c r="W1929" i="20"/>
  <c r="I56" i="10" s="1"/>
  <c r="I2937" i="19"/>
  <c r="I2949" i="19" s="1"/>
  <c r="J2937" i="19"/>
  <c r="J2949" i="19" s="1"/>
  <c r="K2937" i="19"/>
  <c r="K2949" i="19" s="1"/>
  <c r="M2936" i="19"/>
  <c r="M2947" i="19" s="1"/>
  <c r="I2933" i="19"/>
  <c r="I2941" i="19" s="1"/>
  <c r="M2932" i="19"/>
  <c r="M2939" i="19" s="1"/>
  <c r="K2936" i="19"/>
  <c r="K2947" i="19" s="1"/>
  <c r="K2932" i="19"/>
  <c r="K2939" i="19" s="1"/>
  <c r="J2933" i="19"/>
  <c r="J2941" i="19" s="1"/>
  <c r="I3045" i="19"/>
  <c r="M3045" i="19"/>
  <c r="M3055" i="19" s="1"/>
  <c r="I3042" i="19"/>
  <c r="I3049" i="19" s="1"/>
  <c r="K3042" i="19"/>
  <c r="K3049" i="19" s="1"/>
  <c r="M3046" i="19"/>
  <c r="K3046" i="19"/>
  <c r="K3057" i="19" s="1"/>
  <c r="J3045" i="19"/>
  <c r="J3055" i="19" s="1"/>
  <c r="K3045" i="19"/>
  <c r="K3055" i="19" s="1"/>
  <c r="I3043" i="19"/>
  <c r="I3051" i="19" s="1"/>
  <c r="M3047" i="19"/>
  <c r="M3059" i="19" s="1"/>
  <c r="J3044" i="19"/>
  <c r="J3053" i="19" s="1"/>
  <c r="M3044" i="19"/>
  <c r="M3053" i="19" s="1"/>
  <c r="J3042" i="19"/>
  <c r="J3049" i="19" s="1"/>
  <c r="K3047" i="19"/>
  <c r="K3059" i="19" s="1"/>
  <c r="K3043" i="19"/>
  <c r="K3051" i="19" s="1"/>
  <c r="I3047" i="19"/>
  <c r="I3059" i="19" s="1"/>
  <c r="K3044" i="19"/>
  <c r="K3053" i="19" s="1"/>
  <c r="I2992" i="19"/>
  <c r="I3004" i="19" s="1"/>
  <c r="J2991" i="19"/>
  <c r="J3002" i="19" s="1"/>
  <c r="M2988" i="19"/>
  <c r="M2996" i="19" s="1"/>
  <c r="M2990" i="19"/>
  <c r="M3000" i="19" s="1"/>
  <c r="K2987" i="19"/>
  <c r="K2994" i="19" s="1"/>
  <c r="J2992" i="19"/>
  <c r="J3004" i="19" s="1"/>
  <c r="M2933" i="19"/>
  <c r="M2941" i="19" s="1"/>
  <c r="I2932" i="19"/>
  <c r="I2939" i="19" s="1"/>
  <c r="I2936" i="19"/>
  <c r="I2947" i="19" s="1"/>
  <c r="I2934" i="19"/>
  <c r="I2943" i="19" s="1"/>
  <c r="M2937" i="19"/>
  <c r="J2935" i="19"/>
  <c r="J2945" i="19" s="1"/>
  <c r="I2988" i="19"/>
  <c r="I2996" i="19" s="1"/>
  <c r="J2987" i="19"/>
  <c r="J2994" i="19" s="1"/>
  <c r="M2989" i="19"/>
  <c r="M2998" i="19" s="1"/>
  <c r="J2990" i="19"/>
  <c r="J3000" i="19" s="1"/>
  <c r="I2989" i="19"/>
  <c r="I2998" i="19" s="1"/>
  <c r="J2934" i="19"/>
  <c r="J2943" i="19" s="1"/>
  <c r="M2935" i="19"/>
  <c r="M2945" i="19" s="1"/>
  <c r="K2935" i="19"/>
  <c r="K2945" i="19" s="1"/>
  <c r="K2933" i="19"/>
  <c r="K2941" i="19" s="1"/>
  <c r="J2936" i="19"/>
  <c r="J2947" i="19" s="1"/>
  <c r="D2070" i="20"/>
  <c r="W2040" i="20"/>
  <c r="I59" i="10" s="1"/>
  <c r="J2768" i="19"/>
  <c r="J2776" i="19" s="1"/>
  <c r="M2768" i="19"/>
  <c r="M2776" i="19" s="1"/>
  <c r="M2772" i="19"/>
  <c r="M2784" i="19" s="1"/>
  <c r="I2771" i="19"/>
  <c r="I2782" i="19" s="1"/>
  <c r="K2770" i="19"/>
  <c r="K2780" i="19" s="1"/>
  <c r="I2767" i="19"/>
  <c r="I2774" i="19" s="1"/>
  <c r="K2768" i="19"/>
  <c r="K2776" i="19" s="1"/>
  <c r="J2769" i="19"/>
  <c r="J2778" i="19" s="1"/>
  <c r="K2771" i="19"/>
  <c r="K2782" i="19" s="1"/>
  <c r="M2771" i="19"/>
  <c r="M2782" i="19" s="1"/>
  <c r="J2772" i="19"/>
  <c r="J2784" i="19" s="1"/>
  <c r="K2767" i="19"/>
  <c r="K2774" i="19" s="1"/>
  <c r="I2772" i="19"/>
  <c r="M2767" i="19"/>
  <c r="J2770" i="19"/>
  <c r="J2780" i="19" s="1"/>
  <c r="I2768" i="19"/>
  <c r="I2776" i="19" s="1"/>
  <c r="K2772" i="19"/>
  <c r="K2784" i="19" s="1"/>
  <c r="J2767" i="19"/>
  <c r="J2774" i="19" s="1"/>
  <c r="M2769" i="19"/>
  <c r="M2778" i="19" s="1"/>
  <c r="K2769" i="19"/>
  <c r="K2778" i="19" s="1"/>
  <c r="I2770" i="19"/>
  <c r="M2770" i="19"/>
  <c r="M2780" i="19" s="1"/>
  <c r="I2769" i="19"/>
  <c r="I2778" i="19" s="1"/>
  <c r="J2771" i="19"/>
  <c r="J2782" i="19" s="1"/>
  <c r="D1922" i="20"/>
  <c r="W1892" i="20"/>
  <c r="I55" i="10" s="1"/>
  <c r="J2824" i="19"/>
  <c r="J2833" i="19" s="1"/>
  <c r="K2822" i="19"/>
  <c r="K2829" i="19" s="1"/>
  <c r="M2825" i="19"/>
  <c r="J2823" i="19"/>
  <c r="J2831" i="19" s="1"/>
  <c r="I2826" i="19"/>
  <c r="I2837" i="19" s="1"/>
  <c r="K2824" i="19"/>
  <c r="K2833" i="19" s="1"/>
  <c r="J2826" i="19"/>
  <c r="J2837" i="19" s="1"/>
  <c r="K2826" i="19"/>
  <c r="K2837" i="19" s="1"/>
  <c r="M2823" i="19"/>
  <c r="M2822" i="19"/>
  <c r="K2823" i="19"/>
  <c r="K2831" i="19" s="1"/>
  <c r="M2827" i="19"/>
  <c r="J2827" i="19"/>
  <c r="J2839" i="19" s="1"/>
  <c r="K2825" i="19"/>
  <c r="K2835" i="19" s="1"/>
  <c r="I2825" i="19"/>
  <c r="J2825" i="19"/>
  <c r="J2835" i="19" s="1"/>
  <c r="M2824" i="19"/>
  <c r="I2822" i="19"/>
  <c r="I2829" i="19" s="1"/>
  <c r="M2826" i="19"/>
  <c r="I2824" i="19"/>
  <c r="I2833" i="19" s="1"/>
  <c r="I2823" i="19"/>
  <c r="I2831" i="19" s="1"/>
  <c r="J2822" i="19"/>
  <c r="J2829" i="19" s="1"/>
  <c r="K2827" i="19"/>
  <c r="K2839" i="19" s="1"/>
  <c r="I2827" i="19"/>
  <c r="I2877" i="19"/>
  <c r="I2884" i="19" s="1"/>
  <c r="I2881" i="19"/>
  <c r="I2892" i="19" s="1"/>
  <c r="M2877" i="19"/>
  <c r="M2884" i="19" s="1"/>
  <c r="I2878" i="19"/>
  <c r="I2886" i="19" s="1"/>
  <c r="K2880" i="19"/>
  <c r="K2890" i="19" s="1"/>
  <c r="J2878" i="19"/>
  <c r="J2886" i="19" s="1"/>
  <c r="K2877" i="19"/>
  <c r="K2884" i="19" s="1"/>
  <c r="I2880" i="19"/>
  <c r="J2880" i="19"/>
  <c r="J2890" i="19" s="1"/>
  <c r="M2882" i="19"/>
  <c r="M2894" i="19" s="1"/>
  <c r="J2881" i="19"/>
  <c r="J2892" i="19" s="1"/>
  <c r="K2879" i="19"/>
  <c r="K2888" i="19" s="1"/>
  <c r="K2878" i="19"/>
  <c r="K2886" i="19" s="1"/>
  <c r="J2882" i="19"/>
  <c r="J2894" i="19" s="1"/>
  <c r="I2882" i="19"/>
  <c r="M2878" i="19"/>
  <c r="M2886" i="19" s="1"/>
  <c r="M2879" i="19"/>
  <c r="M2888" i="19" s="1"/>
  <c r="K2882" i="19"/>
  <c r="K2894" i="19" s="1"/>
  <c r="J2879" i="19"/>
  <c r="J2888" i="19" s="1"/>
  <c r="J2877" i="19"/>
  <c r="J2884" i="19" s="1"/>
  <c r="M2881" i="19"/>
  <c r="M2892" i="19" s="1"/>
  <c r="M2880" i="19"/>
  <c r="M2890" i="19" s="1"/>
  <c r="K2881" i="19"/>
  <c r="K2892" i="19" s="1"/>
  <c r="I2879" i="19"/>
  <c r="I2888" i="19" s="1"/>
  <c r="D1885" i="20"/>
  <c r="W1855" i="20"/>
  <c r="I54" i="10" s="1"/>
  <c r="D2033" i="20"/>
  <c r="W2003" i="20"/>
  <c r="I58" i="10" s="1"/>
  <c r="X1929" i="20"/>
  <c r="J56" i="10" s="1"/>
  <c r="D1960" i="20"/>
  <c r="Y1929" i="20" s="1"/>
  <c r="P56" i="10" s="1"/>
  <c r="M460" i="19"/>
  <c r="M457" i="19"/>
  <c r="M464" i="19" s="1"/>
  <c r="J30" i="10"/>
  <c r="J53" i="10"/>
  <c r="J50" i="10"/>
  <c r="J24" i="10"/>
  <c r="Q24" i="10" s="1"/>
  <c r="J33" i="10"/>
  <c r="J38" i="10"/>
  <c r="J35" i="10"/>
  <c r="Q35" i="10" s="1"/>
  <c r="J41" i="10"/>
  <c r="J27" i="10"/>
  <c r="I1229" i="19"/>
  <c r="I1238" i="19" s="1"/>
  <c r="K2111" i="19"/>
  <c r="K2122" i="19" s="1"/>
  <c r="D998" i="20"/>
  <c r="Y967" i="20" s="1"/>
  <c r="P30" i="10" s="1"/>
  <c r="J457" i="19"/>
  <c r="J464" i="19" s="1"/>
  <c r="J462" i="19"/>
  <c r="J474" i="19" s="1"/>
  <c r="J460" i="19"/>
  <c r="J470" i="19" s="1"/>
  <c r="M458" i="19"/>
  <c r="M466" i="19" s="1"/>
  <c r="M1230" i="19"/>
  <c r="M1240" i="19" s="1"/>
  <c r="I517" i="19"/>
  <c r="I529" i="19" s="1"/>
  <c r="I515" i="19"/>
  <c r="K460" i="19"/>
  <c r="K470" i="19" s="1"/>
  <c r="K457" i="19"/>
  <c r="K464" i="19" s="1"/>
  <c r="K462" i="19"/>
  <c r="K474" i="19" s="1"/>
  <c r="J459" i="19"/>
  <c r="J468" i="19" s="1"/>
  <c r="J458" i="19"/>
  <c r="J466" i="19" s="1"/>
  <c r="M461" i="19"/>
  <c r="J1228" i="19"/>
  <c r="J1236" i="19" s="1"/>
  <c r="M459" i="19"/>
  <c r="J461" i="19"/>
  <c r="J472" i="19" s="1"/>
  <c r="K459" i="19"/>
  <c r="K468" i="19" s="1"/>
  <c r="K458" i="19"/>
  <c r="K466" i="19" s="1"/>
  <c r="M462" i="19"/>
  <c r="I459" i="19"/>
  <c r="I468" i="19" s="1"/>
  <c r="J1227" i="19"/>
  <c r="J1234" i="19" s="1"/>
  <c r="I461" i="19"/>
  <c r="I472" i="19" s="1"/>
  <c r="I457" i="19"/>
  <c r="I464" i="19" s="1"/>
  <c r="I460" i="19"/>
  <c r="K461" i="19"/>
  <c r="K472" i="19" s="1"/>
  <c r="I462" i="19"/>
  <c r="I470" i="19" s="1"/>
  <c r="K1227" i="19"/>
  <c r="K1234" i="19" s="1"/>
  <c r="M1227" i="19"/>
  <c r="M1234" i="19" s="1"/>
  <c r="J2107" i="19"/>
  <c r="J2114" i="19" s="1"/>
  <c r="K2108" i="19"/>
  <c r="K2116" i="19" s="1"/>
  <c r="I2330" i="19"/>
  <c r="J2112" i="19"/>
  <c r="J2124" i="19" s="1"/>
  <c r="M2108" i="19"/>
  <c r="M2116" i="19" s="1"/>
  <c r="K2112" i="19"/>
  <c r="K2124" i="19" s="1"/>
  <c r="M2657" i="19"/>
  <c r="M2664" i="19" s="1"/>
  <c r="M2109" i="19"/>
  <c r="M2118" i="19" s="1"/>
  <c r="I2107" i="19"/>
  <c r="I2114" i="19" s="1"/>
  <c r="M2110" i="19"/>
  <c r="M2120" i="19" s="1"/>
  <c r="J2110" i="19"/>
  <c r="J2120" i="19" s="1"/>
  <c r="K2109" i="19"/>
  <c r="K2118" i="19" s="1"/>
  <c r="M2112" i="19"/>
  <c r="M2124" i="19" s="1"/>
  <c r="I2661" i="19"/>
  <c r="I2672" i="19" s="1"/>
  <c r="K2657" i="19"/>
  <c r="K2664" i="19" s="1"/>
  <c r="J2331" i="19"/>
  <c r="J2342" i="19" s="1"/>
  <c r="J2109" i="19"/>
  <c r="J2118" i="19" s="1"/>
  <c r="I2112" i="19"/>
  <c r="I2120" i="19" s="1"/>
  <c r="K2107" i="19"/>
  <c r="K2114" i="19" s="1"/>
  <c r="M2107" i="19"/>
  <c r="M2114" i="19" s="1"/>
  <c r="I2110" i="19"/>
  <c r="I2109" i="19"/>
  <c r="I2118" i="19" s="1"/>
  <c r="J2660" i="19"/>
  <c r="J2670" i="19" s="1"/>
  <c r="J2662" i="19"/>
  <c r="J2674" i="19" s="1"/>
  <c r="I2111" i="19"/>
  <c r="I2122" i="19" s="1"/>
  <c r="I2108" i="19"/>
  <c r="I2116" i="19" s="1"/>
  <c r="J2108" i="19"/>
  <c r="J2116" i="19" s="1"/>
  <c r="M2111" i="19"/>
  <c r="M2122" i="19" s="1"/>
  <c r="J2111" i="19"/>
  <c r="J2122" i="19" s="1"/>
  <c r="I2658" i="19"/>
  <c r="I2666" i="19" s="1"/>
  <c r="W1189" i="20"/>
  <c r="I36" i="10" s="1"/>
  <c r="I516" i="19"/>
  <c r="I527" i="19" s="1"/>
  <c r="M512" i="19"/>
  <c r="M519" i="19" s="1"/>
  <c r="K515" i="19"/>
  <c r="K525" i="19" s="1"/>
  <c r="J513" i="19"/>
  <c r="J521" i="19" s="1"/>
  <c r="M624" i="19"/>
  <c r="X597" i="20"/>
  <c r="J74" i="19"/>
  <c r="J83" i="19" s="1"/>
  <c r="J624" i="19"/>
  <c r="J633" i="19" s="1"/>
  <c r="K627" i="19"/>
  <c r="K639" i="19" s="1"/>
  <c r="J626" i="19"/>
  <c r="J637" i="19" s="1"/>
  <c r="J514" i="19"/>
  <c r="J523" i="19" s="1"/>
  <c r="M516" i="19"/>
  <c r="M527" i="19" s="1"/>
  <c r="J516" i="19"/>
  <c r="J527" i="19" s="1"/>
  <c r="K517" i="19"/>
  <c r="K529" i="19" s="1"/>
  <c r="J682" i="19"/>
  <c r="J694" i="19" s="1"/>
  <c r="K2493" i="19"/>
  <c r="K2501" i="19" s="1"/>
  <c r="J512" i="19"/>
  <c r="J519" i="19" s="1"/>
  <c r="M517" i="19"/>
  <c r="M529" i="19" s="1"/>
  <c r="J517" i="19"/>
  <c r="J529" i="19" s="1"/>
  <c r="M514" i="19"/>
  <c r="K680" i="19"/>
  <c r="K690" i="19" s="1"/>
  <c r="D1034" i="20"/>
  <c r="D1035" i="20" s="1"/>
  <c r="Y1004" i="20" s="1"/>
  <c r="P31" i="10" s="1"/>
  <c r="J515" i="19"/>
  <c r="J525" i="19" s="1"/>
  <c r="K514" i="19"/>
  <c r="K523" i="19" s="1"/>
  <c r="I514" i="19"/>
  <c r="I523" i="19" s="1"/>
  <c r="M515" i="19"/>
  <c r="M525" i="19" s="1"/>
  <c r="K516" i="19"/>
  <c r="K527" i="19" s="1"/>
  <c r="K129" i="19"/>
  <c r="K138" i="19" s="1"/>
  <c r="J132" i="19"/>
  <c r="J144" i="19" s="1"/>
  <c r="K75" i="19"/>
  <c r="K85" i="19" s="1"/>
  <c r="J72" i="19"/>
  <c r="J79" i="19" s="1"/>
  <c r="K678" i="19"/>
  <c r="K686" i="19" s="1"/>
  <c r="K72" i="19"/>
  <c r="K79" i="19" s="1"/>
  <c r="J75" i="19"/>
  <c r="J85" i="19" s="1"/>
  <c r="M677" i="19"/>
  <c r="M684" i="19" s="1"/>
  <c r="K76" i="19"/>
  <c r="K87" i="19" s="1"/>
  <c r="X1596" i="20"/>
  <c r="M2661" i="19"/>
  <c r="M2672" i="19" s="1"/>
  <c r="I2662" i="19"/>
  <c r="I2670" i="19" s="1"/>
  <c r="K2662" i="19"/>
  <c r="K2674" i="19" s="1"/>
  <c r="M2662" i="19"/>
  <c r="J2657" i="19"/>
  <c r="J2664" i="19" s="1"/>
  <c r="M2660" i="19"/>
  <c r="M2670" i="19" s="1"/>
  <c r="M681" i="19"/>
  <c r="M692" i="19" s="1"/>
  <c r="J677" i="19"/>
  <c r="J684" i="19" s="1"/>
  <c r="I679" i="19"/>
  <c r="I688" i="19" s="1"/>
  <c r="M682" i="19"/>
  <c r="K677" i="19"/>
  <c r="K684" i="19" s="1"/>
  <c r="D1700" i="20"/>
  <c r="D1701" i="20" s="1"/>
  <c r="Y1670" i="20" s="1"/>
  <c r="P49" i="10" s="1"/>
  <c r="J2327" i="19"/>
  <c r="J2334" i="19" s="1"/>
  <c r="K2331" i="19"/>
  <c r="K2342" i="19" s="1"/>
  <c r="J2328" i="19"/>
  <c r="J2336" i="19" s="1"/>
  <c r="I2657" i="19"/>
  <c r="I2664" i="19" s="1"/>
  <c r="M2659" i="19"/>
  <c r="M2668" i="19" s="1"/>
  <c r="J2659" i="19"/>
  <c r="J2668" i="19" s="1"/>
  <c r="I2660" i="19"/>
  <c r="K2659" i="19"/>
  <c r="K2668" i="19" s="1"/>
  <c r="J2661" i="19"/>
  <c r="J2672" i="19" s="1"/>
  <c r="M679" i="19"/>
  <c r="M688" i="19" s="1"/>
  <c r="I682" i="19"/>
  <c r="I694" i="19" s="1"/>
  <c r="J681" i="19"/>
  <c r="J692" i="19" s="1"/>
  <c r="M678" i="19"/>
  <c r="M686" i="19" s="1"/>
  <c r="I2327" i="19"/>
  <c r="I2334" i="19" s="1"/>
  <c r="K2330" i="19"/>
  <c r="K2340" i="19" s="1"/>
  <c r="M2330" i="19"/>
  <c r="M2340" i="19" s="1"/>
  <c r="J2658" i="19"/>
  <c r="J2666" i="19" s="1"/>
  <c r="K2661" i="19"/>
  <c r="K2672" i="19" s="1"/>
  <c r="I2659" i="19"/>
  <c r="I2668" i="19" s="1"/>
  <c r="K2658" i="19"/>
  <c r="K2666" i="19" s="1"/>
  <c r="K2660" i="19"/>
  <c r="K2670" i="19" s="1"/>
  <c r="K682" i="19"/>
  <c r="K694" i="19" s="1"/>
  <c r="K679" i="19"/>
  <c r="K688" i="19" s="1"/>
  <c r="J679" i="19"/>
  <c r="J688" i="19" s="1"/>
  <c r="I677" i="19"/>
  <c r="I684" i="19" s="1"/>
  <c r="I681" i="19"/>
  <c r="I692" i="19" s="1"/>
  <c r="I2332" i="19"/>
  <c r="I2340" i="19" s="1"/>
  <c r="M2331" i="19"/>
  <c r="M2342" i="19" s="1"/>
  <c r="M2332" i="19"/>
  <c r="D1367" i="20"/>
  <c r="D1368" i="20" s="1"/>
  <c r="Y1337" i="20" s="1"/>
  <c r="P40" i="10" s="1"/>
  <c r="K74" i="19"/>
  <c r="K83" i="19" s="1"/>
  <c r="I74" i="19"/>
  <c r="I83" i="19" s="1"/>
  <c r="M76" i="19"/>
  <c r="M87" i="19" s="1"/>
  <c r="J76" i="19"/>
  <c r="J87" i="19" s="1"/>
  <c r="I73" i="19"/>
  <c r="I81" i="19" s="1"/>
  <c r="M75" i="19"/>
  <c r="M85" i="19" s="1"/>
  <c r="K625" i="19"/>
  <c r="K635" i="19" s="1"/>
  <c r="I624" i="19"/>
  <c r="I633" i="19" s="1"/>
  <c r="M625" i="19"/>
  <c r="I622" i="19"/>
  <c r="I629" i="19" s="1"/>
  <c r="I623" i="19"/>
  <c r="I631" i="19" s="1"/>
  <c r="D738" i="20"/>
  <c r="X708" i="20" s="1"/>
  <c r="J23" i="10" s="1"/>
  <c r="I72" i="19"/>
  <c r="I79" i="19" s="1"/>
  <c r="M72" i="19"/>
  <c r="J77" i="19"/>
  <c r="J89" i="19" s="1"/>
  <c r="I75" i="19"/>
  <c r="M74" i="19"/>
  <c r="M83" i="19" s="1"/>
  <c r="K73" i="19"/>
  <c r="K81" i="19" s="1"/>
  <c r="I627" i="19"/>
  <c r="I639" i="19" s="1"/>
  <c r="J623" i="19"/>
  <c r="J631" i="19" s="1"/>
  <c r="I625" i="19"/>
  <c r="I626" i="19"/>
  <c r="I637" i="19" s="1"/>
  <c r="K626" i="19"/>
  <c r="K637" i="19" s="1"/>
  <c r="M77" i="19"/>
  <c r="M89" i="19" s="1"/>
  <c r="I76" i="19"/>
  <c r="I87" i="19" s="1"/>
  <c r="K77" i="19"/>
  <c r="K89" i="19" s="1"/>
  <c r="J73" i="19"/>
  <c r="J81" i="19" s="1"/>
  <c r="M73" i="19"/>
  <c r="M81" i="19" s="1"/>
  <c r="M627" i="19"/>
  <c r="J627" i="19"/>
  <c r="J639" i="19" s="1"/>
  <c r="J622" i="19"/>
  <c r="J629" i="19" s="1"/>
  <c r="M626" i="19"/>
  <c r="W1041" i="20"/>
  <c r="I32" i="10" s="1"/>
  <c r="D331" i="20"/>
  <c r="X301" i="20" s="1"/>
  <c r="K623" i="19"/>
  <c r="K631" i="19" s="1"/>
  <c r="M623" i="19"/>
  <c r="K622" i="19"/>
  <c r="K629" i="19" s="1"/>
  <c r="J625" i="19"/>
  <c r="J635" i="19" s="1"/>
  <c r="M622" i="19"/>
  <c r="I512" i="19"/>
  <c r="I519" i="19" s="1"/>
  <c r="I513" i="19"/>
  <c r="I521" i="19" s="1"/>
  <c r="K513" i="19"/>
  <c r="K521" i="19" s="1"/>
  <c r="M513" i="19"/>
  <c r="M521" i="19" s="1"/>
  <c r="K512" i="19"/>
  <c r="K519" i="19" s="1"/>
  <c r="J130" i="19"/>
  <c r="J140" i="19" s="1"/>
  <c r="I680" i="19"/>
  <c r="M680" i="19"/>
  <c r="M690" i="19" s="1"/>
  <c r="I678" i="19"/>
  <c r="I686" i="19" s="1"/>
  <c r="J678" i="19"/>
  <c r="J686" i="19" s="1"/>
  <c r="K681" i="19"/>
  <c r="K692" i="19" s="1"/>
  <c r="J2329" i="19"/>
  <c r="J2338" i="19" s="1"/>
  <c r="I2331" i="19"/>
  <c r="I2342" i="19" s="1"/>
  <c r="I2328" i="19"/>
  <c r="I2336" i="19" s="1"/>
  <c r="M2328" i="19"/>
  <c r="M2336" i="19" s="1"/>
  <c r="I2329" i="19"/>
  <c r="I2338" i="19" s="1"/>
  <c r="J2332" i="19"/>
  <c r="J2344" i="19" s="1"/>
  <c r="J2330" i="19"/>
  <c r="J2340" i="19" s="1"/>
  <c r="M2327" i="19"/>
  <c r="M2334" i="19" s="1"/>
  <c r="K2329" i="19"/>
  <c r="K2338" i="19" s="1"/>
  <c r="K2328" i="19"/>
  <c r="K2336" i="19" s="1"/>
  <c r="K2332" i="19"/>
  <c r="K2344" i="19" s="1"/>
  <c r="K2327" i="19"/>
  <c r="K2334" i="19" s="1"/>
  <c r="W782" i="20"/>
  <c r="I25" i="10" s="1"/>
  <c r="M2495" i="19"/>
  <c r="M2505" i="19" s="1"/>
  <c r="J127" i="19"/>
  <c r="J134" i="19" s="1"/>
  <c r="J2497" i="19"/>
  <c r="J2509" i="19" s="1"/>
  <c r="I2496" i="19"/>
  <c r="I2507" i="19" s="1"/>
  <c r="K130" i="19"/>
  <c r="K140" i="19" s="1"/>
  <c r="K131" i="19"/>
  <c r="K142" i="19" s="1"/>
  <c r="D664" i="20"/>
  <c r="X634" i="20" s="1"/>
  <c r="J2492" i="19"/>
  <c r="J2499" i="19" s="1"/>
  <c r="K2494" i="19"/>
  <c r="K2503" i="19" s="1"/>
  <c r="J128" i="19"/>
  <c r="J136" i="19" s="1"/>
  <c r="D147" i="20"/>
  <c r="Y116" i="20" s="1"/>
  <c r="P7" i="10" s="1"/>
  <c r="M1232" i="19"/>
  <c r="K1231" i="19"/>
  <c r="K1242" i="19" s="1"/>
  <c r="I1231" i="19"/>
  <c r="I1242" i="19" s="1"/>
  <c r="I1227" i="19"/>
  <c r="I1234" i="19" s="1"/>
  <c r="J1232" i="19"/>
  <c r="J1244" i="19" s="1"/>
  <c r="J1230" i="19"/>
  <c r="J1240" i="19" s="1"/>
  <c r="W1781" i="20"/>
  <c r="I52" i="10" s="1"/>
  <c r="I1232" i="19"/>
  <c r="I1240" i="19" s="1"/>
  <c r="K1228" i="19"/>
  <c r="K1236" i="19" s="1"/>
  <c r="I1230" i="19"/>
  <c r="I1228" i="19"/>
  <c r="I1236" i="19" s="1"/>
  <c r="M1231" i="19"/>
  <c r="M1242" i="19" s="1"/>
  <c r="K1229" i="19"/>
  <c r="K1238" i="19" s="1"/>
  <c r="D1663" i="20"/>
  <c r="D1664" i="20" s="1"/>
  <c r="Y1633" i="20" s="1"/>
  <c r="P48" i="10" s="1"/>
  <c r="K1230" i="19"/>
  <c r="K1240" i="19" s="1"/>
  <c r="J1229" i="19"/>
  <c r="J1238" i="19" s="1"/>
  <c r="J1231" i="19"/>
  <c r="J1242" i="19" s="1"/>
  <c r="M1228" i="19"/>
  <c r="M1236" i="19" s="1"/>
  <c r="M1229" i="19"/>
  <c r="M1238" i="19" s="1"/>
  <c r="M2493" i="19"/>
  <c r="M2501" i="19" s="1"/>
  <c r="M2494" i="19"/>
  <c r="M2503" i="19" s="1"/>
  <c r="M2496" i="19"/>
  <c r="M2507" i="19" s="1"/>
  <c r="K2492" i="19"/>
  <c r="K2499" i="19" s="1"/>
  <c r="J2496" i="19"/>
  <c r="J2507" i="19" s="1"/>
  <c r="M2497" i="19"/>
  <c r="M2509" i="19" s="1"/>
  <c r="M127" i="19"/>
  <c r="I128" i="19"/>
  <c r="I136" i="19" s="1"/>
  <c r="M129" i="19"/>
  <c r="K132" i="19"/>
  <c r="K144" i="19" s="1"/>
  <c r="I132" i="19"/>
  <c r="I144" i="19" s="1"/>
  <c r="I129" i="19"/>
  <c r="I138" i="19" s="1"/>
  <c r="D1330" i="20"/>
  <c r="X1300" i="20" s="1"/>
  <c r="J39" i="10" s="1"/>
  <c r="J2291" i="19"/>
  <c r="I2495" i="19"/>
  <c r="J2495" i="19"/>
  <c r="J2505" i="19" s="1"/>
  <c r="K2496" i="19"/>
  <c r="K2507" i="19" s="1"/>
  <c r="I2492" i="19"/>
  <c r="I2499" i="19" s="1"/>
  <c r="J2493" i="19"/>
  <c r="J2501" i="19" s="1"/>
  <c r="M2492" i="19"/>
  <c r="M2499" i="19" s="1"/>
  <c r="I130" i="19"/>
  <c r="M132" i="19"/>
  <c r="K128" i="19"/>
  <c r="K136" i="19" s="1"/>
  <c r="M131" i="19"/>
  <c r="J131" i="19"/>
  <c r="J142" i="19" s="1"/>
  <c r="K127" i="19"/>
  <c r="K134" i="19" s="1"/>
  <c r="I2493" i="19"/>
  <c r="I2501" i="19" s="1"/>
  <c r="I2494" i="19"/>
  <c r="I2503" i="19" s="1"/>
  <c r="K2495" i="19"/>
  <c r="K2505" i="19" s="1"/>
  <c r="J2494" i="19"/>
  <c r="J2503" i="19" s="1"/>
  <c r="I2497" i="19"/>
  <c r="I2509" i="19" s="1"/>
  <c r="M130" i="19"/>
  <c r="J129" i="19"/>
  <c r="J138" i="19" s="1"/>
  <c r="I131" i="19"/>
  <c r="I142" i="19" s="1"/>
  <c r="I127" i="19"/>
  <c r="I134" i="19" s="1"/>
  <c r="M128" i="19"/>
  <c r="W79" i="20"/>
  <c r="I6" i="10" s="1"/>
  <c r="D109" i="20"/>
  <c r="J1998" i="19"/>
  <c r="J2006" i="19" s="1"/>
  <c r="K2000" i="19"/>
  <c r="K2010" i="19" s="1"/>
  <c r="J1997" i="19"/>
  <c r="J2004" i="19" s="1"/>
  <c r="M2002" i="19"/>
  <c r="J1999" i="19"/>
  <c r="J2008" i="19" s="1"/>
  <c r="M1998" i="19"/>
  <c r="J2000" i="19"/>
  <c r="J2010" i="19" s="1"/>
  <c r="J2002" i="19"/>
  <c r="J2014" i="19" s="1"/>
  <c r="K1997" i="19"/>
  <c r="K2004" i="19" s="1"/>
  <c r="I1999" i="19"/>
  <c r="I2008" i="19" s="1"/>
  <c r="M2000" i="19"/>
  <c r="I2002" i="19"/>
  <c r="I1997" i="19"/>
  <c r="I2004" i="19" s="1"/>
  <c r="K2002" i="19"/>
  <c r="K2014" i="19" s="1"/>
  <c r="I2001" i="19"/>
  <c r="K2001" i="19"/>
  <c r="J2001" i="19"/>
  <c r="M1997" i="19"/>
  <c r="I1998" i="19"/>
  <c r="I2006" i="19" s="1"/>
  <c r="M2001" i="19"/>
  <c r="K1998" i="19"/>
  <c r="K2006" i="19" s="1"/>
  <c r="M1999" i="19"/>
  <c r="K1999" i="19"/>
  <c r="K2008" i="19" s="1"/>
  <c r="I2000" i="19"/>
  <c r="J405" i="19"/>
  <c r="J415" i="19" s="1"/>
  <c r="J403" i="19"/>
  <c r="J411" i="19" s="1"/>
  <c r="K407" i="19"/>
  <c r="K419" i="19" s="1"/>
  <c r="J406" i="19"/>
  <c r="J417" i="19" s="1"/>
  <c r="K404" i="19"/>
  <c r="K413" i="19" s="1"/>
  <c r="I403" i="19"/>
  <c r="I411" i="19" s="1"/>
  <c r="J404" i="19"/>
  <c r="J413" i="19" s="1"/>
  <c r="I404" i="19"/>
  <c r="I413" i="19" s="1"/>
  <c r="I402" i="19"/>
  <c r="I409" i="19" s="1"/>
  <c r="K402" i="19"/>
  <c r="K409" i="19" s="1"/>
  <c r="K405" i="19"/>
  <c r="K415" i="19" s="1"/>
  <c r="M407" i="19"/>
  <c r="M402" i="19"/>
  <c r="I406" i="19"/>
  <c r="I417" i="19" s="1"/>
  <c r="M404" i="19"/>
  <c r="I405" i="19"/>
  <c r="M405" i="19"/>
  <c r="J407" i="19"/>
  <c r="J419" i="19" s="1"/>
  <c r="M403" i="19"/>
  <c r="K406" i="19"/>
  <c r="K417" i="19" s="1"/>
  <c r="M406" i="19"/>
  <c r="I407" i="19"/>
  <c r="K403" i="19"/>
  <c r="K411" i="19" s="1"/>
  <c r="J402" i="19"/>
  <c r="J409" i="19" s="1"/>
  <c r="W264" i="20"/>
  <c r="I11" i="10" s="1"/>
  <c r="D294" i="20"/>
  <c r="M957" i="19"/>
  <c r="M969" i="19" s="1"/>
  <c r="K955" i="19"/>
  <c r="K965" i="19" s="1"/>
  <c r="M956" i="19"/>
  <c r="M967" i="19" s="1"/>
  <c r="K954" i="19"/>
  <c r="K963" i="19" s="1"/>
  <c r="J955" i="19"/>
  <c r="J965" i="19" s="1"/>
  <c r="J952" i="19"/>
  <c r="J959" i="19" s="1"/>
  <c r="J954" i="19"/>
  <c r="J963" i="19" s="1"/>
  <c r="I957" i="19"/>
  <c r="I969" i="19" s="1"/>
  <c r="I956" i="19"/>
  <c r="I967" i="19" s="1"/>
  <c r="I952" i="19"/>
  <c r="I959" i="19" s="1"/>
  <c r="M955" i="19"/>
  <c r="M965" i="19" s="1"/>
  <c r="J957" i="19"/>
  <c r="J969" i="19" s="1"/>
  <c r="M954" i="19"/>
  <c r="M963" i="19" s="1"/>
  <c r="K957" i="19"/>
  <c r="K969" i="19" s="1"/>
  <c r="J953" i="19"/>
  <c r="J961" i="19" s="1"/>
  <c r="K952" i="19"/>
  <c r="K959" i="19" s="1"/>
  <c r="K953" i="19"/>
  <c r="K961" i="19" s="1"/>
  <c r="J956" i="19"/>
  <c r="J967" i="19" s="1"/>
  <c r="M953" i="19"/>
  <c r="M961" i="19" s="1"/>
  <c r="I954" i="19"/>
  <c r="I963" i="19" s="1"/>
  <c r="I953" i="19"/>
  <c r="I961" i="19" s="1"/>
  <c r="M952" i="19"/>
  <c r="M959" i="19" s="1"/>
  <c r="I955" i="19"/>
  <c r="I965" i="19" s="1"/>
  <c r="K956" i="19"/>
  <c r="K967" i="19" s="1"/>
  <c r="D1812" i="20"/>
  <c r="Y1781" i="20" s="1"/>
  <c r="P52" i="10" s="1"/>
  <c r="X1781" i="20"/>
  <c r="I2165" i="19"/>
  <c r="K2163" i="19"/>
  <c r="K2171" i="19" s="1"/>
  <c r="I2162" i="19"/>
  <c r="I2169" i="19" s="1"/>
  <c r="M2162" i="19"/>
  <c r="M2169" i="19" s="1"/>
  <c r="M2163" i="19"/>
  <c r="M2171" i="19" s="1"/>
  <c r="I2164" i="19"/>
  <c r="I2173" i="19" s="1"/>
  <c r="K2165" i="19"/>
  <c r="K2175" i="19" s="1"/>
  <c r="I2167" i="19"/>
  <c r="M2164" i="19"/>
  <c r="M2173" i="19" s="1"/>
  <c r="K2162" i="19"/>
  <c r="K2169" i="19" s="1"/>
  <c r="K2164" i="19"/>
  <c r="K2173" i="19" s="1"/>
  <c r="M2166" i="19"/>
  <c r="M2177" i="19" s="1"/>
  <c r="J2165" i="19"/>
  <c r="J2175" i="19" s="1"/>
  <c r="K2166" i="19"/>
  <c r="K2177" i="19" s="1"/>
  <c r="J2167" i="19"/>
  <c r="J2179" i="19" s="1"/>
  <c r="J2162" i="19"/>
  <c r="J2169" i="19" s="1"/>
  <c r="I2166" i="19"/>
  <c r="I2177" i="19" s="1"/>
  <c r="J2163" i="19"/>
  <c r="J2171" i="19" s="1"/>
  <c r="J2166" i="19"/>
  <c r="J2177" i="19" s="1"/>
  <c r="J2164" i="19"/>
  <c r="J2173" i="19" s="1"/>
  <c r="K2167" i="19"/>
  <c r="K2179" i="19" s="1"/>
  <c r="M2167" i="19"/>
  <c r="M2179" i="19" s="1"/>
  <c r="M2165" i="19"/>
  <c r="M2175" i="19" s="1"/>
  <c r="I2163" i="19"/>
  <c r="I2171" i="19" s="1"/>
  <c r="M1672" i="19"/>
  <c r="K1669" i="19"/>
  <c r="K1678" i="19" s="1"/>
  <c r="I1668" i="19"/>
  <c r="I1676" i="19" s="1"/>
  <c r="K1671" i="19"/>
  <c r="K1682" i="19" s="1"/>
  <c r="J1669" i="19"/>
  <c r="J1678" i="19" s="1"/>
  <c r="K1667" i="19"/>
  <c r="K1674" i="19" s="1"/>
  <c r="K1670" i="19"/>
  <c r="K1680" i="19" s="1"/>
  <c r="J1671" i="19"/>
  <c r="J1682" i="19" s="1"/>
  <c r="J1670" i="19"/>
  <c r="J1680" i="19" s="1"/>
  <c r="M1670" i="19"/>
  <c r="M1669" i="19"/>
  <c r="I1669" i="19"/>
  <c r="I1678" i="19" s="1"/>
  <c r="K1672" i="19"/>
  <c r="K1684" i="19" s="1"/>
  <c r="I1670" i="19"/>
  <c r="J1667" i="19"/>
  <c r="J1674" i="19" s="1"/>
  <c r="I1672" i="19"/>
  <c r="M1667" i="19"/>
  <c r="I1667" i="19"/>
  <c r="I1674" i="19" s="1"/>
  <c r="J1668" i="19"/>
  <c r="J1676" i="19" s="1"/>
  <c r="K1668" i="19"/>
  <c r="K1676" i="19" s="1"/>
  <c r="M1671" i="19"/>
  <c r="M1668" i="19"/>
  <c r="I1671" i="19"/>
  <c r="I1682" i="19" s="1"/>
  <c r="J1672" i="19"/>
  <c r="J1684" i="19" s="1"/>
  <c r="W1226" i="20"/>
  <c r="I37" i="10" s="1"/>
  <c r="D1256" i="20"/>
  <c r="W560" i="20"/>
  <c r="I19" i="10" s="1"/>
  <c r="D590" i="20"/>
  <c r="D1478" i="20"/>
  <c r="W1448" i="20"/>
  <c r="I43" i="10" s="1"/>
  <c r="W338" i="20"/>
  <c r="I13" i="10" s="1"/>
  <c r="D368" i="20"/>
  <c r="I843" i="19"/>
  <c r="I851" i="19" s="1"/>
  <c r="K846" i="19"/>
  <c r="K857" i="19" s="1"/>
  <c r="M842" i="19"/>
  <c r="M849" i="19" s="1"/>
  <c r="K844" i="19"/>
  <c r="K853" i="19" s="1"/>
  <c r="I846" i="19"/>
  <c r="I857" i="19" s="1"/>
  <c r="J842" i="19"/>
  <c r="J849" i="19" s="1"/>
  <c r="I844" i="19"/>
  <c r="I853" i="19" s="1"/>
  <c r="J847" i="19"/>
  <c r="J859" i="19" s="1"/>
  <c r="K843" i="19"/>
  <c r="K851" i="19" s="1"/>
  <c r="M845" i="19"/>
  <c r="M855" i="19" s="1"/>
  <c r="M847" i="19"/>
  <c r="M859" i="19" s="1"/>
  <c r="K845" i="19"/>
  <c r="K855" i="19" s="1"/>
  <c r="K847" i="19"/>
  <c r="K859" i="19" s="1"/>
  <c r="M843" i="19"/>
  <c r="M851" i="19" s="1"/>
  <c r="I845" i="19"/>
  <c r="I847" i="19"/>
  <c r="J843" i="19"/>
  <c r="J851" i="19" s="1"/>
  <c r="J844" i="19"/>
  <c r="J853" i="19" s="1"/>
  <c r="M846" i="19"/>
  <c r="M857" i="19" s="1"/>
  <c r="I842" i="19"/>
  <c r="I849" i="19" s="1"/>
  <c r="M844" i="19"/>
  <c r="M853" i="19" s="1"/>
  <c r="J846" i="19"/>
  <c r="J857" i="19" s="1"/>
  <c r="K842" i="19"/>
  <c r="K849" i="19" s="1"/>
  <c r="J845" i="19"/>
  <c r="J855" i="19" s="1"/>
  <c r="K1837" i="19"/>
  <c r="K1849" i="19" s="1"/>
  <c r="M1834" i="19"/>
  <c r="M1843" i="19" s="1"/>
  <c r="J1836" i="19"/>
  <c r="J1847" i="19" s="1"/>
  <c r="I1835" i="19"/>
  <c r="K1832" i="19"/>
  <c r="K1839" i="19" s="1"/>
  <c r="J1835" i="19"/>
  <c r="J1845" i="19" s="1"/>
  <c r="K1834" i="19"/>
  <c r="K1843" i="19" s="1"/>
  <c r="K1833" i="19"/>
  <c r="K1841" i="19" s="1"/>
  <c r="M1832" i="19"/>
  <c r="I1837" i="19"/>
  <c r="K1836" i="19"/>
  <c r="K1847" i="19" s="1"/>
  <c r="K1835" i="19"/>
  <c r="K1845" i="19" s="1"/>
  <c r="I1832" i="19"/>
  <c r="I1839" i="19" s="1"/>
  <c r="M1835" i="19"/>
  <c r="M1845" i="19" s="1"/>
  <c r="M1836" i="19"/>
  <c r="M1847" i="19" s="1"/>
  <c r="J1834" i="19"/>
  <c r="J1843" i="19" s="1"/>
  <c r="J1833" i="19"/>
  <c r="J1841" i="19" s="1"/>
  <c r="M1833" i="19"/>
  <c r="M1841" i="19" s="1"/>
  <c r="I1834" i="19"/>
  <c r="I1843" i="19" s="1"/>
  <c r="J1837" i="19"/>
  <c r="J1849" i="19" s="1"/>
  <c r="I1836" i="19"/>
  <c r="I1847" i="19" s="1"/>
  <c r="I1833" i="19"/>
  <c r="I1841" i="19" s="1"/>
  <c r="J1832" i="19"/>
  <c r="J1839" i="19" s="1"/>
  <c r="M1837" i="19"/>
  <c r="M1849" i="19" s="1"/>
  <c r="K1561" i="19"/>
  <c r="K1572" i="19" s="1"/>
  <c r="I1560" i="19"/>
  <c r="M1560" i="19"/>
  <c r="M1570" i="19" s="1"/>
  <c r="J1558" i="19"/>
  <c r="J1566" i="19" s="1"/>
  <c r="M1562" i="19"/>
  <c r="M1574" i="19" s="1"/>
  <c r="K1562" i="19"/>
  <c r="K1574" i="19" s="1"/>
  <c r="J1559" i="19"/>
  <c r="J1568" i="19" s="1"/>
  <c r="M1558" i="19"/>
  <c r="M1559" i="19"/>
  <c r="M1568" i="19" s="1"/>
  <c r="J1562" i="19"/>
  <c r="J1574" i="19" s="1"/>
  <c r="J1561" i="19"/>
  <c r="J1572" i="19" s="1"/>
  <c r="K1557" i="19"/>
  <c r="K1564" i="19" s="1"/>
  <c r="K1560" i="19"/>
  <c r="K1570" i="19" s="1"/>
  <c r="I1557" i="19"/>
  <c r="I1564" i="19" s="1"/>
  <c r="J1560" i="19"/>
  <c r="J1570" i="19" s="1"/>
  <c r="I1562" i="19"/>
  <c r="I1558" i="19"/>
  <c r="I1566" i="19" s="1"/>
  <c r="K1559" i="19"/>
  <c r="K1568" i="19" s="1"/>
  <c r="I1561" i="19"/>
  <c r="I1572" i="19" s="1"/>
  <c r="M1561" i="19"/>
  <c r="M1572" i="19" s="1"/>
  <c r="M1557" i="19"/>
  <c r="I1559" i="19"/>
  <c r="I1568" i="19" s="1"/>
  <c r="K1558" i="19"/>
  <c r="K1566" i="19" s="1"/>
  <c r="J1557" i="19"/>
  <c r="J1564" i="19" s="1"/>
  <c r="W190" i="20"/>
  <c r="I9" i="10" s="1"/>
  <c r="D220" i="20"/>
  <c r="W1115" i="20"/>
  <c r="I34" i="10" s="1"/>
  <c r="D1145" i="20"/>
  <c r="W449" i="20"/>
  <c r="I16" i="10" s="1"/>
  <c r="D479" i="20"/>
  <c r="W1559" i="20"/>
  <c r="I46" i="10" s="1"/>
  <c r="D1589" i="20"/>
  <c r="D1072" i="20"/>
  <c r="Y1041" i="20" s="1"/>
  <c r="P32" i="10" s="1"/>
  <c r="X1041" i="20"/>
  <c r="J32" i="10" s="1"/>
  <c r="J297" i="19"/>
  <c r="J309" i="19" s="1"/>
  <c r="M297" i="19"/>
  <c r="M309" i="19" s="1"/>
  <c r="M296" i="19"/>
  <c r="M307" i="19" s="1"/>
  <c r="I296" i="19"/>
  <c r="I307" i="19" s="1"/>
  <c r="K296" i="19"/>
  <c r="K307" i="19" s="1"/>
  <c r="J296" i="19"/>
  <c r="J307" i="19" s="1"/>
  <c r="I295" i="19"/>
  <c r="I305" i="19" s="1"/>
  <c r="M293" i="19"/>
  <c r="M301" i="19" s="1"/>
  <c r="J293" i="19"/>
  <c r="J301" i="19" s="1"/>
  <c r="K294" i="19"/>
  <c r="K303" i="19" s="1"/>
  <c r="M292" i="19"/>
  <c r="K297" i="19"/>
  <c r="K309" i="19" s="1"/>
  <c r="J294" i="19"/>
  <c r="J303" i="19" s="1"/>
  <c r="M295" i="19"/>
  <c r="M305" i="19" s="1"/>
  <c r="I297" i="19"/>
  <c r="I309" i="19" s="1"/>
  <c r="K292" i="19"/>
  <c r="K299" i="19" s="1"/>
  <c r="I294" i="19"/>
  <c r="I303" i="19" s="1"/>
  <c r="M294" i="19"/>
  <c r="M303" i="19" s="1"/>
  <c r="K293" i="19"/>
  <c r="K301" i="19" s="1"/>
  <c r="I292" i="19"/>
  <c r="I299" i="19" s="1"/>
  <c r="K295" i="19"/>
  <c r="K305" i="19" s="1"/>
  <c r="J295" i="19"/>
  <c r="J305" i="19" s="1"/>
  <c r="I293" i="19"/>
  <c r="I301" i="19" s="1"/>
  <c r="J292" i="19"/>
  <c r="J299" i="19" s="1"/>
  <c r="I1062" i="19"/>
  <c r="I1069" i="19" s="1"/>
  <c r="I1066" i="19"/>
  <c r="I1077" i="19" s="1"/>
  <c r="I1065" i="19"/>
  <c r="K1066" i="19"/>
  <c r="K1077" i="19" s="1"/>
  <c r="I1063" i="19"/>
  <c r="I1071" i="19" s="1"/>
  <c r="I1067" i="19"/>
  <c r="M1066" i="19"/>
  <c r="M1077" i="19" s="1"/>
  <c r="M1062" i="19"/>
  <c r="M1069" i="19" s="1"/>
  <c r="J1066" i="19"/>
  <c r="J1077" i="19" s="1"/>
  <c r="K1067" i="19"/>
  <c r="K1079" i="19" s="1"/>
  <c r="I1064" i="19"/>
  <c r="I1073" i="19" s="1"/>
  <c r="M1067" i="19"/>
  <c r="M1079" i="19" s="1"/>
  <c r="J1063" i="19"/>
  <c r="J1071" i="19" s="1"/>
  <c r="K1063" i="19"/>
  <c r="K1071" i="19" s="1"/>
  <c r="M1065" i="19"/>
  <c r="M1075" i="19" s="1"/>
  <c r="K1064" i="19"/>
  <c r="K1073" i="19" s="1"/>
  <c r="J1067" i="19"/>
  <c r="J1079" i="19" s="1"/>
  <c r="J1062" i="19"/>
  <c r="J1069" i="19" s="1"/>
  <c r="M1063" i="19"/>
  <c r="J1065" i="19"/>
  <c r="J1075" i="19" s="1"/>
  <c r="K1065" i="19"/>
  <c r="K1075" i="19" s="1"/>
  <c r="M1064" i="19"/>
  <c r="M1073" i="19" s="1"/>
  <c r="K1062" i="19"/>
  <c r="K1069" i="19" s="1"/>
  <c r="J1064" i="19"/>
  <c r="J1073" i="19" s="1"/>
  <c r="D849" i="20"/>
  <c r="W819" i="20"/>
  <c r="I26" i="10" s="1"/>
  <c r="W930" i="20"/>
  <c r="I29" i="10" s="1"/>
  <c r="D960" i="20"/>
  <c r="M1395" i="19"/>
  <c r="M1405" i="19" s="1"/>
  <c r="M1392" i="19"/>
  <c r="M1399" i="19" s="1"/>
  <c r="M1394" i="19"/>
  <c r="M1403" i="19" s="1"/>
  <c r="K1397" i="19"/>
  <c r="K1409" i="19" s="1"/>
  <c r="K1396" i="19"/>
  <c r="K1407" i="19" s="1"/>
  <c r="K1392" i="19"/>
  <c r="K1399" i="19" s="1"/>
  <c r="K1393" i="19"/>
  <c r="K1401" i="19" s="1"/>
  <c r="J1396" i="19"/>
  <c r="J1407" i="19" s="1"/>
  <c r="K1395" i="19"/>
  <c r="K1405" i="19" s="1"/>
  <c r="I1394" i="19"/>
  <c r="I1403" i="19" s="1"/>
  <c r="J1395" i="19"/>
  <c r="J1405" i="19" s="1"/>
  <c r="M1397" i="19"/>
  <c r="J1394" i="19"/>
  <c r="J1403" i="19" s="1"/>
  <c r="I1397" i="19"/>
  <c r="M1393" i="19"/>
  <c r="M1401" i="19" s="1"/>
  <c r="I1392" i="19"/>
  <c r="I1399" i="19" s="1"/>
  <c r="J1392" i="19"/>
  <c r="J1399" i="19" s="1"/>
  <c r="I1396" i="19"/>
  <c r="I1407" i="19" s="1"/>
  <c r="J1397" i="19"/>
  <c r="J1409" i="19" s="1"/>
  <c r="I1393" i="19"/>
  <c r="I1401" i="19" s="1"/>
  <c r="M1396" i="19"/>
  <c r="M1407" i="19" s="1"/>
  <c r="J1393" i="19"/>
  <c r="J1401" i="19" s="1"/>
  <c r="I1395" i="19"/>
  <c r="K1394" i="19"/>
  <c r="K1403" i="19" s="1"/>
  <c r="L2281" i="19"/>
  <c r="N2281" i="19" s="1"/>
  <c r="AQ2281" i="19" s="1"/>
  <c r="W523" i="20"/>
  <c r="I18" i="10" s="1"/>
  <c r="D553" i="20"/>
  <c r="M1505" i="19"/>
  <c r="K1504" i="19"/>
  <c r="K1513" i="19" s="1"/>
  <c r="I1503" i="19"/>
  <c r="I1511" i="19" s="1"/>
  <c r="J1507" i="19"/>
  <c r="J1519" i="19" s="1"/>
  <c r="M1506" i="19"/>
  <c r="K1505" i="19"/>
  <c r="K1515" i="19" s="1"/>
  <c r="M1502" i="19"/>
  <c r="M1509" i="19" s="1"/>
  <c r="J1503" i="19"/>
  <c r="J1511" i="19" s="1"/>
  <c r="J1505" i="19"/>
  <c r="J1515" i="19" s="1"/>
  <c r="I1505" i="19"/>
  <c r="K1503" i="19"/>
  <c r="K1511" i="19" s="1"/>
  <c r="I1504" i="19"/>
  <c r="I1513" i="19" s="1"/>
  <c r="J1506" i="19"/>
  <c r="J1517" i="19" s="1"/>
  <c r="J1504" i="19"/>
  <c r="J1513" i="19" s="1"/>
  <c r="I1507" i="19"/>
  <c r="I1506" i="19"/>
  <c r="I1517" i="19" s="1"/>
  <c r="I1502" i="19"/>
  <c r="I1509" i="19" s="1"/>
  <c r="K1502" i="19"/>
  <c r="K1509" i="19" s="1"/>
  <c r="M1507" i="19"/>
  <c r="M1503" i="19"/>
  <c r="K1507" i="19"/>
  <c r="K1519" i="19" s="1"/>
  <c r="M1504" i="19"/>
  <c r="J1502" i="19"/>
  <c r="J1509" i="19" s="1"/>
  <c r="K1506" i="19"/>
  <c r="K1517" i="19" s="1"/>
  <c r="L2287" i="19"/>
  <c r="N2287" i="19" s="1"/>
  <c r="AQ2287" i="19" s="1"/>
  <c r="W893" i="20"/>
  <c r="I28" i="10" s="1"/>
  <c r="D923" i="20"/>
  <c r="X1485" i="20"/>
  <c r="M1782" i="19"/>
  <c r="M1794" i="19" s="1"/>
  <c r="I1779" i="19"/>
  <c r="I1788" i="19" s="1"/>
  <c r="K1781" i="19"/>
  <c r="K1792" i="19" s="1"/>
  <c r="M1779" i="19"/>
  <c r="M1788" i="19" s="1"/>
  <c r="J1777" i="19"/>
  <c r="J1784" i="19" s="1"/>
  <c r="J1782" i="19"/>
  <c r="J1794" i="19" s="1"/>
  <c r="M1780" i="19"/>
  <c r="M1790" i="19" s="1"/>
  <c r="M1778" i="19"/>
  <c r="M1786" i="19" s="1"/>
  <c r="J1781" i="19"/>
  <c r="J1792" i="19" s="1"/>
  <c r="J1778" i="19"/>
  <c r="J1786" i="19" s="1"/>
  <c r="K1780" i="19"/>
  <c r="K1790" i="19" s="1"/>
  <c r="I1777" i="19"/>
  <c r="I1784" i="19" s="1"/>
  <c r="M1781" i="19"/>
  <c r="M1792" i="19" s="1"/>
  <c r="J1779" i="19"/>
  <c r="J1788" i="19" s="1"/>
  <c r="K1777" i="19"/>
  <c r="K1784" i="19" s="1"/>
  <c r="I1782" i="19"/>
  <c r="I1780" i="19"/>
  <c r="K1779" i="19"/>
  <c r="K1788" i="19" s="1"/>
  <c r="I1778" i="19"/>
  <c r="I1786" i="19" s="1"/>
  <c r="K1778" i="19"/>
  <c r="K1786" i="19" s="1"/>
  <c r="I1781" i="19"/>
  <c r="I1792" i="19" s="1"/>
  <c r="M1777" i="19"/>
  <c r="K1782" i="19"/>
  <c r="K1794" i="19" s="1"/>
  <c r="J1780" i="19"/>
  <c r="J1790" i="19" s="1"/>
  <c r="M241" i="19"/>
  <c r="M252" i="19" s="1"/>
  <c r="J242" i="19"/>
  <c r="J254" i="19" s="1"/>
  <c r="J239" i="19"/>
  <c r="J248" i="19" s="1"/>
  <c r="K239" i="19"/>
  <c r="K248" i="19" s="1"/>
  <c r="I242" i="19"/>
  <c r="M240" i="19"/>
  <c r="M250" i="19" s="1"/>
  <c r="I240" i="19"/>
  <c r="K241" i="19"/>
  <c r="K252" i="19" s="1"/>
  <c r="I238" i="19"/>
  <c r="I246" i="19" s="1"/>
  <c r="M237" i="19"/>
  <c r="M242" i="19"/>
  <c r="M254" i="19" s="1"/>
  <c r="K238" i="19"/>
  <c r="K246" i="19" s="1"/>
  <c r="I241" i="19"/>
  <c r="I252" i="19" s="1"/>
  <c r="J241" i="19"/>
  <c r="J252" i="19" s="1"/>
  <c r="M239" i="19"/>
  <c r="M248" i="19" s="1"/>
  <c r="K242" i="19"/>
  <c r="K254" i="19" s="1"/>
  <c r="K240" i="19"/>
  <c r="K250" i="19" s="1"/>
  <c r="I237" i="19"/>
  <c r="I244" i="19" s="1"/>
  <c r="M238" i="19"/>
  <c r="M246" i="19" s="1"/>
  <c r="J240" i="19"/>
  <c r="J250" i="19" s="1"/>
  <c r="J237" i="19"/>
  <c r="J244" i="19" s="1"/>
  <c r="K237" i="19"/>
  <c r="K244" i="19" s="1"/>
  <c r="J238" i="19"/>
  <c r="J246" i="19" s="1"/>
  <c r="I239" i="19"/>
  <c r="I248" i="19" s="1"/>
  <c r="X782" i="20"/>
  <c r="J25" i="10" s="1"/>
  <c r="D813" i="20"/>
  <c r="Y782" i="20" s="1"/>
  <c r="P25" i="10" s="1"/>
  <c r="W153" i="20"/>
  <c r="I8" i="10" s="1"/>
  <c r="D183" i="20"/>
  <c r="J788" i="19"/>
  <c r="J796" i="19" s="1"/>
  <c r="J787" i="19"/>
  <c r="J794" i="19" s="1"/>
  <c r="M791" i="19"/>
  <c r="M802" i="19" s="1"/>
  <c r="M787" i="19"/>
  <c r="M794" i="19" s="1"/>
  <c r="I791" i="19"/>
  <c r="I802" i="19" s="1"/>
  <c r="I790" i="19"/>
  <c r="K790" i="19"/>
  <c r="K800" i="19" s="1"/>
  <c r="I788" i="19"/>
  <c r="I796" i="19" s="1"/>
  <c r="M790" i="19"/>
  <c r="M800" i="19" s="1"/>
  <c r="J789" i="19"/>
  <c r="J798" i="19" s="1"/>
  <c r="K788" i="19"/>
  <c r="K796" i="19" s="1"/>
  <c r="I789" i="19"/>
  <c r="I798" i="19" s="1"/>
  <c r="I787" i="19"/>
  <c r="I794" i="19" s="1"/>
  <c r="K792" i="19"/>
  <c r="K804" i="19" s="1"/>
  <c r="I792" i="19"/>
  <c r="M788" i="19"/>
  <c r="M796" i="19" s="1"/>
  <c r="J792" i="19"/>
  <c r="J804" i="19" s="1"/>
  <c r="J790" i="19"/>
  <c r="J800" i="19" s="1"/>
  <c r="K789" i="19"/>
  <c r="K798" i="19" s="1"/>
  <c r="K787" i="19"/>
  <c r="K794" i="19" s="1"/>
  <c r="M789" i="19"/>
  <c r="M798" i="19" s="1"/>
  <c r="M792" i="19"/>
  <c r="K791" i="19"/>
  <c r="K802" i="19" s="1"/>
  <c r="J791" i="19"/>
  <c r="J802" i="19" s="1"/>
  <c r="L2279" i="19"/>
  <c r="N2279" i="19" s="1"/>
  <c r="AQ2279" i="19" s="1"/>
  <c r="W412" i="20"/>
  <c r="I15" i="10" s="1"/>
  <c r="D442" i="20"/>
  <c r="W42" i="20"/>
  <c r="I5" i="10" s="1"/>
  <c r="D72" i="20"/>
  <c r="X1189" i="20"/>
  <c r="J36" i="10" s="1"/>
  <c r="D1220" i="20"/>
  <c r="Y1189" i="20" s="1"/>
  <c r="P36" i="10" s="1"/>
  <c r="I2289" i="19"/>
  <c r="L2289" i="19" s="1"/>
  <c r="N2289" i="19" s="1"/>
  <c r="AQ2289" i="19" s="1"/>
  <c r="I2285" i="19"/>
  <c r="L2285" i="19" s="1"/>
  <c r="N2285" i="19" s="1"/>
  <c r="AQ2285" i="19" s="1"/>
  <c r="L2283" i="19"/>
  <c r="N2283" i="19" s="1"/>
  <c r="AQ2283" i="19" s="1"/>
  <c r="K2291" i="19"/>
  <c r="W1522" i="20"/>
  <c r="I45" i="10" s="1"/>
  <c r="D1552" i="20"/>
  <c r="K2605" i="19"/>
  <c r="K2615" i="19" s="1"/>
  <c r="I2603" i="19"/>
  <c r="I2611" i="19" s="1"/>
  <c r="K2604" i="19"/>
  <c r="K2613" i="19" s="1"/>
  <c r="K2607" i="19"/>
  <c r="K2619" i="19" s="1"/>
  <c r="M2607" i="19"/>
  <c r="I2602" i="19"/>
  <c r="I2609" i="19" s="1"/>
  <c r="K2603" i="19"/>
  <c r="K2611" i="19" s="1"/>
  <c r="I2604" i="19"/>
  <c r="I2613" i="19" s="1"/>
  <c r="M2606" i="19"/>
  <c r="M2617" i="19" s="1"/>
  <c r="M2605" i="19"/>
  <c r="M2615" i="19" s="1"/>
  <c r="K2606" i="19"/>
  <c r="K2617" i="19" s="1"/>
  <c r="J2604" i="19"/>
  <c r="J2613" i="19" s="1"/>
  <c r="J2606" i="19"/>
  <c r="J2617" i="19" s="1"/>
  <c r="I2606" i="19"/>
  <c r="I2617" i="19" s="1"/>
  <c r="J2603" i="19"/>
  <c r="J2611" i="19" s="1"/>
  <c r="M2602" i="19"/>
  <c r="M2609" i="19" s="1"/>
  <c r="K2602" i="19"/>
  <c r="K2609" i="19" s="1"/>
  <c r="I2607" i="19"/>
  <c r="J2602" i="19"/>
  <c r="J2609" i="19" s="1"/>
  <c r="J2607" i="19"/>
  <c r="J2619" i="19" s="1"/>
  <c r="I2605" i="19"/>
  <c r="M2604" i="19"/>
  <c r="J2605" i="19"/>
  <c r="J2615" i="19" s="1"/>
  <c r="M2603" i="19"/>
  <c r="M2611" i="19" s="1"/>
  <c r="I1340" i="19"/>
  <c r="I1338" i="19"/>
  <c r="I1346" i="19" s="1"/>
  <c r="J1337" i="19"/>
  <c r="J1344" i="19" s="1"/>
  <c r="J1341" i="19"/>
  <c r="J1352" i="19" s="1"/>
  <c r="M1337" i="19"/>
  <c r="K1339" i="19"/>
  <c r="K1348" i="19" s="1"/>
  <c r="K1337" i="19"/>
  <c r="K1344" i="19" s="1"/>
  <c r="J1340" i="19"/>
  <c r="J1350" i="19" s="1"/>
  <c r="M1338" i="19"/>
  <c r="J1342" i="19"/>
  <c r="J1354" i="19" s="1"/>
  <c r="M1341" i="19"/>
  <c r="M1352" i="19" s="1"/>
  <c r="I1337" i="19"/>
  <c r="I1344" i="19" s="1"/>
  <c r="J1338" i="19"/>
  <c r="J1346" i="19" s="1"/>
  <c r="I1339" i="19"/>
  <c r="I1348" i="19" s="1"/>
  <c r="J1339" i="19"/>
  <c r="J1348" i="19" s="1"/>
  <c r="I1342" i="19"/>
  <c r="I1341" i="19"/>
  <c r="I1352" i="19" s="1"/>
  <c r="M1340" i="19"/>
  <c r="M1350" i="19" s="1"/>
  <c r="K1342" i="19"/>
  <c r="K1354" i="19" s="1"/>
  <c r="M1339" i="19"/>
  <c r="K1340" i="19"/>
  <c r="K1350" i="19" s="1"/>
  <c r="M1342" i="19"/>
  <c r="M1354" i="19" s="1"/>
  <c r="K1341" i="19"/>
  <c r="K1352" i="19" s="1"/>
  <c r="K1338" i="19"/>
  <c r="K1346" i="19" s="1"/>
  <c r="D1774" i="20"/>
  <c r="W1744" i="20"/>
  <c r="I51" i="10" s="1"/>
  <c r="D1441" i="20"/>
  <c r="W1411" i="20"/>
  <c r="I42" i="10" s="1"/>
  <c r="I2439" i="19"/>
  <c r="I2448" i="19" s="1"/>
  <c r="J2438" i="19"/>
  <c r="J2446" i="19" s="1"/>
  <c r="J2442" i="19"/>
  <c r="J2454" i="19" s="1"/>
  <c r="K2437" i="19"/>
  <c r="K2444" i="19" s="1"/>
  <c r="M2440" i="19"/>
  <c r="M2450" i="19" s="1"/>
  <c r="I2438" i="19"/>
  <c r="I2446" i="19" s="1"/>
  <c r="I2441" i="19"/>
  <c r="I2452" i="19" s="1"/>
  <c r="K2442" i="19"/>
  <c r="K2454" i="19" s="1"/>
  <c r="J2441" i="19"/>
  <c r="J2452" i="19" s="1"/>
  <c r="J2439" i="19"/>
  <c r="J2448" i="19" s="1"/>
  <c r="M2441" i="19"/>
  <c r="M2452" i="19" s="1"/>
  <c r="K2438" i="19"/>
  <c r="K2446" i="19" s="1"/>
  <c r="I2437" i="19"/>
  <c r="I2444" i="19" s="1"/>
  <c r="M2439" i="19"/>
  <c r="M2448" i="19" s="1"/>
  <c r="K2440" i="19"/>
  <c r="K2450" i="19" s="1"/>
  <c r="M2438" i="19"/>
  <c r="M2446" i="19" s="1"/>
  <c r="I2440" i="19"/>
  <c r="K2441" i="19"/>
  <c r="K2452" i="19" s="1"/>
  <c r="M2442" i="19"/>
  <c r="M2437" i="19"/>
  <c r="M2444" i="19" s="1"/>
  <c r="J2437" i="19"/>
  <c r="J2444" i="19" s="1"/>
  <c r="I2442" i="19"/>
  <c r="K2439" i="19"/>
  <c r="K2448" i="19" s="1"/>
  <c r="J2440" i="19"/>
  <c r="J2450" i="19" s="1"/>
  <c r="I89" i="19"/>
  <c r="I85" i="19"/>
  <c r="M2291" i="19"/>
  <c r="K1177" i="19"/>
  <c r="K1189" i="19" s="1"/>
  <c r="I1176" i="19"/>
  <c r="I1187" i="19" s="1"/>
  <c r="M1172" i="19"/>
  <c r="M1179" i="19" s="1"/>
  <c r="M1175" i="19"/>
  <c r="M1185" i="19" s="1"/>
  <c r="I1177" i="19"/>
  <c r="J1172" i="19"/>
  <c r="J1179" i="19" s="1"/>
  <c r="J1176" i="19"/>
  <c r="J1187" i="19" s="1"/>
  <c r="K1174" i="19"/>
  <c r="K1183" i="19" s="1"/>
  <c r="M1177" i="19"/>
  <c r="K1175" i="19"/>
  <c r="K1185" i="19" s="1"/>
  <c r="J1177" i="19"/>
  <c r="J1189" i="19" s="1"/>
  <c r="J1173" i="19"/>
  <c r="J1181" i="19" s="1"/>
  <c r="K1173" i="19"/>
  <c r="K1181" i="19" s="1"/>
  <c r="I1175" i="19"/>
  <c r="I1174" i="19"/>
  <c r="I1183" i="19" s="1"/>
  <c r="I1173" i="19"/>
  <c r="I1181" i="19" s="1"/>
  <c r="I1172" i="19"/>
  <c r="I1179" i="19" s="1"/>
  <c r="J1174" i="19"/>
  <c r="J1183" i="19" s="1"/>
  <c r="K1176" i="19"/>
  <c r="K1187" i="19" s="1"/>
  <c r="K1172" i="19"/>
  <c r="K1179" i="19" s="1"/>
  <c r="M1174" i="19"/>
  <c r="M1183" i="19" s="1"/>
  <c r="M1173" i="19"/>
  <c r="M1181" i="19" s="1"/>
  <c r="J1175" i="19"/>
  <c r="J1185" i="19" s="1"/>
  <c r="M1176" i="19"/>
  <c r="M1187" i="19" s="1"/>
  <c r="D887" i="20"/>
  <c r="Y856" i="20" s="1"/>
  <c r="P27" i="10" s="1"/>
  <c r="D1405" i="20"/>
  <c r="Y1374" i="20" s="1"/>
  <c r="P41" i="10" s="1"/>
  <c r="D35" i="20"/>
  <c r="D36" i="20" s="1"/>
  <c r="Y5" i="20" s="1"/>
  <c r="P4" i="10" s="1"/>
  <c r="J735" i="19"/>
  <c r="J745" i="19" s="1"/>
  <c r="K897" i="19"/>
  <c r="K904" i="19" s="1"/>
  <c r="K901" i="19"/>
  <c r="K912" i="19" s="1"/>
  <c r="J900" i="19"/>
  <c r="J910" i="19" s="1"/>
  <c r="I736" i="19"/>
  <c r="I747" i="19" s="1"/>
  <c r="M737" i="19"/>
  <c r="M749" i="19" s="1"/>
  <c r="K1613" i="19"/>
  <c r="K1621" i="19" s="1"/>
  <c r="K1450" i="19"/>
  <c r="K1460" i="19" s="1"/>
  <c r="I735" i="19"/>
  <c r="M735" i="19"/>
  <c r="M745" i="19" s="1"/>
  <c r="I732" i="19"/>
  <c r="I739" i="19" s="1"/>
  <c r="I1452" i="19"/>
  <c r="I1464" i="19" s="1"/>
  <c r="K19" i="19"/>
  <c r="K28" i="19" s="1"/>
  <c r="J737" i="19"/>
  <c r="J749" i="19" s="1"/>
  <c r="M734" i="19"/>
  <c r="J734" i="19"/>
  <c r="J743" i="19" s="1"/>
  <c r="K737" i="19"/>
  <c r="K749" i="19" s="1"/>
  <c r="M736" i="19"/>
  <c r="M747" i="19" s="1"/>
  <c r="J736" i="19"/>
  <c r="J747" i="19" s="1"/>
  <c r="M733" i="19"/>
  <c r="M741" i="19" s="1"/>
  <c r="I737" i="19"/>
  <c r="I749" i="19" s="1"/>
  <c r="K735" i="19"/>
  <c r="K745" i="19" s="1"/>
  <c r="K734" i="19"/>
  <c r="K743" i="19" s="1"/>
  <c r="K733" i="19"/>
  <c r="K741" i="19" s="1"/>
  <c r="I734" i="19"/>
  <c r="I743" i="19" s="1"/>
  <c r="J1612" i="19"/>
  <c r="J1619" i="19" s="1"/>
  <c r="I1615" i="19"/>
  <c r="K1449" i="19"/>
  <c r="K1458" i="19" s="1"/>
  <c r="K732" i="19"/>
  <c r="K739" i="19" s="1"/>
  <c r="M732" i="19"/>
  <c r="J733" i="19"/>
  <c r="J741" i="19" s="1"/>
  <c r="K736" i="19"/>
  <c r="K747" i="19" s="1"/>
  <c r="I733" i="19"/>
  <c r="I741" i="19" s="1"/>
  <c r="J1617" i="19"/>
  <c r="J1629" i="19" s="1"/>
  <c r="I1616" i="19"/>
  <c r="I1627" i="19" s="1"/>
  <c r="I1450" i="19"/>
  <c r="J1615" i="19"/>
  <c r="J1625" i="19" s="1"/>
  <c r="J1450" i="19"/>
  <c r="J1460" i="19" s="1"/>
  <c r="I1449" i="19"/>
  <c r="I1458" i="19" s="1"/>
  <c r="I1723" i="19"/>
  <c r="I1731" i="19" s="1"/>
  <c r="M20" i="19"/>
  <c r="M30" i="19" s="1"/>
  <c r="J1725" i="19"/>
  <c r="J1735" i="19" s="1"/>
  <c r="K1727" i="19"/>
  <c r="K1739" i="19" s="1"/>
  <c r="J20" i="19"/>
  <c r="J30" i="19" s="1"/>
  <c r="K1724" i="19"/>
  <c r="K1733" i="19" s="1"/>
  <c r="K17" i="19"/>
  <c r="K24" i="19" s="1"/>
  <c r="K18" i="19"/>
  <c r="K26" i="19" s="1"/>
  <c r="J1726" i="19"/>
  <c r="J1737" i="19" s="1"/>
  <c r="J1722" i="19"/>
  <c r="J1729" i="19" s="1"/>
  <c r="M22" i="19"/>
  <c r="I2218" i="19"/>
  <c r="I2226" i="19" s="1"/>
  <c r="J2386" i="19"/>
  <c r="J2397" i="19" s="1"/>
  <c r="J2387" i="19"/>
  <c r="J2399" i="19" s="1"/>
  <c r="J2383" i="19"/>
  <c r="J2391" i="19" s="1"/>
  <c r="I2384" i="19"/>
  <c r="I2393" i="19" s="1"/>
  <c r="J2218" i="19"/>
  <c r="J2226" i="19" s="1"/>
  <c r="J2382" i="19"/>
  <c r="J2389" i="19" s="1"/>
  <c r="M2382" i="19"/>
  <c r="M2389" i="19" s="1"/>
  <c r="M1723" i="19"/>
  <c r="M1731" i="19" s="1"/>
  <c r="K1725" i="19"/>
  <c r="K1735" i="19" s="1"/>
  <c r="I1727" i="19"/>
  <c r="I1735" i="19" s="1"/>
  <c r="J1724" i="19"/>
  <c r="J1733" i="19" s="1"/>
  <c r="J1723" i="19"/>
  <c r="J1731" i="19" s="1"/>
  <c r="K1722" i="19"/>
  <c r="K1729" i="19" s="1"/>
  <c r="M19" i="19"/>
  <c r="M28" i="19" s="1"/>
  <c r="J19" i="19"/>
  <c r="J28" i="19" s="1"/>
  <c r="K21" i="19"/>
  <c r="K32" i="19" s="1"/>
  <c r="I22" i="19"/>
  <c r="I30" i="19" s="1"/>
  <c r="M21" i="19"/>
  <c r="M32" i="19" s="1"/>
  <c r="M18" i="19"/>
  <c r="M26" i="19" s="1"/>
  <c r="M1727" i="19"/>
  <c r="M1739" i="19" s="1"/>
  <c r="I1726" i="19"/>
  <c r="I1737" i="19" s="1"/>
  <c r="K1723" i="19"/>
  <c r="K1731" i="19" s="1"/>
  <c r="I1724" i="19"/>
  <c r="I1733" i="19" s="1"/>
  <c r="J1727" i="19"/>
  <c r="J1739" i="19" s="1"/>
  <c r="I1725" i="19"/>
  <c r="M17" i="19"/>
  <c r="M24" i="19" s="1"/>
  <c r="I21" i="19"/>
  <c r="I32" i="19" s="1"/>
  <c r="I17" i="19"/>
  <c r="I24" i="19" s="1"/>
  <c r="I20" i="19"/>
  <c r="J18" i="19"/>
  <c r="J26" i="19" s="1"/>
  <c r="K22" i="19"/>
  <c r="K34" i="19" s="1"/>
  <c r="M1722" i="19"/>
  <c r="M1729" i="19" s="1"/>
  <c r="M1726" i="19"/>
  <c r="M1737" i="19" s="1"/>
  <c r="M1725" i="19"/>
  <c r="M1735" i="19" s="1"/>
  <c r="M1724" i="19"/>
  <c r="M1733" i="19" s="1"/>
  <c r="K1726" i="19"/>
  <c r="K1737" i="19" s="1"/>
  <c r="I18" i="19"/>
  <c r="I26" i="19" s="1"/>
  <c r="J22" i="19"/>
  <c r="J34" i="19" s="1"/>
  <c r="K20" i="19"/>
  <c r="K30" i="19" s="1"/>
  <c r="J21" i="19"/>
  <c r="J32" i="19" s="1"/>
  <c r="I19" i="19"/>
  <c r="I28" i="19" s="1"/>
  <c r="M898" i="19"/>
  <c r="M906" i="19" s="1"/>
  <c r="J899" i="19"/>
  <c r="J908" i="19" s="1"/>
  <c r="K900" i="19"/>
  <c r="K910" i="19" s="1"/>
  <c r="I901" i="19"/>
  <c r="I912" i="19" s="1"/>
  <c r="M902" i="19"/>
  <c r="M914" i="19" s="1"/>
  <c r="M899" i="19"/>
  <c r="J901" i="19"/>
  <c r="J912" i="19" s="1"/>
  <c r="M897" i="19"/>
  <c r="M904" i="19" s="1"/>
  <c r="K898" i="19"/>
  <c r="K906" i="19" s="1"/>
  <c r="K2220" i="19"/>
  <c r="K2230" i="19" s="1"/>
  <c r="K2386" i="19"/>
  <c r="K2397" i="19" s="1"/>
  <c r="K2384" i="19"/>
  <c r="K2393" i="19" s="1"/>
  <c r="I2387" i="19"/>
  <c r="I2395" i="19" s="1"/>
  <c r="M2385" i="19"/>
  <c r="M2395" i="19" s="1"/>
  <c r="M2383" i="19"/>
  <c r="M2391" i="19" s="1"/>
  <c r="M2386" i="19"/>
  <c r="M2397" i="19" s="1"/>
  <c r="M2222" i="19"/>
  <c r="M2234" i="19" s="1"/>
  <c r="I2383" i="19"/>
  <c r="I2391" i="19" s="1"/>
  <c r="I2386" i="19"/>
  <c r="I2397" i="19" s="1"/>
  <c r="I2385" i="19"/>
  <c r="J2385" i="19"/>
  <c r="J2395" i="19" s="1"/>
  <c r="M2384" i="19"/>
  <c r="M2393" i="19" s="1"/>
  <c r="I2382" i="19"/>
  <c r="I2389" i="19" s="1"/>
  <c r="J2219" i="19"/>
  <c r="J2228" i="19" s="1"/>
  <c r="M2219" i="19"/>
  <c r="M2228" i="19" s="1"/>
  <c r="K2385" i="19"/>
  <c r="K2395" i="19" s="1"/>
  <c r="K2387" i="19"/>
  <c r="K2399" i="19" s="1"/>
  <c r="K2383" i="19"/>
  <c r="K2391" i="19" s="1"/>
  <c r="J2384" i="19"/>
  <c r="J2393" i="19" s="1"/>
  <c r="K2382" i="19"/>
  <c r="K2389" i="19" s="1"/>
  <c r="I1612" i="19"/>
  <c r="I1619" i="19" s="1"/>
  <c r="M1614" i="19"/>
  <c r="K1615" i="19"/>
  <c r="K1625" i="19" s="1"/>
  <c r="K1614" i="19"/>
  <c r="K1623" i="19" s="1"/>
  <c r="K1612" i="19"/>
  <c r="K1619" i="19" s="1"/>
  <c r="M1613" i="19"/>
  <c r="I1448" i="19"/>
  <c r="I1456" i="19" s="1"/>
  <c r="M1447" i="19"/>
  <c r="M1454" i="19" s="1"/>
  <c r="J1448" i="19"/>
  <c r="J1456" i="19" s="1"/>
  <c r="I902" i="19"/>
  <c r="I914" i="19" s="1"/>
  <c r="J902" i="19"/>
  <c r="J914" i="19" s="1"/>
  <c r="I898" i="19"/>
  <c r="I906" i="19" s="1"/>
  <c r="J897" i="19"/>
  <c r="J904" i="19" s="1"/>
  <c r="K902" i="19"/>
  <c r="K914" i="19" s="1"/>
  <c r="M900" i="19"/>
  <c r="M910" i="19" s="1"/>
  <c r="I1614" i="19"/>
  <c r="I1623" i="19" s="1"/>
  <c r="I1617" i="19"/>
  <c r="I1629" i="19" s="1"/>
  <c r="J1616" i="19"/>
  <c r="J1627" i="19" s="1"/>
  <c r="M1615" i="19"/>
  <c r="J1613" i="19"/>
  <c r="J1621" i="19" s="1"/>
  <c r="I1613" i="19"/>
  <c r="I1621" i="19" s="1"/>
  <c r="K1447" i="19"/>
  <c r="K1454" i="19" s="1"/>
  <c r="J1451" i="19"/>
  <c r="J1462" i="19" s="1"/>
  <c r="M1449" i="19"/>
  <c r="M1458" i="19" s="1"/>
  <c r="M1450" i="19"/>
  <c r="M1460" i="19" s="1"/>
  <c r="K1451" i="19"/>
  <c r="K1462" i="19" s="1"/>
  <c r="M1452" i="19"/>
  <c r="M1464" i="19" s="1"/>
  <c r="K1452" i="19"/>
  <c r="K1464" i="19" s="1"/>
  <c r="K1448" i="19"/>
  <c r="K1456" i="19" s="1"/>
  <c r="J1452" i="19"/>
  <c r="J1464" i="19" s="1"/>
  <c r="I897" i="19"/>
  <c r="I904" i="19" s="1"/>
  <c r="I900" i="19"/>
  <c r="I910" i="19" s="1"/>
  <c r="I899" i="19"/>
  <c r="I908" i="19" s="1"/>
  <c r="K899" i="19"/>
  <c r="K908" i="19" s="1"/>
  <c r="M901" i="19"/>
  <c r="M912" i="19" s="1"/>
  <c r="J1614" i="19"/>
  <c r="J1623" i="19" s="1"/>
  <c r="L1623" i="19" s="1"/>
  <c r="M1616" i="19"/>
  <c r="M1617" i="19"/>
  <c r="M1612" i="19"/>
  <c r="K1617" i="19"/>
  <c r="K1629" i="19" s="1"/>
  <c r="I1447" i="19"/>
  <c r="I1454" i="19" s="1"/>
  <c r="M1451" i="19"/>
  <c r="M1462" i="19" s="1"/>
  <c r="J1447" i="19"/>
  <c r="J1454" i="19" s="1"/>
  <c r="M1448" i="19"/>
  <c r="M1456" i="19" s="1"/>
  <c r="I1451" i="19"/>
  <c r="I1462" i="19" s="1"/>
  <c r="K1283" i="19"/>
  <c r="K1291" i="19" s="1"/>
  <c r="J1285" i="19"/>
  <c r="J1295" i="19" s="1"/>
  <c r="J1287" i="19"/>
  <c r="J1299" i="19" s="1"/>
  <c r="J1286" i="19"/>
  <c r="J1297" i="19" s="1"/>
  <c r="I1287" i="19"/>
  <c r="I1295" i="19" s="1"/>
  <c r="M1285" i="19"/>
  <c r="M1295" i="19" s="1"/>
  <c r="K1287" i="19"/>
  <c r="K1299" i="19" s="1"/>
  <c r="M2221" i="19"/>
  <c r="M2232" i="19" s="1"/>
  <c r="I2222" i="19"/>
  <c r="I2234" i="19" s="1"/>
  <c r="I2219" i="19"/>
  <c r="I2228" i="19" s="1"/>
  <c r="I2220" i="19"/>
  <c r="I2221" i="19"/>
  <c r="I2232" i="19" s="1"/>
  <c r="K2218" i="19"/>
  <c r="K2226" i="19" s="1"/>
  <c r="K2221" i="19"/>
  <c r="K2232" i="19" s="1"/>
  <c r="M2218" i="19"/>
  <c r="M2226" i="19" s="1"/>
  <c r="K2217" i="19"/>
  <c r="K2224" i="19" s="1"/>
  <c r="M2220" i="19"/>
  <c r="M2230" i="19" s="1"/>
  <c r="K2219" i="19"/>
  <c r="K2228" i="19" s="1"/>
  <c r="I1283" i="19"/>
  <c r="I1291" i="19" s="1"/>
  <c r="I1282" i="19"/>
  <c r="I1289" i="19" s="1"/>
  <c r="M1282" i="19"/>
  <c r="M1289" i="19" s="1"/>
  <c r="J1282" i="19"/>
  <c r="J1289" i="19" s="1"/>
  <c r="I1285" i="19"/>
  <c r="I1286" i="19"/>
  <c r="I1297" i="19" s="1"/>
  <c r="J2220" i="19"/>
  <c r="J2230" i="19" s="1"/>
  <c r="I2217" i="19"/>
  <c r="I2224" i="19" s="1"/>
  <c r="J2221" i="19"/>
  <c r="J2232" i="19" s="1"/>
  <c r="J2217" i="19"/>
  <c r="J2224" i="19" s="1"/>
  <c r="J2222" i="19"/>
  <c r="J2234" i="19" s="1"/>
  <c r="M2217" i="19"/>
  <c r="M2224" i="19" s="1"/>
  <c r="J1284" i="19"/>
  <c r="J1293" i="19" s="1"/>
  <c r="M1286" i="19"/>
  <c r="M1297" i="19" s="1"/>
  <c r="K1285" i="19"/>
  <c r="K1295" i="19" s="1"/>
  <c r="M1287" i="19"/>
  <c r="M1299" i="19" s="1"/>
  <c r="K1286" i="19"/>
  <c r="K1297" i="19" s="1"/>
  <c r="K1282" i="19"/>
  <c r="K1289" i="19" s="1"/>
  <c r="J1283" i="19"/>
  <c r="J1291" i="19" s="1"/>
  <c r="K1284" i="19"/>
  <c r="K1293" i="19" s="1"/>
  <c r="I1284" i="19"/>
  <c r="I1293" i="19" s="1"/>
  <c r="M1283" i="19"/>
  <c r="M1291" i="19" s="1"/>
  <c r="M1284" i="19"/>
  <c r="M1293" i="19" s="1"/>
  <c r="I2714" i="19"/>
  <c r="I2723" i="19" s="1"/>
  <c r="J2714" i="19"/>
  <c r="J2723" i="19" s="1"/>
  <c r="M2715" i="19"/>
  <c r="M2725" i="19" s="1"/>
  <c r="M2712" i="19"/>
  <c r="M2719" i="19" s="1"/>
  <c r="K2713" i="19"/>
  <c r="K2721" i="19" s="1"/>
  <c r="I2712" i="19"/>
  <c r="I2719" i="19" s="1"/>
  <c r="K2712" i="19"/>
  <c r="K2719" i="19" s="1"/>
  <c r="J2712" i="19"/>
  <c r="J2719" i="19" s="1"/>
  <c r="K2716" i="19"/>
  <c r="K2727" i="19" s="1"/>
  <c r="I2715" i="19"/>
  <c r="K2717" i="19"/>
  <c r="K2729" i="19" s="1"/>
  <c r="K2714" i="19"/>
  <c r="K2723" i="19" s="1"/>
  <c r="M2713" i="19"/>
  <c r="M2721" i="19" s="1"/>
  <c r="J2713" i="19"/>
  <c r="J2721" i="19" s="1"/>
  <c r="I2713" i="19"/>
  <c r="I2721" i="19" s="1"/>
  <c r="J2716" i="19"/>
  <c r="J2727" i="19" s="1"/>
  <c r="M2716" i="19"/>
  <c r="M2727" i="19" s="1"/>
  <c r="J2717" i="19"/>
  <c r="J2729" i="19" s="1"/>
  <c r="J2715" i="19"/>
  <c r="J2725" i="19" s="1"/>
  <c r="M2714" i="19"/>
  <c r="M2723" i="19" s="1"/>
  <c r="I2717" i="19"/>
  <c r="K2715" i="19"/>
  <c r="K2725" i="19" s="1"/>
  <c r="I2716" i="19"/>
  <c r="I2727" i="19" s="1"/>
  <c r="M2717" i="19"/>
  <c r="M2729" i="19" s="1"/>
  <c r="Q10" i="10"/>
  <c r="K187" i="19"/>
  <c r="K199" i="19" s="1"/>
  <c r="I183" i="19"/>
  <c r="I191" i="19" s="1"/>
  <c r="M186" i="19"/>
  <c r="M197" i="19" s="1"/>
  <c r="K186" i="19"/>
  <c r="K197" i="19" s="1"/>
  <c r="K185" i="19"/>
  <c r="K195" i="19" s="1"/>
  <c r="I187" i="19"/>
  <c r="I195" i="19" s="1"/>
  <c r="J184" i="19"/>
  <c r="J193" i="19" s="1"/>
  <c r="J186" i="19"/>
  <c r="J197" i="19" s="1"/>
  <c r="J182" i="19"/>
  <c r="J189" i="19" s="1"/>
  <c r="I186" i="19"/>
  <c r="I197" i="19" s="1"/>
  <c r="J185" i="19"/>
  <c r="J195" i="19" s="1"/>
  <c r="I182" i="19"/>
  <c r="I189" i="19" s="1"/>
  <c r="M182" i="19"/>
  <c r="K183" i="19"/>
  <c r="K191" i="19" s="1"/>
  <c r="I185" i="19"/>
  <c r="M185" i="19"/>
  <c r="M195" i="19" s="1"/>
  <c r="K184" i="19"/>
  <c r="K193" i="19" s="1"/>
  <c r="K182" i="19"/>
  <c r="K189" i="19" s="1"/>
  <c r="J187" i="19"/>
  <c r="J199" i="19" s="1"/>
  <c r="M183" i="19"/>
  <c r="M191" i="19" s="1"/>
  <c r="M187" i="19"/>
  <c r="M199" i="19" s="1"/>
  <c r="M184" i="19"/>
  <c r="M193" i="19" s="1"/>
  <c r="J183" i="19"/>
  <c r="J191" i="19" s="1"/>
  <c r="I184" i="19"/>
  <c r="I193" i="19" s="1"/>
  <c r="Q22" i="10"/>
  <c r="Q7" i="10"/>
  <c r="I2056" i="19"/>
  <c r="I2067" i="19" s="1"/>
  <c r="M2056" i="19"/>
  <c r="M2067" i="19" s="1"/>
  <c r="K2056" i="19"/>
  <c r="K2067" i="19" s="1"/>
  <c r="M2055" i="19"/>
  <c r="M2065" i="19" s="1"/>
  <c r="K2052" i="19"/>
  <c r="K2059" i="19" s="1"/>
  <c r="K2055" i="19"/>
  <c r="K2065" i="19" s="1"/>
  <c r="M2054" i="19"/>
  <c r="M2063" i="19" s="1"/>
  <c r="M2052" i="19"/>
  <c r="M2059" i="19" s="1"/>
  <c r="M2057" i="19"/>
  <c r="I2054" i="19"/>
  <c r="I2063" i="19" s="1"/>
  <c r="J2055" i="19"/>
  <c r="J2065" i="19" s="1"/>
  <c r="K2053" i="19"/>
  <c r="K2061" i="19" s="1"/>
  <c r="I2055" i="19"/>
  <c r="J2057" i="19"/>
  <c r="J2069" i="19" s="1"/>
  <c r="K2057" i="19"/>
  <c r="K2069" i="19" s="1"/>
  <c r="J2056" i="19"/>
  <c r="J2067" i="19" s="1"/>
  <c r="J2054" i="19"/>
  <c r="J2063" i="19" s="1"/>
  <c r="I2053" i="19"/>
  <c r="I2061" i="19" s="1"/>
  <c r="K2054" i="19"/>
  <c r="K2063" i="19" s="1"/>
  <c r="I2052" i="19"/>
  <c r="I2059" i="19" s="1"/>
  <c r="J2053" i="19"/>
  <c r="J2061" i="19" s="1"/>
  <c r="M2053" i="19"/>
  <c r="M2061" i="19" s="1"/>
  <c r="J2052" i="19"/>
  <c r="J2059" i="19" s="1"/>
  <c r="I2057" i="19"/>
  <c r="Q30" i="10"/>
  <c r="J570" i="19"/>
  <c r="J580" i="19" s="1"/>
  <c r="J567" i="19"/>
  <c r="J574" i="19" s="1"/>
  <c r="M572" i="19"/>
  <c r="M584" i="19" s="1"/>
  <c r="J568" i="19"/>
  <c r="J576" i="19" s="1"/>
  <c r="K569" i="19"/>
  <c r="K578" i="19" s="1"/>
  <c r="M571" i="19"/>
  <c r="M582" i="19" s="1"/>
  <c r="I569" i="19"/>
  <c r="I578" i="19" s="1"/>
  <c r="J569" i="19"/>
  <c r="J578" i="19" s="1"/>
  <c r="J571" i="19"/>
  <c r="J582" i="19" s="1"/>
  <c r="I572" i="19"/>
  <c r="M569" i="19"/>
  <c r="M578" i="19" s="1"/>
  <c r="K571" i="19"/>
  <c r="K582" i="19" s="1"/>
  <c r="K570" i="19"/>
  <c r="K580" i="19" s="1"/>
  <c r="M568" i="19"/>
  <c r="M576" i="19" s="1"/>
  <c r="K572" i="19"/>
  <c r="K584" i="19" s="1"/>
  <c r="M567" i="19"/>
  <c r="M574" i="19" s="1"/>
  <c r="K567" i="19"/>
  <c r="K574" i="19" s="1"/>
  <c r="J572" i="19"/>
  <c r="J584" i="19" s="1"/>
  <c r="I571" i="19"/>
  <c r="I582" i="19" s="1"/>
  <c r="M570" i="19"/>
  <c r="M580" i="19" s="1"/>
  <c r="I567" i="19"/>
  <c r="I574" i="19" s="1"/>
  <c r="K568" i="19"/>
  <c r="K576" i="19" s="1"/>
  <c r="I568" i="19"/>
  <c r="I576" i="19" s="1"/>
  <c r="I570" i="19"/>
  <c r="Q17" i="10"/>
  <c r="J1121" i="19"/>
  <c r="J1132" i="19" s="1"/>
  <c r="K1117" i="19"/>
  <c r="K1124" i="19" s="1"/>
  <c r="I1121" i="19"/>
  <c r="I1132" i="19" s="1"/>
  <c r="M1120" i="19"/>
  <c r="M1130" i="19" s="1"/>
  <c r="K1119" i="19"/>
  <c r="K1128" i="19" s="1"/>
  <c r="J1119" i="19"/>
  <c r="J1128" i="19" s="1"/>
  <c r="K1120" i="19"/>
  <c r="K1130" i="19" s="1"/>
  <c r="M1117" i="19"/>
  <c r="M1124" i="19" s="1"/>
  <c r="I1118" i="19"/>
  <c r="I1126" i="19" s="1"/>
  <c r="I1117" i="19"/>
  <c r="I1124" i="19" s="1"/>
  <c r="M1121" i="19"/>
  <c r="M1132" i="19" s="1"/>
  <c r="J1122" i="19"/>
  <c r="J1134" i="19" s="1"/>
  <c r="I1119" i="19"/>
  <c r="I1128" i="19" s="1"/>
  <c r="J1117" i="19"/>
  <c r="J1124" i="19" s="1"/>
  <c r="K1121" i="19"/>
  <c r="K1132" i="19" s="1"/>
  <c r="M1119" i="19"/>
  <c r="M1128" i="19" s="1"/>
  <c r="M1118" i="19"/>
  <c r="M1126" i="19" s="1"/>
  <c r="K1118" i="19"/>
  <c r="K1126" i="19" s="1"/>
  <c r="J1118" i="19"/>
  <c r="J1126" i="19" s="1"/>
  <c r="I1122" i="19"/>
  <c r="I1120" i="19"/>
  <c r="M1122" i="19"/>
  <c r="J1120" i="19"/>
  <c r="J1130" i="19" s="1"/>
  <c r="K1122" i="19"/>
  <c r="K1134" i="19" s="1"/>
  <c r="I349" i="19"/>
  <c r="I358" i="19" s="1"/>
  <c r="K351" i="19"/>
  <c r="K362" i="19" s="1"/>
  <c r="I347" i="19"/>
  <c r="I354" i="19" s="1"/>
  <c r="M350" i="19"/>
  <c r="M360" i="19" s="1"/>
  <c r="K349" i="19"/>
  <c r="K358" i="19" s="1"/>
  <c r="I350" i="19"/>
  <c r="I360" i="19" s="1"/>
  <c r="J348" i="19"/>
  <c r="J356" i="19" s="1"/>
  <c r="M347" i="19"/>
  <c r="M354" i="19" s="1"/>
  <c r="K350" i="19"/>
  <c r="K360" i="19" s="1"/>
  <c r="K347" i="19"/>
  <c r="K354" i="19" s="1"/>
  <c r="J347" i="19"/>
  <c r="J354" i="19" s="1"/>
  <c r="J350" i="19"/>
  <c r="J360" i="19" s="1"/>
  <c r="M349" i="19"/>
  <c r="M358" i="19" s="1"/>
  <c r="K348" i="19"/>
  <c r="K356" i="19" s="1"/>
  <c r="J352" i="19"/>
  <c r="J364" i="19" s="1"/>
  <c r="M351" i="19"/>
  <c r="M362" i="19" s="1"/>
  <c r="I351" i="19"/>
  <c r="I362" i="19" s="1"/>
  <c r="K352" i="19"/>
  <c r="K364" i="19" s="1"/>
  <c r="M348" i="19"/>
  <c r="M356" i="19" s="1"/>
  <c r="M352" i="19"/>
  <c r="M364" i="19" s="1"/>
  <c r="I352" i="19"/>
  <c r="I364" i="19" s="1"/>
  <c r="J349" i="19"/>
  <c r="J358" i="19" s="1"/>
  <c r="I348" i="19"/>
  <c r="I356" i="19" s="1"/>
  <c r="J351" i="19"/>
  <c r="J362" i="19" s="1"/>
  <c r="Q14" i="10"/>
  <c r="M1888" i="19"/>
  <c r="M1896" i="19" s="1"/>
  <c r="M1891" i="19"/>
  <c r="M1902" i="19" s="1"/>
  <c r="J1887" i="19"/>
  <c r="J1894" i="19" s="1"/>
  <c r="I1887" i="19"/>
  <c r="I1894" i="19" s="1"/>
  <c r="M1892" i="19"/>
  <c r="M1904" i="19" s="1"/>
  <c r="I1888" i="19"/>
  <c r="I1896" i="19" s="1"/>
  <c r="J1890" i="19"/>
  <c r="J1900" i="19" s="1"/>
  <c r="M1887" i="19"/>
  <c r="M1894" i="19" s="1"/>
  <c r="M1889" i="19"/>
  <c r="M1898" i="19" s="1"/>
  <c r="K1888" i="19"/>
  <c r="K1896" i="19" s="1"/>
  <c r="M1890" i="19"/>
  <c r="M1900" i="19" s="1"/>
  <c r="K1892" i="19"/>
  <c r="K1904" i="19" s="1"/>
  <c r="K1889" i="19"/>
  <c r="K1898" i="19" s="1"/>
  <c r="J1889" i="19"/>
  <c r="J1898" i="19" s="1"/>
  <c r="K1891" i="19"/>
  <c r="K1902" i="19" s="1"/>
  <c r="I1890" i="19"/>
  <c r="I1892" i="19"/>
  <c r="J1888" i="19"/>
  <c r="J1896" i="19" s="1"/>
  <c r="J1891" i="19"/>
  <c r="J1902" i="19" s="1"/>
  <c r="I1891" i="19"/>
  <c r="I1902" i="19" s="1"/>
  <c r="K1887" i="19"/>
  <c r="K1894" i="19" s="1"/>
  <c r="J1892" i="19"/>
  <c r="J1904" i="19" s="1"/>
  <c r="I1889" i="19"/>
  <c r="I1898" i="19" s="1"/>
  <c r="K1890" i="19"/>
  <c r="K1900" i="19" s="1"/>
  <c r="J1012" i="19"/>
  <c r="J1024" i="19" s="1"/>
  <c r="K1007" i="19"/>
  <c r="K1014" i="19" s="1"/>
  <c r="J1008" i="19"/>
  <c r="J1016" i="19" s="1"/>
  <c r="K1008" i="19"/>
  <c r="K1016" i="19" s="1"/>
  <c r="K1010" i="19"/>
  <c r="K1020" i="19" s="1"/>
  <c r="J1011" i="19"/>
  <c r="J1022" i="19" s="1"/>
  <c r="I1012" i="19"/>
  <c r="I1010" i="19"/>
  <c r="J1010" i="19"/>
  <c r="J1020" i="19" s="1"/>
  <c r="K1012" i="19"/>
  <c r="K1024" i="19" s="1"/>
  <c r="I1008" i="19"/>
  <c r="I1016" i="19" s="1"/>
  <c r="M1010" i="19"/>
  <c r="M1020" i="19" s="1"/>
  <c r="M1011" i="19"/>
  <c r="M1022" i="19" s="1"/>
  <c r="M1007" i="19"/>
  <c r="I1009" i="19"/>
  <c r="I1018" i="19" s="1"/>
  <c r="M1009" i="19"/>
  <c r="M1018" i="19" s="1"/>
  <c r="I1011" i="19"/>
  <c r="I1022" i="19" s="1"/>
  <c r="I1007" i="19"/>
  <c r="I1014" i="19" s="1"/>
  <c r="K1009" i="19"/>
  <c r="K1018" i="19" s="1"/>
  <c r="K1011" i="19"/>
  <c r="K1022" i="19" s="1"/>
  <c r="J1009" i="19"/>
  <c r="J1018" i="19" s="1"/>
  <c r="M1008" i="19"/>
  <c r="M1016" i="19" s="1"/>
  <c r="M1012" i="19"/>
  <c r="M1024" i="19" s="1"/>
  <c r="J1007" i="19"/>
  <c r="J1014" i="19" s="1"/>
  <c r="J2547" i="19"/>
  <c r="J2554" i="19" s="1"/>
  <c r="K2552" i="19"/>
  <c r="K2564" i="19" s="1"/>
  <c r="I2547" i="19"/>
  <c r="I2554" i="19" s="1"/>
  <c r="M2552" i="19"/>
  <c r="M2564" i="19" s="1"/>
  <c r="I2548" i="19"/>
  <c r="I2556" i="19" s="1"/>
  <c r="M2549" i="19"/>
  <c r="M2548" i="19"/>
  <c r="J2551" i="19"/>
  <c r="J2562" i="19" s="1"/>
  <c r="M2547" i="19"/>
  <c r="J2550" i="19"/>
  <c r="J2560" i="19" s="1"/>
  <c r="I2550" i="19"/>
  <c r="K2547" i="19"/>
  <c r="K2554" i="19" s="1"/>
  <c r="I2551" i="19"/>
  <c r="I2562" i="19" s="1"/>
  <c r="K2549" i="19"/>
  <c r="K2558" i="19" s="1"/>
  <c r="I2552" i="19"/>
  <c r="M2550" i="19"/>
  <c r="M2560" i="19" s="1"/>
  <c r="I2549" i="19"/>
  <c r="I2558" i="19" s="1"/>
  <c r="J2552" i="19"/>
  <c r="J2564" i="19" s="1"/>
  <c r="J2549" i="19"/>
  <c r="J2558" i="19" s="1"/>
  <c r="J2548" i="19"/>
  <c r="J2556" i="19" s="1"/>
  <c r="K2550" i="19"/>
  <c r="K2560" i="19" s="1"/>
  <c r="K2548" i="19"/>
  <c r="K2556" i="19" s="1"/>
  <c r="M2551" i="19"/>
  <c r="M2562" i="19" s="1"/>
  <c r="K2551" i="19"/>
  <c r="K2562" i="19" s="1"/>
  <c r="L2723" i="19" l="1"/>
  <c r="L3002" i="19"/>
  <c r="N3002" i="19" s="1"/>
  <c r="AQ3002" i="19" s="1"/>
  <c r="L3057" i="19"/>
  <c r="N3057" i="19" s="1"/>
  <c r="AQ3057" i="19" s="1"/>
  <c r="M3006" i="19"/>
  <c r="X1966" i="20"/>
  <c r="J57" i="10" s="1"/>
  <c r="Q57" i="10" s="1"/>
  <c r="L3059" i="19"/>
  <c r="N3059" i="19" s="1"/>
  <c r="AQ3059" i="19" s="1"/>
  <c r="L3000" i="19"/>
  <c r="N3000" i="19" s="1"/>
  <c r="AQ3000" i="19" s="1"/>
  <c r="I3055" i="19"/>
  <c r="L3055" i="19" s="1"/>
  <c r="N3055" i="19" s="1"/>
  <c r="AQ3055" i="19" s="1"/>
  <c r="L2947" i="19"/>
  <c r="N2947" i="19" s="1"/>
  <c r="AQ2947" i="19" s="1"/>
  <c r="L2939" i="19"/>
  <c r="N2939" i="19" s="1"/>
  <c r="AQ2939" i="19" s="1"/>
  <c r="L3051" i="19"/>
  <c r="N3051" i="19" s="1"/>
  <c r="AQ3051" i="19" s="1"/>
  <c r="L2994" i="19"/>
  <c r="N2994" i="19" s="1"/>
  <c r="AQ2994" i="19" s="1"/>
  <c r="L2996" i="19"/>
  <c r="N2996" i="19" s="1"/>
  <c r="AQ2996" i="19" s="1"/>
  <c r="M2951" i="19"/>
  <c r="L2998" i="19"/>
  <c r="N2998" i="19" s="1"/>
  <c r="AQ2998" i="19" s="1"/>
  <c r="L3004" i="19"/>
  <c r="N3004" i="19" s="1"/>
  <c r="AQ3004" i="19" s="1"/>
  <c r="J3061" i="19"/>
  <c r="L2941" i="19"/>
  <c r="N2941" i="19" s="1"/>
  <c r="AQ2941" i="19" s="1"/>
  <c r="K3006" i="19"/>
  <c r="L2945" i="19"/>
  <c r="N2945" i="19" s="1"/>
  <c r="AQ2945" i="19" s="1"/>
  <c r="I2951" i="19"/>
  <c r="M3061" i="19"/>
  <c r="L2949" i="19"/>
  <c r="N2949" i="19" s="1"/>
  <c r="AQ2949" i="19" s="1"/>
  <c r="L3049" i="19"/>
  <c r="N3049" i="19" s="1"/>
  <c r="AQ3049" i="19" s="1"/>
  <c r="K3061" i="19"/>
  <c r="L3053" i="19"/>
  <c r="N3053" i="19" s="1"/>
  <c r="AQ3053" i="19" s="1"/>
  <c r="K2951" i="19"/>
  <c r="I3006" i="19"/>
  <c r="L2943" i="19"/>
  <c r="N2943" i="19" s="1"/>
  <c r="AQ2943" i="19" s="1"/>
  <c r="J3006" i="19"/>
  <c r="J2951" i="19"/>
  <c r="I2344" i="19"/>
  <c r="L2344" i="19" s="1"/>
  <c r="N2344" i="19" s="1"/>
  <c r="AQ2344" i="19" s="1"/>
  <c r="L2776" i="19"/>
  <c r="N2776" i="19" s="1"/>
  <c r="AQ2776" i="19" s="1"/>
  <c r="L2831" i="19"/>
  <c r="N2831" i="19" s="1"/>
  <c r="AQ2831" i="19" s="1"/>
  <c r="L2837" i="19"/>
  <c r="N2837" i="19" s="1"/>
  <c r="AQ2837" i="19" s="1"/>
  <c r="T53" i="11"/>
  <c r="L2888" i="19"/>
  <c r="N2888" i="19" s="1"/>
  <c r="AQ2888" i="19" s="1"/>
  <c r="K2786" i="19"/>
  <c r="L2892" i="19"/>
  <c r="N2892" i="19" s="1"/>
  <c r="AQ2892" i="19" s="1"/>
  <c r="J2841" i="19"/>
  <c r="M2841" i="19"/>
  <c r="L2884" i="19"/>
  <c r="N2884" i="19" s="1"/>
  <c r="AQ2884" i="19" s="1"/>
  <c r="L2782" i="19"/>
  <c r="N2782" i="19" s="1"/>
  <c r="AQ2782" i="19" s="1"/>
  <c r="D2034" i="20"/>
  <c r="Y2003" i="20" s="1"/>
  <c r="P58" i="10" s="1"/>
  <c r="X2003" i="20"/>
  <c r="J58" i="10" s="1"/>
  <c r="J2896" i="19"/>
  <c r="L2886" i="19"/>
  <c r="N2886" i="19" s="1"/>
  <c r="AQ2886" i="19" s="1"/>
  <c r="L2778" i="19"/>
  <c r="N2778" i="19" s="1"/>
  <c r="AQ2778" i="19" s="1"/>
  <c r="Q27" i="10"/>
  <c r="I2894" i="19"/>
  <c r="L2894" i="19" s="1"/>
  <c r="N2894" i="19" s="1"/>
  <c r="AQ2894" i="19" s="1"/>
  <c r="I2890" i="19"/>
  <c r="L2890" i="19" s="1"/>
  <c r="N2890" i="19" s="1"/>
  <c r="AQ2890" i="19" s="1"/>
  <c r="K2896" i="19"/>
  <c r="M2896" i="19"/>
  <c r="I2839" i="19"/>
  <c r="L2839" i="19" s="1"/>
  <c r="N2839" i="19" s="1"/>
  <c r="AQ2839" i="19" s="1"/>
  <c r="I2835" i="19"/>
  <c r="L2835" i="19" s="1"/>
  <c r="N2835" i="19" s="1"/>
  <c r="AQ2835" i="19" s="1"/>
  <c r="L2833" i="19"/>
  <c r="N2833" i="19" s="1"/>
  <c r="AQ2833" i="19" s="1"/>
  <c r="J2786" i="19"/>
  <c r="M2786" i="19"/>
  <c r="L2774" i="19"/>
  <c r="N2774" i="19" s="1"/>
  <c r="AQ2774" i="19" s="1"/>
  <c r="L2829" i="19"/>
  <c r="N2829" i="19" s="1"/>
  <c r="AQ2829" i="19" s="1"/>
  <c r="K2841" i="19"/>
  <c r="T129" i="11"/>
  <c r="D1886" i="20"/>
  <c r="Y1855" i="20" s="1"/>
  <c r="P54" i="10" s="1"/>
  <c r="X1855" i="20"/>
  <c r="J54" i="10" s="1"/>
  <c r="T136" i="11"/>
  <c r="D1923" i="20"/>
  <c r="Y1892" i="20" s="1"/>
  <c r="P55" i="10" s="1"/>
  <c r="X1892" i="20"/>
  <c r="J55" i="10" s="1"/>
  <c r="I2784" i="19"/>
  <c r="L2784" i="19" s="1"/>
  <c r="N2784" i="19" s="1"/>
  <c r="AQ2784" i="19" s="1"/>
  <c r="I2780" i="19"/>
  <c r="L2780" i="19" s="1"/>
  <c r="N2780" i="19" s="1"/>
  <c r="AQ2780" i="19" s="1"/>
  <c r="D2071" i="20"/>
  <c r="Y2040" i="20" s="1"/>
  <c r="P59" i="10" s="1"/>
  <c r="X2040" i="20"/>
  <c r="J59" i="10" s="1"/>
  <c r="T94" i="11"/>
  <c r="Q56" i="10"/>
  <c r="T90" i="11"/>
  <c r="L633" i="19"/>
  <c r="N633" i="19" s="1"/>
  <c r="AQ633" i="19" s="1"/>
  <c r="Q53" i="10"/>
  <c r="Q38" i="10"/>
  <c r="J2012" i="19"/>
  <c r="J2016" i="19" s="1"/>
  <c r="M2016" i="19"/>
  <c r="K2012" i="19"/>
  <c r="K2016" i="19" s="1"/>
  <c r="I2012" i="19"/>
  <c r="Q50" i="10"/>
  <c r="I745" i="19"/>
  <c r="L745" i="19" s="1"/>
  <c r="N745" i="19" s="1"/>
  <c r="AQ745" i="19" s="1"/>
  <c r="Q41" i="10"/>
  <c r="Q33" i="10"/>
  <c r="J44" i="10"/>
  <c r="T64" i="11" s="1"/>
  <c r="J21" i="10"/>
  <c r="Q21" i="10" s="1"/>
  <c r="J12" i="10"/>
  <c r="Q12" i="10" s="1"/>
  <c r="J47" i="10"/>
  <c r="J20" i="10"/>
  <c r="J52" i="10"/>
  <c r="T188" i="11" s="1"/>
  <c r="I2124" i="19"/>
  <c r="I2126" i="19" s="1"/>
  <c r="I474" i="19"/>
  <c r="L474" i="19" s="1"/>
  <c r="N474" i="19" s="1"/>
  <c r="AQ474" i="19" s="1"/>
  <c r="X1004" i="20"/>
  <c r="D665" i="20"/>
  <c r="Y634" i="20" s="1"/>
  <c r="P21" i="10" s="1"/>
  <c r="L2114" i="19"/>
  <c r="N2114" i="19" s="1"/>
  <c r="AQ2114" i="19" s="1"/>
  <c r="L464" i="19"/>
  <c r="N464" i="19" s="1"/>
  <c r="AQ464" i="19" s="1"/>
  <c r="L472" i="19"/>
  <c r="N472" i="19" s="1"/>
  <c r="AQ472" i="19" s="1"/>
  <c r="L466" i="19"/>
  <c r="N466" i="19" s="1"/>
  <c r="AQ466" i="19" s="1"/>
  <c r="L2116" i="19"/>
  <c r="N2116" i="19" s="1"/>
  <c r="AQ2116" i="19" s="1"/>
  <c r="J476" i="19"/>
  <c r="I525" i="19"/>
  <c r="I531" i="19" s="1"/>
  <c r="L2122" i="19"/>
  <c r="N2122" i="19" s="1"/>
  <c r="AQ2122" i="19" s="1"/>
  <c r="L2118" i="19"/>
  <c r="N2118" i="19" s="1"/>
  <c r="AQ2118" i="19" s="1"/>
  <c r="K476" i="19"/>
  <c r="L470" i="19"/>
  <c r="N470" i="19" s="1"/>
  <c r="AQ470" i="19" s="1"/>
  <c r="M476" i="19"/>
  <c r="L468" i="19"/>
  <c r="N468" i="19" s="1"/>
  <c r="AQ468" i="19" s="1"/>
  <c r="L1234" i="19"/>
  <c r="N1234" i="19" s="1"/>
  <c r="AQ1234" i="19" s="1"/>
  <c r="J531" i="19"/>
  <c r="M2126" i="19"/>
  <c r="L2342" i="19"/>
  <c r="N2342" i="19" s="1"/>
  <c r="AQ2342" i="19" s="1"/>
  <c r="K2126" i="19"/>
  <c r="X1633" i="20"/>
  <c r="I140" i="19"/>
  <c r="L140" i="19" s="1"/>
  <c r="N140" i="19" s="1"/>
  <c r="AQ140" i="19" s="1"/>
  <c r="I690" i="19"/>
  <c r="L690" i="19" s="1"/>
  <c r="N690" i="19" s="1"/>
  <c r="AQ690" i="19" s="1"/>
  <c r="M531" i="19"/>
  <c r="X1337" i="20"/>
  <c r="D739" i="20"/>
  <c r="Y708" i="20" s="1"/>
  <c r="P23" i="10" s="1"/>
  <c r="I2674" i="19"/>
  <c r="L2674" i="19" s="1"/>
  <c r="N2674" i="19" s="1"/>
  <c r="AQ2674" i="19" s="1"/>
  <c r="L527" i="19"/>
  <c r="N527" i="19" s="1"/>
  <c r="AQ527" i="19" s="1"/>
  <c r="J2126" i="19"/>
  <c r="L529" i="19"/>
  <c r="N529" i="19" s="1"/>
  <c r="AQ529" i="19" s="1"/>
  <c r="J641" i="19"/>
  <c r="L2120" i="19"/>
  <c r="N2120" i="19" s="1"/>
  <c r="AQ2120" i="19" s="1"/>
  <c r="L2509" i="19"/>
  <c r="N2509" i="19" s="1"/>
  <c r="AQ2509" i="19" s="1"/>
  <c r="K1246" i="19"/>
  <c r="J91" i="19"/>
  <c r="L2338" i="19"/>
  <c r="N2338" i="19" s="1"/>
  <c r="AQ2338" i="19" s="1"/>
  <c r="L694" i="19"/>
  <c r="N694" i="19" s="1"/>
  <c r="AQ694" i="19" s="1"/>
  <c r="L2507" i="19"/>
  <c r="N2507" i="19" s="1"/>
  <c r="AQ2507" i="19" s="1"/>
  <c r="L519" i="19"/>
  <c r="N519" i="19" s="1"/>
  <c r="AQ519" i="19" s="1"/>
  <c r="L2340" i="19"/>
  <c r="N2340" i="19" s="1"/>
  <c r="AQ2340" i="19" s="1"/>
  <c r="M696" i="19"/>
  <c r="K696" i="19"/>
  <c r="K531" i="19"/>
  <c r="L686" i="19"/>
  <c r="N686" i="19" s="1"/>
  <c r="AQ686" i="19" s="1"/>
  <c r="M641" i="19"/>
  <c r="L87" i="19"/>
  <c r="N87" i="19" s="1"/>
  <c r="AQ87" i="19" s="1"/>
  <c r="L81" i="19"/>
  <c r="N81" i="19" s="1"/>
  <c r="AQ81" i="19" s="1"/>
  <c r="L83" i="19"/>
  <c r="N83" i="19" s="1"/>
  <c r="AQ83" i="19" s="1"/>
  <c r="L523" i="19"/>
  <c r="N523" i="19" s="1"/>
  <c r="AQ523" i="19" s="1"/>
  <c r="L2668" i="19"/>
  <c r="N2668" i="19" s="1"/>
  <c r="AQ2668" i="19" s="1"/>
  <c r="L631" i="19"/>
  <c r="N631" i="19" s="1"/>
  <c r="AQ631" i="19" s="1"/>
  <c r="L2672" i="19"/>
  <c r="N2672" i="19" s="1"/>
  <c r="AQ2672" i="19" s="1"/>
  <c r="L79" i="19"/>
  <c r="N79" i="19" s="1"/>
  <c r="AQ79" i="19" s="1"/>
  <c r="X1670" i="20"/>
  <c r="I1244" i="19"/>
  <c r="L1244" i="19" s="1"/>
  <c r="N1244" i="19" s="1"/>
  <c r="AQ1244" i="19" s="1"/>
  <c r="M2346" i="19"/>
  <c r="L684" i="19"/>
  <c r="N684" i="19" s="1"/>
  <c r="AQ684" i="19" s="1"/>
  <c r="K2676" i="19"/>
  <c r="L2666" i="19"/>
  <c r="N2666" i="19" s="1"/>
  <c r="AQ2666" i="19" s="1"/>
  <c r="M2676" i="19"/>
  <c r="L2334" i="19"/>
  <c r="N2334" i="19" s="1"/>
  <c r="AQ2334" i="19" s="1"/>
  <c r="L688" i="19"/>
  <c r="N688" i="19" s="1"/>
  <c r="AQ688" i="19" s="1"/>
  <c r="L1792" i="19"/>
  <c r="N1792" i="19" s="1"/>
  <c r="AQ1792" i="19" s="1"/>
  <c r="I2505" i="19"/>
  <c r="I2511" i="19" s="1"/>
  <c r="L2503" i="19"/>
  <c r="N2503" i="19" s="1"/>
  <c r="AQ2503" i="19" s="1"/>
  <c r="L85" i="19"/>
  <c r="N85" i="19" s="1"/>
  <c r="AQ85" i="19" s="1"/>
  <c r="I635" i="19"/>
  <c r="L635" i="19" s="1"/>
  <c r="N635" i="19" s="1"/>
  <c r="AQ635" i="19" s="1"/>
  <c r="L2670" i="19"/>
  <c r="N2670" i="19" s="1"/>
  <c r="AQ2670" i="19" s="1"/>
  <c r="L521" i="19"/>
  <c r="N521" i="19" s="1"/>
  <c r="AQ521" i="19" s="1"/>
  <c r="L639" i="19"/>
  <c r="N639" i="19" s="1"/>
  <c r="AQ639" i="19" s="1"/>
  <c r="J2676" i="19"/>
  <c r="L89" i="19"/>
  <c r="N89" i="19" s="1"/>
  <c r="AQ89" i="19" s="1"/>
  <c r="D332" i="20"/>
  <c r="Y301" i="20" s="1"/>
  <c r="P12" i="10" s="1"/>
  <c r="L2664" i="19"/>
  <c r="N2664" i="19" s="1"/>
  <c r="AQ2664" i="19" s="1"/>
  <c r="L136" i="19"/>
  <c r="N136" i="19" s="1"/>
  <c r="AQ136" i="19" s="1"/>
  <c r="J2346" i="19"/>
  <c r="L692" i="19"/>
  <c r="N692" i="19" s="1"/>
  <c r="AQ692" i="19" s="1"/>
  <c r="K2346" i="19"/>
  <c r="L2336" i="19"/>
  <c r="N2336" i="19" s="1"/>
  <c r="AQ2336" i="19" s="1"/>
  <c r="K641" i="19"/>
  <c r="L637" i="19"/>
  <c r="N637" i="19" s="1"/>
  <c r="AQ637" i="19" s="1"/>
  <c r="K91" i="19"/>
  <c r="M91" i="19"/>
  <c r="L629" i="19"/>
  <c r="N629" i="19" s="1"/>
  <c r="AQ629" i="19" s="1"/>
  <c r="J696" i="19"/>
  <c r="K2511" i="19"/>
  <c r="L2501" i="19"/>
  <c r="N2501" i="19" s="1"/>
  <c r="AQ2501" i="19" s="1"/>
  <c r="L2499" i="19"/>
  <c r="N2499" i="19" s="1"/>
  <c r="AQ2499" i="19" s="1"/>
  <c r="L142" i="19"/>
  <c r="N142" i="19" s="1"/>
  <c r="AQ142" i="19" s="1"/>
  <c r="L1240" i="19"/>
  <c r="N1240" i="19" s="1"/>
  <c r="AQ1240" i="19" s="1"/>
  <c r="J146" i="19"/>
  <c r="K146" i="19"/>
  <c r="M146" i="19"/>
  <c r="J1246" i="19"/>
  <c r="L1238" i="19"/>
  <c r="N1238" i="19" s="1"/>
  <c r="AQ1238" i="19" s="1"/>
  <c r="L2171" i="19"/>
  <c r="N2171" i="19" s="1"/>
  <c r="AQ2171" i="19" s="1"/>
  <c r="L1236" i="19"/>
  <c r="N1236" i="19" s="1"/>
  <c r="AQ1236" i="19" s="1"/>
  <c r="M1246" i="19"/>
  <c r="J2511" i="19"/>
  <c r="L1242" i="19"/>
  <c r="N1242" i="19" s="1"/>
  <c r="AQ1242" i="19" s="1"/>
  <c r="D1331" i="20"/>
  <c r="Y1300" i="20" s="1"/>
  <c r="P39" i="10" s="1"/>
  <c r="L965" i="19"/>
  <c r="N965" i="19" s="1"/>
  <c r="AQ965" i="19" s="1"/>
  <c r="M2511" i="19"/>
  <c r="L134" i="19"/>
  <c r="N134" i="19" s="1"/>
  <c r="AQ134" i="19" s="1"/>
  <c r="L1682" i="19"/>
  <c r="N1682" i="19" s="1"/>
  <c r="AQ1682" i="19" s="1"/>
  <c r="L961" i="19"/>
  <c r="N961" i="19" s="1"/>
  <c r="AQ961" i="19" s="1"/>
  <c r="J421" i="19"/>
  <c r="L301" i="19"/>
  <c r="N301" i="19" s="1"/>
  <c r="AQ301" i="19" s="1"/>
  <c r="L138" i="19"/>
  <c r="N138" i="19" s="1"/>
  <c r="AQ138" i="19" s="1"/>
  <c r="L963" i="19"/>
  <c r="N963" i="19" s="1"/>
  <c r="AQ963" i="19" s="1"/>
  <c r="L144" i="19"/>
  <c r="N144" i="19" s="1"/>
  <c r="AQ144" i="19" s="1"/>
  <c r="L1568" i="19"/>
  <c r="N1568" i="19" s="1"/>
  <c r="AQ1568" i="19" s="1"/>
  <c r="L1678" i="19"/>
  <c r="N1678" i="19" s="1"/>
  <c r="AQ1678" i="19" s="1"/>
  <c r="M971" i="19"/>
  <c r="K861" i="19"/>
  <c r="L1407" i="19"/>
  <c r="N1407" i="19" s="1"/>
  <c r="AQ1407" i="19" s="1"/>
  <c r="L1403" i="19"/>
  <c r="N1403" i="19" s="1"/>
  <c r="AQ1403" i="19" s="1"/>
  <c r="K1411" i="19"/>
  <c r="M1411" i="19"/>
  <c r="K1081" i="19"/>
  <c r="L1073" i="19"/>
  <c r="N1073" i="19" s="1"/>
  <c r="AQ1073" i="19" s="1"/>
  <c r="L1572" i="19"/>
  <c r="N1572" i="19" s="1"/>
  <c r="AQ1572" i="19" s="1"/>
  <c r="J1851" i="19"/>
  <c r="L1843" i="19"/>
  <c r="N1843" i="19" s="1"/>
  <c r="AQ1843" i="19" s="1"/>
  <c r="L1841" i="19"/>
  <c r="N1841" i="19" s="1"/>
  <c r="AQ1841" i="19" s="1"/>
  <c r="L417" i="19"/>
  <c r="N417" i="19" s="1"/>
  <c r="AQ417" i="19" s="1"/>
  <c r="I1409" i="19"/>
  <c r="L1409" i="19" s="1"/>
  <c r="N1409" i="19" s="1"/>
  <c r="AQ1409" i="19" s="1"/>
  <c r="I1405" i="19"/>
  <c r="L1405" i="19" s="1"/>
  <c r="N1405" i="19" s="1"/>
  <c r="AQ1405" i="19" s="1"/>
  <c r="L853" i="19"/>
  <c r="N853" i="19" s="1"/>
  <c r="AQ853" i="19" s="1"/>
  <c r="M861" i="19"/>
  <c r="M1686" i="19"/>
  <c r="L2177" i="19"/>
  <c r="N2177" i="19" s="1"/>
  <c r="AQ2177" i="19" s="1"/>
  <c r="I415" i="19"/>
  <c r="L415" i="19" s="1"/>
  <c r="N415" i="19" s="1"/>
  <c r="AQ415" i="19" s="1"/>
  <c r="I419" i="19"/>
  <c r="L419" i="19" s="1"/>
  <c r="N419" i="19" s="1"/>
  <c r="AQ419" i="19" s="1"/>
  <c r="K421" i="19"/>
  <c r="L411" i="19"/>
  <c r="N411" i="19" s="1"/>
  <c r="AQ411" i="19" s="1"/>
  <c r="L2008" i="19"/>
  <c r="N2008" i="19" s="1"/>
  <c r="AQ2008" i="19" s="1"/>
  <c r="Q25" i="10"/>
  <c r="Q39" i="10"/>
  <c r="J1411" i="19"/>
  <c r="X819" i="20"/>
  <c r="J26" i="10" s="1"/>
  <c r="D850" i="20"/>
  <c r="Y819" i="20" s="1"/>
  <c r="P26" i="10" s="1"/>
  <c r="J1081" i="19"/>
  <c r="I1079" i="19"/>
  <c r="L1079" i="19" s="1"/>
  <c r="N1079" i="19" s="1"/>
  <c r="AQ1079" i="19" s="1"/>
  <c r="I1075" i="19"/>
  <c r="L1077" i="19"/>
  <c r="N1077" i="19" s="1"/>
  <c r="AQ1077" i="19" s="1"/>
  <c r="L303" i="19"/>
  <c r="N303" i="19" s="1"/>
  <c r="AQ303" i="19" s="1"/>
  <c r="Q23" i="10"/>
  <c r="X449" i="20"/>
  <c r="J16" i="10" s="1"/>
  <c r="D480" i="20"/>
  <c r="Y449" i="20" s="1"/>
  <c r="P16" i="10" s="1"/>
  <c r="X190" i="20"/>
  <c r="D221" i="20"/>
  <c r="Y190" i="20" s="1"/>
  <c r="P9" i="10" s="1"/>
  <c r="L1564" i="19"/>
  <c r="N1564" i="19" s="1"/>
  <c r="AQ1564" i="19" s="1"/>
  <c r="I1849" i="19"/>
  <c r="L1849" i="19" s="1"/>
  <c r="N1849" i="19" s="1"/>
  <c r="AQ1849" i="19" s="1"/>
  <c r="I1845" i="19"/>
  <c r="L1845" i="19" s="1"/>
  <c r="N1845" i="19" s="1"/>
  <c r="AQ1845" i="19" s="1"/>
  <c r="J861" i="19"/>
  <c r="D1479" i="20"/>
  <c r="Y1448" i="20" s="1"/>
  <c r="P43" i="10" s="1"/>
  <c r="X1448" i="20"/>
  <c r="J43" i="10" s="1"/>
  <c r="I1684" i="19"/>
  <c r="L1684" i="19" s="1"/>
  <c r="N1684" i="19" s="1"/>
  <c r="AQ1684" i="19" s="1"/>
  <c r="I1680" i="19"/>
  <c r="L1680" i="19" s="1"/>
  <c r="N1680" i="19" s="1"/>
  <c r="AQ1680" i="19" s="1"/>
  <c r="J2181" i="19"/>
  <c r="I2175" i="19"/>
  <c r="L2175" i="19" s="1"/>
  <c r="N2175" i="19" s="1"/>
  <c r="AQ2175" i="19" s="1"/>
  <c r="I2179" i="19"/>
  <c r="L2179" i="19" s="1"/>
  <c r="N2179" i="19" s="1"/>
  <c r="AQ2179" i="19" s="1"/>
  <c r="M2181" i="19"/>
  <c r="L959" i="19"/>
  <c r="N959" i="19" s="1"/>
  <c r="AQ959" i="19" s="1"/>
  <c r="I971" i="19"/>
  <c r="J971" i="19"/>
  <c r="M421" i="19"/>
  <c r="L409" i="19"/>
  <c r="N409" i="19" s="1"/>
  <c r="AQ409" i="19" s="1"/>
  <c r="L2004" i="19"/>
  <c r="N2004" i="19" s="1"/>
  <c r="AQ2004" i="19" s="1"/>
  <c r="L1401" i="19"/>
  <c r="N1401" i="19" s="1"/>
  <c r="AQ1401" i="19" s="1"/>
  <c r="L1399" i="19"/>
  <c r="N1399" i="19" s="1"/>
  <c r="AQ1399" i="19" s="1"/>
  <c r="X930" i="20"/>
  <c r="J29" i="10" s="1"/>
  <c r="D961" i="20"/>
  <c r="Y930" i="20" s="1"/>
  <c r="P29" i="10" s="1"/>
  <c r="L1071" i="19"/>
  <c r="N1071" i="19" s="1"/>
  <c r="AQ1071" i="19" s="1"/>
  <c r="L1069" i="19"/>
  <c r="N1069" i="19" s="1"/>
  <c r="AQ1069" i="19" s="1"/>
  <c r="J311" i="19"/>
  <c r="L299" i="19"/>
  <c r="N299" i="19" s="1"/>
  <c r="AQ299" i="19" s="1"/>
  <c r="I311" i="19"/>
  <c r="K311" i="19"/>
  <c r="L307" i="19"/>
  <c r="N307" i="19" s="1"/>
  <c r="AQ307" i="19" s="1"/>
  <c r="M1576" i="19"/>
  <c r="L1566" i="19"/>
  <c r="N1566" i="19" s="1"/>
  <c r="AQ1566" i="19" s="1"/>
  <c r="L1847" i="19"/>
  <c r="N1847" i="19" s="1"/>
  <c r="AQ1847" i="19" s="1"/>
  <c r="L1839" i="19"/>
  <c r="N1839" i="19" s="1"/>
  <c r="AQ1839" i="19" s="1"/>
  <c r="M1851" i="19"/>
  <c r="K1851" i="19"/>
  <c r="L857" i="19"/>
  <c r="N857" i="19" s="1"/>
  <c r="AQ857" i="19" s="1"/>
  <c r="L851" i="19"/>
  <c r="N851" i="19" s="1"/>
  <c r="AQ851" i="19" s="1"/>
  <c r="X338" i="20"/>
  <c r="D369" i="20"/>
  <c r="Y338" i="20" s="1"/>
  <c r="P13" i="10" s="1"/>
  <c r="X560" i="20"/>
  <c r="D591" i="20"/>
  <c r="Y560" i="20" s="1"/>
  <c r="P19" i="10" s="1"/>
  <c r="J1686" i="19"/>
  <c r="L1676" i="19"/>
  <c r="N1676" i="19" s="1"/>
  <c r="AQ1676" i="19" s="1"/>
  <c r="L2169" i="19"/>
  <c r="N2169" i="19" s="1"/>
  <c r="AQ2169" i="19" s="1"/>
  <c r="L967" i="19"/>
  <c r="N967" i="19" s="1"/>
  <c r="AQ967" i="19" s="1"/>
  <c r="L413" i="19"/>
  <c r="N413" i="19" s="1"/>
  <c r="AQ413" i="19" s="1"/>
  <c r="I2014" i="19"/>
  <c r="L2014" i="19" s="1"/>
  <c r="N2014" i="19" s="1"/>
  <c r="AQ2014" i="19" s="1"/>
  <c r="I2010" i="19"/>
  <c r="L2010" i="19" s="1"/>
  <c r="N2010" i="19" s="1"/>
  <c r="AQ2010" i="19" s="1"/>
  <c r="X79" i="20"/>
  <c r="D110" i="20"/>
  <c r="Y79" i="20" s="1"/>
  <c r="P6" i="10" s="1"/>
  <c r="Q36" i="10"/>
  <c r="L248" i="19"/>
  <c r="N248" i="19" s="1"/>
  <c r="AQ248" i="19" s="1"/>
  <c r="M1081" i="19"/>
  <c r="L309" i="19"/>
  <c r="N309" i="19" s="1"/>
  <c r="AQ309" i="19" s="1"/>
  <c r="M311" i="19"/>
  <c r="L305" i="19"/>
  <c r="N305" i="19" s="1"/>
  <c r="AQ305" i="19" s="1"/>
  <c r="Q32" i="10"/>
  <c r="D1590" i="20"/>
  <c r="Y1559" i="20" s="1"/>
  <c r="P46" i="10" s="1"/>
  <c r="X1559" i="20"/>
  <c r="J46" i="10" s="1"/>
  <c r="X1115" i="20"/>
  <c r="J34" i="10" s="1"/>
  <c r="D1146" i="20"/>
  <c r="Y1115" i="20" s="1"/>
  <c r="P34" i="10" s="1"/>
  <c r="J1576" i="19"/>
  <c r="I1574" i="19"/>
  <c r="L1574" i="19" s="1"/>
  <c r="N1574" i="19" s="1"/>
  <c r="AQ1574" i="19" s="1"/>
  <c r="I1570" i="19"/>
  <c r="L1570" i="19" s="1"/>
  <c r="N1570" i="19" s="1"/>
  <c r="AQ1570" i="19" s="1"/>
  <c r="K1576" i="19"/>
  <c r="L849" i="19"/>
  <c r="N849" i="19" s="1"/>
  <c r="AQ849" i="19" s="1"/>
  <c r="I859" i="19"/>
  <c r="L859" i="19" s="1"/>
  <c r="N859" i="19" s="1"/>
  <c r="AQ859" i="19" s="1"/>
  <c r="I855" i="19"/>
  <c r="L855" i="19" s="1"/>
  <c r="N855" i="19" s="1"/>
  <c r="AQ855" i="19" s="1"/>
  <c r="D1257" i="20"/>
  <c r="Y1226" i="20" s="1"/>
  <c r="P37" i="10" s="1"/>
  <c r="X1226" i="20"/>
  <c r="J37" i="10" s="1"/>
  <c r="L1674" i="19"/>
  <c r="N1674" i="19" s="1"/>
  <c r="AQ1674" i="19" s="1"/>
  <c r="K1686" i="19"/>
  <c r="K2181" i="19"/>
  <c r="L2173" i="19"/>
  <c r="N2173" i="19" s="1"/>
  <c r="AQ2173" i="19" s="1"/>
  <c r="K971" i="19"/>
  <c r="L969" i="19"/>
  <c r="N969" i="19" s="1"/>
  <c r="AQ969" i="19" s="1"/>
  <c r="X264" i="20"/>
  <c r="J11" i="10" s="1"/>
  <c r="D295" i="20"/>
  <c r="Y264" i="20" s="1"/>
  <c r="P11" i="10" s="1"/>
  <c r="L2006" i="19"/>
  <c r="N2006" i="19" s="1"/>
  <c r="AQ2006" i="19" s="1"/>
  <c r="L802" i="19"/>
  <c r="N802" i="19" s="1"/>
  <c r="AQ802" i="19" s="1"/>
  <c r="K806" i="19"/>
  <c r="L798" i="19"/>
  <c r="N798" i="19" s="1"/>
  <c r="AQ798" i="19" s="1"/>
  <c r="L1513" i="19"/>
  <c r="N1513" i="19" s="1"/>
  <c r="AQ1513" i="19" s="1"/>
  <c r="L1187" i="19"/>
  <c r="N1187" i="19" s="1"/>
  <c r="AQ1187" i="19" s="1"/>
  <c r="L2611" i="19"/>
  <c r="N2611" i="19" s="1"/>
  <c r="AQ2611" i="19" s="1"/>
  <c r="J1796" i="19"/>
  <c r="L2446" i="19"/>
  <c r="N2446" i="19" s="1"/>
  <c r="AQ2446" i="19" s="1"/>
  <c r="I61" i="10"/>
  <c r="L1348" i="19"/>
  <c r="N1348" i="19" s="1"/>
  <c r="AQ1348" i="19" s="1"/>
  <c r="L1346" i="19"/>
  <c r="N1346" i="19" s="1"/>
  <c r="AQ1346" i="19" s="1"/>
  <c r="K2621" i="19"/>
  <c r="L1179" i="19"/>
  <c r="N1179" i="19" s="1"/>
  <c r="AQ1179" i="19" s="1"/>
  <c r="I2454" i="19"/>
  <c r="L2454" i="19" s="1"/>
  <c r="N2454" i="19" s="1"/>
  <c r="AQ2454" i="19" s="1"/>
  <c r="I2450" i="19"/>
  <c r="L2450" i="19" s="1"/>
  <c r="N2450" i="19" s="1"/>
  <c r="AQ2450" i="19" s="1"/>
  <c r="I91" i="19"/>
  <c r="L794" i="19"/>
  <c r="N794" i="19" s="1"/>
  <c r="AQ794" i="19" s="1"/>
  <c r="X893" i="20"/>
  <c r="D924" i="20"/>
  <c r="Y893" i="20" s="1"/>
  <c r="P28" i="10" s="1"/>
  <c r="X523" i="20"/>
  <c r="J18" i="10" s="1"/>
  <c r="D554" i="20"/>
  <c r="Y523" i="20" s="1"/>
  <c r="P18" i="10" s="1"/>
  <c r="L1183" i="19"/>
  <c r="N1183" i="19" s="1"/>
  <c r="AQ1183" i="19" s="1"/>
  <c r="M1191" i="19"/>
  <c r="M2456" i="19"/>
  <c r="K2456" i="19"/>
  <c r="I1350" i="19"/>
  <c r="L1350" i="19" s="1"/>
  <c r="N1350" i="19" s="1"/>
  <c r="AQ1350" i="19" s="1"/>
  <c r="I1354" i="19"/>
  <c r="L1354" i="19" s="1"/>
  <c r="N1354" i="19" s="1"/>
  <c r="AQ1354" i="19" s="1"/>
  <c r="L1344" i="19"/>
  <c r="N1344" i="19" s="1"/>
  <c r="AQ1344" i="19" s="1"/>
  <c r="J2621" i="19"/>
  <c r="X42" i="20"/>
  <c r="J5" i="10" s="1"/>
  <c r="D73" i="20"/>
  <c r="Y42" i="20" s="1"/>
  <c r="P5" i="10" s="1"/>
  <c r="I804" i="19"/>
  <c r="L804" i="19" s="1"/>
  <c r="N804" i="19" s="1"/>
  <c r="AQ804" i="19" s="1"/>
  <c r="I800" i="19"/>
  <c r="L800" i="19" s="1"/>
  <c r="N800" i="19" s="1"/>
  <c r="AQ800" i="19" s="1"/>
  <c r="K256" i="19"/>
  <c r="L244" i="19"/>
  <c r="N244" i="19" s="1"/>
  <c r="AQ244" i="19" s="1"/>
  <c r="M256" i="19"/>
  <c r="L1786" i="19"/>
  <c r="N1786" i="19" s="1"/>
  <c r="AQ1786" i="19" s="1"/>
  <c r="K1796" i="19"/>
  <c r="K1521" i="19"/>
  <c r="J1191" i="19"/>
  <c r="L2452" i="19"/>
  <c r="N2452" i="19" s="1"/>
  <c r="AQ2452" i="19" s="1"/>
  <c r="D1442" i="20"/>
  <c r="Y1411" i="20" s="1"/>
  <c r="P42" i="10" s="1"/>
  <c r="X1411" i="20"/>
  <c r="K1356" i="19"/>
  <c r="J1356" i="19"/>
  <c r="I2619" i="19"/>
  <c r="L2619" i="19" s="1"/>
  <c r="N2619" i="19" s="1"/>
  <c r="AQ2619" i="19" s="1"/>
  <c r="I2615" i="19"/>
  <c r="L2617" i="19"/>
  <c r="N2617" i="19" s="1"/>
  <c r="AQ2617" i="19" s="1"/>
  <c r="L2609" i="19"/>
  <c r="N2609" i="19" s="1"/>
  <c r="AQ2609" i="19" s="1"/>
  <c r="J806" i="19"/>
  <c r="J256" i="19"/>
  <c r="L252" i="19"/>
  <c r="N252" i="19" s="1"/>
  <c r="AQ252" i="19" s="1"/>
  <c r="L246" i="19"/>
  <c r="N246" i="19" s="1"/>
  <c r="AQ246" i="19" s="1"/>
  <c r="I250" i="19"/>
  <c r="L250" i="19" s="1"/>
  <c r="N250" i="19" s="1"/>
  <c r="AQ250" i="19" s="1"/>
  <c r="I254" i="19"/>
  <c r="L254" i="19" s="1"/>
  <c r="N254" i="19" s="1"/>
  <c r="AQ254" i="19" s="1"/>
  <c r="M1796" i="19"/>
  <c r="L1788" i="19"/>
  <c r="N1788" i="19" s="1"/>
  <c r="AQ1788" i="19" s="1"/>
  <c r="L1509" i="19"/>
  <c r="N1509" i="19" s="1"/>
  <c r="AQ1509" i="19" s="1"/>
  <c r="I1185" i="19"/>
  <c r="L1185" i="19" s="1"/>
  <c r="N1185" i="19" s="1"/>
  <c r="AQ1185" i="19" s="1"/>
  <c r="I1189" i="19"/>
  <c r="L1189" i="19" s="1"/>
  <c r="N1189" i="19" s="1"/>
  <c r="AQ1189" i="19" s="1"/>
  <c r="L1517" i="19"/>
  <c r="N1517" i="19" s="1"/>
  <c r="AQ1517" i="19" s="1"/>
  <c r="K1191" i="19"/>
  <c r="L1181" i="19"/>
  <c r="N1181" i="19" s="1"/>
  <c r="AQ1181" i="19" s="1"/>
  <c r="J2456" i="19"/>
  <c r="L2444" i="19"/>
  <c r="N2444" i="19" s="1"/>
  <c r="AQ2444" i="19" s="1"/>
  <c r="L2448" i="19"/>
  <c r="N2448" i="19" s="1"/>
  <c r="AQ2448" i="19" s="1"/>
  <c r="X1744" i="20"/>
  <c r="D1775" i="20"/>
  <c r="Y1744" i="20" s="1"/>
  <c r="P51" i="10" s="1"/>
  <c r="L1352" i="19"/>
  <c r="N1352" i="19" s="1"/>
  <c r="AQ1352" i="19" s="1"/>
  <c r="M1356" i="19"/>
  <c r="M2621" i="19"/>
  <c r="L2613" i="19"/>
  <c r="N2613" i="19" s="1"/>
  <c r="AQ2613" i="19" s="1"/>
  <c r="X1522" i="20"/>
  <c r="D1553" i="20"/>
  <c r="Y1522" i="20" s="1"/>
  <c r="P45" i="10" s="1"/>
  <c r="X412" i="20"/>
  <c r="D443" i="20"/>
  <c r="Y412" i="20" s="1"/>
  <c r="P15" i="10" s="1"/>
  <c r="I2291" i="19"/>
  <c r="L2291" i="19" s="1"/>
  <c r="N2291" i="19" s="1"/>
  <c r="AQ2291" i="19" s="1"/>
  <c r="L796" i="19"/>
  <c r="N796" i="19" s="1"/>
  <c r="AQ796" i="19" s="1"/>
  <c r="M806" i="19"/>
  <c r="X153" i="20"/>
  <c r="J8" i="10" s="1"/>
  <c r="T28" i="11" s="1"/>
  <c r="D184" i="20"/>
  <c r="Y153" i="20" s="1"/>
  <c r="P8" i="10" s="1"/>
  <c r="I1794" i="19"/>
  <c r="L1794" i="19" s="1"/>
  <c r="N1794" i="19" s="1"/>
  <c r="AQ1794" i="19" s="1"/>
  <c r="I1790" i="19"/>
  <c r="L1784" i="19"/>
  <c r="N1784" i="19" s="1"/>
  <c r="AQ1784" i="19" s="1"/>
  <c r="J1521" i="19"/>
  <c r="I1519" i="19"/>
  <c r="L1519" i="19" s="1"/>
  <c r="N1519" i="19" s="1"/>
  <c r="AQ1519" i="19" s="1"/>
  <c r="I1515" i="19"/>
  <c r="M1521" i="19"/>
  <c r="L1511" i="19"/>
  <c r="N1511" i="19" s="1"/>
  <c r="AQ1511" i="19" s="1"/>
  <c r="X5" i="20"/>
  <c r="I1460" i="19"/>
  <c r="I1466" i="19" s="1"/>
  <c r="L739" i="19"/>
  <c r="N739" i="19" s="1"/>
  <c r="AQ739" i="19" s="1"/>
  <c r="I2399" i="19"/>
  <c r="I2401" i="19" s="1"/>
  <c r="L1733" i="19"/>
  <c r="N1733" i="19" s="1"/>
  <c r="AQ1733" i="19" s="1"/>
  <c r="L749" i="19"/>
  <c r="N749" i="19" s="1"/>
  <c r="AQ749" i="19" s="1"/>
  <c r="L1458" i="19"/>
  <c r="N1458" i="19" s="1"/>
  <c r="AQ1458" i="19" s="1"/>
  <c r="I34" i="19"/>
  <c r="I36" i="19" s="1"/>
  <c r="K751" i="19"/>
  <c r="L743" i="19"/>
  <c r="N743" i="19" s="1"/>
  <c r="AQ743" i="19" s="1"/>
  <c r="L747" i="19"/>
  <c r="N747" i="19" s="1"/>
  <c r="AQ747" i="19" s="1"/>
  <c r="L24" i="19"/>
  <c r="N24" i="19" s="1"/>
  <c r="AQ24" i="19" s="1"/>
  <c r="L1627" i="19"/>
  <c r="N1627" i="19" s="1"/>
  <c r="AQ1627" i="19" s="1"/>
  <c r="J751" i="19"/>
  <c r="M751" i="19"/>
  <c r="L741" i="19"/>
  <c r="N741" i="19" s="1"/>
  <c r="AQ741" i="19" s="1"/>
  <c r="L2226" i="19"/>
  <c r="N2226" i="19" s="1"/>
  <c r="AQ2226" i="19" s="1"/>
  <c r="L2391" i="19"/>
  <c r="N2391" i="19" s="1"/>
  <c r="AQ2391" i="19" s="1"/>
  <c r="L1464" i="19"/>
  <c r="N1464" i="19" s="1"/>
  <c r="AQ1464" i="19" s="1"/>
  <c r="L1621" i="19"/>
  <c r="N1621" i="19" s="1"/>
  <c r="AQ1621" i="19" s="1"/>
  <c r="L1629" i="19"/>
  <c r="N1629" i="19" s="1"/>
  <c r="AQ1629" i="19" s="1"/>
  <c r="L32" i="19"/>
  <c r="N32" i="19" s="1"/>
  <c r="AQ32" i="19" s="1"/>
  <c r="K36" i="19"/>
  <c r="L906" i="19"/>
  <c r="N906" i="19" s="1"/>
  <c r="AQ906" i="19" s="1"/>
  <c r="M36" i="19"/>
  <c r="J2401" i="19"/>
  <c r="L28" i="19"/>
  <c r="N28" i="19" s="1"/>
  <c r="AQ28" i="19" s="1"/>
  <c r="L2395" i="19"/>
  <c r="N2395" i="19" s="1"/>
  <c r="AQ2395" i="19" s="1"/>
  <c r="L1729" i="19"/>
  <c r="N1729" i="19" s="1"/>
  <c r="AQ1729" i="19" s="1"/>
  <c r="M916" i="19"/>
  <c r="L910" i="19"/>
  <c r="N910" i="19" s="1"/>
  <c r="AQ910" i="19" s="1"/>
  <c r="I1739" i="19"/>
  <c r="L1739" i="19" s="1"/>
  <c r="N1739" i="19" s="1"/>
  <c r="AQ1739" i="19" s="1"/>
  <c r="J916" i="19"/>
  <c r="K1631" i="19"/>
  <c r="L2389" i="19"/>
  <c r="N2389" i="19" s="1"/>
  <c r="AQ2389" i="19" s="1"/>
  <c r="J1741" i="19"/>
  <c r="L2393" i="19"/>
  <c r="N2393" i="19" s="1"/>
  <c r="AQ2393" i="19" s="1"/>
  <c r="L2397" i="19"/>
  <c r="N2397" i="19" s="1"/>
  <c r="AQ2397" i="19" s="1"/>
  <c r="J36" i="19"/>
  <c r="L1731" i="19"/>
  <c r="N1731" i="19" s="1"/>
  <c r="AQ1731" i="19" s="1"/>
  <c r="J1631" i="19"/>
  <c r="L26" i="19"/>
  <c r="N26" i="19" s="1"/>
  <c r="AQ26" i="19" s="1"/>
  <c r="M1741" i="19"/>
  <c r="L1737" i="19"/>
  <c r="N1737" i="19" s="1"/>
  <c r="AQ1737" i="19" s="1"/>
  <c r="L30" i="19"/>
  <c r="N30" i="19" s="1"/>
  <c r="AQ30" i="19" s="1"/>
  <c r="K1741" i="19"/>
  <c r="L1735" i="19"/>
  <c r="N1735" i="19" s="1"/>
  <c r="AQ1735" i="19" s="1"/>
  <c r="M2236" i="19"/>
  <c r="N1623" i="19"/>
  <c r="AQ1623" i="19" s="1"/>
  <c r="L1454" i="19"/>
  <c r="N1454" i="19" s="1"/>
  <c r="AQ1454" i="19" s="1"/>
  <c r="M1631" i="19"/>
  <c r="I916" i="19"/>
  <c r="J1466" i="19"/>
  <c r="M2401" i="19"/>
  <c r="K2401" i="19"/>
  <c r="L912" i="19"/>
  <c r="N912" i="19" s="1"/>
  <c r="AQ912" i="19" s="1"/>
  <c r="L1295" i="19"/>
  <c r="N1295" i="19" s="1"/>
  <c r="AQ1295" i="19" s="1"/>
  <c r="L1619" i="19"/>
  <c r="N1619" i="19" s="1"/>
  <c r="AQ1619" i="19" s="1"/>
  <c r="I1625" i="19"/>
  <c r="I1631" i="19" s="1"/>
  <c r="L1291" i="19"/>
  <c r="N1291" i="19" s="1"/>
  <c r="AQ1291" i="19" s="1"/>
  <c r="L904" i="19"/>
  <c r="N904" i="19" s="1"/>
  <c r="AQ904" i="19" s="1"/>
  <c r="L1462" i="19"/>
  <c r="N1462" i="19" s="1"/>
  <c r="AQ1462" i="19" s="1"/>
  <c r="L1456" i="19"/>
  <c r="N1456" i="19" s="1"/>
  <c r="AQ1456" i="19" s="1"/>
  <c r="M1466" i="19"/>
  <c r="L908" i="19"/>
  <c r="N908" i="19" s="1"/>
  <c r="AQ908" i="19" s="1"/>
  <c r="K1466" i="19"/>
  <c r="M1301" i="19"/>
  <c r="I1299" i="19"/>
  <c r="L1299" i="19" s="1"/>
  <c r="N1299" i="19" s="1"/>
  <c r="AQ1299" i="19" s="1"/>
  <c r="K916" i="19"/>
  <c r="I2230" i="19"/>
  <c r="L2230" i="19" s="1"/>
  <c r="N2230" i="19" s="1"/>
  <c r="AQ2230" i="19" s="1"/>
  <c r="L914" i="19"/>
  <c r="N914" i="19" s="1"/>
  <c r="AQ914" i="19" s="1"/>
  <c r="L1128" i="19"/>
  <c r="N1128" i="19" s="1"/>
  <c r="AQ1128" i="19" s="1"/>
  <c r="L1126" i="19"/>
  <c r="N1126" i="19" s="1"/>
  <c r="AQ1126" i="19" s="1"/>
  <c r="K1301" i="19"/>
  <c r="L362" i="19"/>
  <c r="N362" i="19" s="1"/>
  <c r="AQ362" i="19" s="1"/>
  <c r="L193" i="19"/>
  <c r="N193" i="19" s="1"/>
  <c r="AQ193" i="19" s="1"/>
  <c r="L1016" i="19"/>
  <c r="N1016" i="19" s="1"/>
  <c r="AQ1016" i="19" s="1"/>
  <c r="J1301" i="19"/>
  <c r="J2236" i="19"/>
  <c r="L1297" i="19"/>
  <c r="N1297" i="19" s="1"/>
  <c r="AQ1297" i="19" s="1"/>
  <c r="L1289" i="19"/>
  <c r="N1289" i="19" s="1"/>
  <c r="AQ1289" i="19" s="1"/>
  <c r="K2236" i="19"/>
  <c r="L2234" i="19"/>
  <c r="N2234" i="19" s="1"/>
  <c r="AQ2234" i="19" s="1"/>
  <c r="L2224" i="19"/>
  <c r="N2224" i="19" s="1"/>
  <c r="AQ2224" i="19" s="1"/>
  <c r="L1293" i="19"/>
  <c r="N1293" i="19" s="1"/>
  <c r="AQ1293" i="19" s="1"/>
  <c r="L364" i="19"/>
  <c r="N364" i="19" s="1"/>
  <c r="AQ364" i="19" s="1"/>
  <c r="L582" i="19"/>
  <c r="N582" i="19" s="1"/>
  <c r="AQ582" i="19" s="1"/>
  <c r="L578" i="19"/>
  <c r="N578" i="19" s="1"/>
  <c r="AQ578" i="19" s="1"/>
  <c r="L2228" i="19"/>
  <c r="N2228" i="19" s="1"/>
  <c r="AQ2228" i="19" s="1"/>
  <c r="L2727" i="19"/>
  <c r="N2727" i="19" s="1"/>
  <c r="AQ2727" i="19" s="1"/>
  <c r="L2232" i="19"/>
  <c r="N2232" i="19" s="1"/>
  <c r="AQ2232" i="19" s="1"/>
  <c r="L1022" i="19"/>
  <c r="N1022" i="19" s="1"/>
  <c r="AQ1022" i="19" s="1"/>
  <c r="L1902" i="19"/>
  <c r="N1902" i="19" s="1"/>
  <c r="AQ1902" i="19" s="1"/>
  <c r="K2071" i="19"/>
  <c r="L2067" i="19"/>
  <c r="N2067" i="19" s="1"/>
  <c r="AQ2067" i="19" s="1"/>
  <c r="L576" i="19"/>
  <c r="N576" i="19" s="1"/>
  <c r="AQ576" i="19" s="1"/>
  <c r="M366" i="19"/>
  <c r="K1906" i="19"/>
  <c r="L356" i="19"/>
  <c r="N356" i="19" s="1"/>
  <c r="AQ356" i="19" s="1"/>
  <c r="I1904" i="19"/>
  <c r="L1904" i="19" s="1"/>
  <c r="N1904" i="19" s="1"/>
  <c r="AQ1904" i="19" s="1"/>
  <c r="I1900" i="19"/>
  <c r="L1900" i="19" s="1"/>
  <c r="N1900" i="19" s="1"/>
  <c r="AQ1900" i="19" s="1"/>
  <c r="L2719" i="19"/>
  <c r="N2719" i="19" s="1"/>
  <c r="AQ2719" i="19" s="1"/>
  <c r="K2566" i="19"/>
  <c r="L1018" i="19"/>
  <c r="N1018" i="19" s="1"/>
  <c r="AQ1018" i="19" s="1"/>
  <c r="I1024" i="19"/>
  <c r="L1024" i="19" s="1"/>
  <c r="N1024" i="19" s="1"/>
  <c r="AQ1024" i="19" s="1"/>
  <c r="I1020" i="19"/>
  <c r="L1020" i="19" s="1"/>
  <c r="N1020" i="19" s="1"/>
  <c r="AQ1020" i="19" s="1"/>
  <c r="L1898" i="19"/>
  <c r="N1898" i="19" s="1"/>
  <c r="AQ1898" i="19" s="1"/>
  <c r="J1906" i="19"/>
  <c r="L358" i="19"/>
  <c r="N358" i="19" s="1"/>
  <c r="AQ358" i="19" s="1"/>
  <c r="K366" i="19"/>
  <c r="L360" i="19"/>
  <c r="N360" i="19" s="1"/>
  <c r="AQ360" i="19" s="1"/>
  <c r="L1132" i="19"/>
  <c r="N1132" i="19" s="1"/>
  <c r="AQ1132" i="19" s="1"/>
  <c r="L574" i="19"/>
  <c r="N574" i="19" s="1"/>
  <c r="AQ574" i="19" s="1"/>
  <c r="K586" i="19"/>
  <c r="J2071" i="19"/>
  <c r="K201" i="19"/>
  <c r="L197" i="19"/>
  <c r="N197" i="19" s="1"/>
  <c r="AQ197" i="19" s="1"/>
  <c r="I199" i="19"/>
  <c r="L199" i="19" s="1"/>
  <c r="N199" i="19" s="1"/>
  <c r="AQ199" i="19" s="1"/>
  <c r="L195" i="19"/>
  <c r="N195" i="19" s="1"/>
  <c r="AQ195" i="19" s="1"/>
  <c r="L191" i="19"/>
  <c r="N191" i="19" s="1"/>
  <c r="AQ191" i="19" s="1"/>
  <c r="J2731" i="19"/>
  <c r="M2731" i="19"/>
  <c r="L189" i="19"/>
  <c r="N189" i="19" s="1"/>
  <c r="AQ189" i="19" s="1"/>
  <c r="I2564" i="19"/>
  <c r="L2564" i="19" s="1"/>
  <c r="N2564" i="19" s="1"/>
  <c r="AQ2564" i="19" s="1"/>
  <c r="I2560" i="19"/>
  <c r="L2560" i="19" s="1"/>
  <c r="N2560" i="19" s="1"/>
  <c r="AQ2560" i="19" s="1"/>
  <c r="L2554" i="19"/>
  <c r="N2554" i="19" s="1"/>
  <c r="AQ2554" i="19" s="1"/>
  <c r="L1014" i="19"/>
  <c r="N1014" i="19" s="1"/>
  <c r="AQ1014" i="19" s="1"/>
  <c r="M1026" i="19"/>
  <c r="K1026" i="19"/>
  <c r="L1896" i="19"/>
  <c r="N1896" i="19" s="1"/>
  <c r="AQ1896" i="19" s="1"/>
  <c r="J1136" i="19"/>
  <c r="L1124" i="19"/>
  <c r="N1124" i="19" s="1"/>
  <c r="AQ1124" i="19" s="1"/>
  <c r="K1136" i="19"/>
  <c r="M586" i="19"/>
  <c r="L2061" i="19"/>
  <c r="N2061" i="19" s="1"/>
  <c r="AQ2061" i="19" s="1"/>
  <c r="L2063" i="19"/>
  <c r="N2063" i="19" s="1"/>
  <c r="AQ2063" i="19" s="1"/>
  <c r="M201" i="19"/>
  <c r="J201" i="19"/>
  <c r="L2721" i="19"/>
  <c r="N2721" i="19" s="1"/>
  <c r="AQ2721" i="19" s="1"/>
  <c r="K2731" i="19"/>
  <c r="L2558" i="19"/>
  <c r="N2558" i="19" s="1"/>
  <c r="AQ2558" i="19" s="1"/>
  <c r="L2562" i="19"/>
  <c r="N2562" i="19" s="1"/>
  <c r="AQ2562" i="19" s="1"/>
  <c r="M2566" i="19"/>
  <c r="L2556" i="19"/>
  <c r="N2556" i="19" s="1"/>
  <c r="AQ2556" i="19" s="1"/>
  <c r="J2566" i="19"/>
  <c r="J1026" i="19"/>
  <c r="M1906" i="19"/>
  <c r="L1894" i="19"/>
  <c r="N1894" i="19" s="1"/>
  <c r="AQ1894" i="19" s="1"/>
  <c r="J366" i="19"/>
  <c r="L354" i="19"/>
  <c r="N354" i="19" s="1"/>
  <c r="AQ354" i="19" s="1"/>
  <c r="I366" i="19"/>
  <c r="I1130" i="19"/>
  <c r="L1130" i="19" s="1"/>
  <c r="N1130" i="19" s="1"/>
  <c r="AQ1130" i="19" s="1"/>
  <c r="I1134" i="19"/>
  <c r="L1134" i="19" s="1"/>
  <c r="N1134" i="19" s="1"/>
  <c r="AQ1134" i="19" s="1"/>
  <c r="M1136" i="19"/>
  <c r="I584" i="19"/>
  <c r="L584" i="19" s="1"/>
  <c r="N584" i="19" s="1"/>
  <c r="AQ584" i="19" s="1"/>
  <c r="I580" i="19"/>
  <c r="L580" i="19" s="1"/>
  <c r="N580" i="19" s="1"/>
  <c r="AQ580" i="19" s="1"/>
  <c r="J586" i="19"/>
  <c r="I2069" i="19"/>
  <c r="L2069" i="19" s="1"/>
  <c r="N2069" i="19" s="1"/>
  <c r="AQ2069" i="19" s="1"/>
  <c r="I2065" i="19"/>
  <c r="L2065" i="19" s="1"/>
  <c r="N2065" i="19" s="1"/>
  <c r="AQ2065" i="19" s="1"/>
  <c r="L2059" i="19"/>
  <c r="N2059" i="19" s="1"/>
  <c r="AQ2059" i="19" s="1"/>
  <c r="M2071" i="19"/>
  <c r="I2729" i="19"/>
  <c r="L2729" i="19" s="1"/>
  <c r="N2729" i="19" s="1"/>
  <c r="AQ2729" i="19" s="1"/>
  <c r="I2725" i="19"/>
  <c r="L2725" i="19" s="1"/>
  <c r="N2725" i="19" s="1"/>
  <c r="AQ2725" i="19" s="1"/>
  <c r="N2723" i="19"/>
  <c r="AQ2723" i="19" s="1"/>
  <c r="I2346" i="19" l="1"/>
  <c r="I3061" i="19"/>
  <c r="L3061" i="19" s="1"/>
  <c r="N3061" i="19" s="1"/>
  <c r="AQ3061" i="19" s="1"/>
  <c r="L2951" i="19"/>
  <c r="N2951" i="19" s="1"/>
  <c r="AQ2951" i="19" s="1"/>
  <c r="L3006" i="19"/>
  <c r="N3006" i="19" s="1"/>
  <c r="AQ3006" i="19" s="1"/>
  <c r="T44" i="11"/>
  <c r="T109" i="11"/>
  <c r="T40" i="11"/>
  <c r="T163" i="11"/>
  <c r="T98" i="11"/>
  <c r="T84" i="11"/>
  <c r="T168" i="11"/>
  <c r="Q58" i="10"/>
  <c r="I2786" i="19"/>
  <c r="L2786" i="19" s="1"/>
  <c r="N2786" i="19" s="1"/>
  <c r="AQ2786" i="19" s="1"/>
  <c r="T204" i="11"/>
  <c r="I2896" i="19"/>
  <c r="L2896" i="19" s="1"/>
  <c r="N2896" i="19" s="1"/>
  <c r="AQ2896" i="19" s="1"/>
  <c r="T139" i="11"/>
  <c r="T192" i="11"/>
  <c r="T206" i="11"/>
  <c r="Q59" i="10"/>
  <c r="T155" i="11"/>
  <c r="T195" i="11"/>
  <c r="I2841" i="19"/>
  <c r="L2841" i="19" s="1"/>
  <c r="N2841" i="19" s="1"/>
  <c r="AQ2841" i="19" s="1"/>
  <c r="T199" i="11"/>
  <c r="T209" i="11"/>
  <c r="T202" i="11"/>
  <c r="T101" i="11"/>
  <c r="T132" i="11"/>
  <c r="T161" i="11"/>
  <c r="T146" i="11"/>
  <c r="T143" i="11"/>
  <c r="Q55" i="10"/>
  <c r="Q54" i="10"/>
  <c r="T113" i="11"/>
  <c r="T123" i="11"/>
  <c r="T171" i="11"/>
  <c r="T149" i="11"/>
  <c r="T181" i="11"/>
  <c r="Q52" i="10"/>
  <c r="Q44" i="10"/>
  <c r="L2012" i="19"/>
  <c r="N2012" i="19" s="1"/>
  <c r="AQ2012" i="19" s="1"/>
  <c r="I751" i="19"/>
  <c r="L751" i="19" s="1"/>
  <c r="N751" i="19" s="1"/>
  <c r="AQ751" i="19" s="1"/>
  <c r="L2124" i="19"/>
  <c r="N2124" i="19" s="1"/>
  <c r="AQ2124" i="19" s="1"/>
  <c r="Q47" i="10"/>
  <c r="J42" i="10"/>
  <c r="T158" i="11" s="1"/>
  <c r="J19" i="10"/>
  <c r="T72" i="11" s="1"/>
  <c r="J48" i="10"/>
  <c r="T76" i="11" s="1"/>
  <c r="J31" i="10"/>
  <c r="Q31" i="10" s="1"/>
  <c r="J45" i="10"/>
  <c r="T68" i="11" s="1"/>
  <c r="J28" i="10"/>
  <c r="J13" i="10"/>
  <c r="J15" i="10"/>
  <c r="T56" i="11" s="1"/>
  <c r="J51" i="10"/>
  <c r="T185" i="11" s="1"/>
  <c r="J6" i="10"/>
  <c r="T20" i="11" s="1"/>
  <c r="J9" i="10"/>
  <c r="Q9" i="10" s="1"/>
  <c r="J49" i="10"/>
  <c r="Q49" i="10" s="1"/>
  <c r="J40" i="10"/>
  <c r="T152" i="11" s="1"/>
  <c r="Q20" i="10"/>
  <c r="J4" i="10"/>
  <c r="I476" i="19"/>
  <c r="L476" i="19" s="1"/>
  <c r="N476" i="19" s="1"/>
  <c r="AQ476" i="19" s="1"/>
  <c r="L525" i="19"/>
  <c r="N525" i="19" s="1"/>
  <c r="AQ525" i="19" s="1"/>
  <c r="L2126" i="19"/>
  <c r="N2126" i="19" s="1"/>
  <c r="AQ2126" i="19" s="1"/>
  <c r="L531" i="19"/>
  <c r="N531" i="19" s="1"/>
  <c r="AQ531" i="19" s="1"/>
  <c r="I696" i="19"/>
  <c r="L696" i="19" s="1"/>
  <c r="N696" i="19" s="1"/>
  <c r="AQ696" i="19" s="1"/>
  <c r="I146" i="19"/>
  <c r="L146" i="19" s="1"/>
  <c r="N146" i="19" s="1"/>
  <c r="AQ146" i="19" s="1"/>
  <c r="I1246" i="19"/>
  <c r="L1246" i="19" s="1"/>
  <c r="N1246" i="19" s="1"/>
  <c r="AQ1246" i="19" s="1"/>
  <c r="I641" i="19"/>
  <c r="L641" i="19" s="1"/>
  <c r="N641" i="19" s="1"/>
  <c r="AQ641" i="19" s="1"/>
  <c r="I2676" i="19"/>
  <c r="L2676" i="19" s="1"/>
  <c r="N2676" i="19" s="1"/>
  <c r="AQ2676" i="19" s="1"/>
  <c r="L2505" i="19"/>
  <c r="N2505" i="19" s="1"/>
  <c r="AQ2505" i="19" s="1"/>
  <c r="L2346" i="19"/>
  <c r="N2346" i="19" s="1"/>
  <c r="AQ2346" i="19" s="1"/>
  <c r="L91" i="19"/>
  <c r="N91" i="19" s="1"/>
  <c r="AQ91" i="19" s="1"/>
  <c r="I1686" i="19"/>
  <c r="L1686" i="19" s="1"/>
  <c r="N1686" i="19" s="1"/>
  <c r="AQ1686" i="19" s="1"/>
  <c r="I1411" i="19"/>
  <c r="L1411" i="19" s="1"/>
  <c r="N1411" i="19" s="1"/>
  <c r="AQ1411" i="19" s="1"/>
  <c r="L2511" i="19"/>
  <c r="N2511" i="19" s="1"/>
  <c r="AQ2511" i="19" s="1"/>
  <c r="I2181" i="19"/>
  <c r="L2181" i="19" s="1"/>
  <c r="N2181" i="19" s="1"/>
  <c r="AQ2181" i="19" s="1"/>
  <c r="P61" i="10"/>
  <c r="I1851" i="19"/>
  <c r="L1851" i="19" s="1"/>
  <c r="N1851" i="19" s="1"/>
  <c r="AQ1851" i="19" s="1"/>
  <c r="I421" i="19"/>
  <c r="L421" i="19" s="1"/>
  <c r="N421" i="19" s="1"/>
  <c r="AQ421" i="19" s="1"/>
  <c r="I2456" i="19"/>
  <c r="L2456" i="19" s="1"/>
  <c r="N2456" i="19" s="1"/>
  <c r="AQ2456" i="19" s="1"/>
  <c r="I861" i="19"/>
  <c r="L861" i="19" s="1"/>
  <c r="N861" i="19" s="1"/>
  <c r="AQ861" i="19" s="1"/>
  <c r="Q34" i="10"/>
  <c r="I2016" i="19"/>
  <c r="L2016" i="19" s="1"/>
  <c r="N2016" i="19" s="1"/>
  <c r="AQ2016" i="19" s="1"/>
  <c r="I1576" i="19"/>
  <c r="L1576" i="19" s="1"/>
  <c r="N1576" i="19" s="1"/>
  <c r="AQ1576" i="19" s="1"/>
  <c r="I1081" i="19"/>
  <c r="L1081" i="19" s="1"/>
  <c r="N1081" i="19" s="1"/>
  <c r="AQ1081" i="19" s="1"/>
  <c r="L1075" i="19"/>
  <c r="N1075" i="19" s="1"/>
  <c r="AQ1075" i="19" s="1"/>
  <c r="Q26" i="10"/>
  <c r="I1356" i="19"/>
  <c r="L1356" i="19" s="1"/>
  <c r="N1356" i="19" s="1"/>
  <c r="AQ1356" i="19" s="1"/>
  <c r="Q46" i="10"/>
  <c r="L311" i="19"/>
  <c r="N311" i="19" s="1"/>
  <c r="AQ311" i="19" s="1"/>
  <c r="Q16" i="10"/>
  <c r="L971" i="19"/>
  <c r="N971" i="19" s="1"/>
  <c r="AQ971" i="19" s="1"/>
  <c r="Q11" i="10"/>
  <c r="Q37" i="10"/>
  <c r="Q29" i="10"/>
  <c r="T60" i="11"/>
  <c r="Q43" i="10"/>
  <c r="I1521" i="19"/>
  <c r="L1521" i="19" s="1"/>
  <c r="N1521" i="19" s="1"/>
  <c r="AQ1521" i="19" s="1"/>
  <c r="L1515" i="19"/>
  <c r="N1515" i="19" s="1"/>
  <c r="AQ1515" i="19" s="1"/>
  <c r="I1796" i="19"/>
  <c r="L1796" i="19" s="1"/>
  <c r="N1796" i="19" s="1"/>
  <c r="AQ1796" i="19" s="1"/>
  <c r="L1790" i="19"/>
  <c r="N1790" i="19" s="1"/>
  <c r="AQ1790" i="19" s="1"/>
  <c r="T17" i="11"/>
  <c r="I2621" i="19"/>
  <c r="L2621" i="19" s="1"/>
  <c r="N2621" i="19" s="1"/>
  <c r="AQ2621" i="19" s="1"/>
  <c r="L2615" i="19"/>
  <c r="N2615" i="19" s="1"/>
  <c r="AQ2615" i="19" s="1"/>
  <c r="I806" i="19"/>
  <c r="L806" i="19" s="1"/>
  <c r="N806" i="19" s="1"/>
  <c r="AQ806" i="19" s="1"/>
  <c r="Q5" i="10"/>
  <c r="Q18" i="10"/>
  <c r="I1191" i="19"/>
  <c r="L1191" i="19" s="1"/>
  <c r="N1191" i="19" s="1"/>
  <c r="AQ1191" i="19" s="1"/>
  <c r="Q8" i="10"/>
  <c r="I256" i="19"/>
  <c r="L256" i="19" s="1"/>
  <c r="N256" i="19" s="1"/>
  <c r="AQ256" i="19" s="1"/>
  <c r="L2399" i="19"/>
  <c r="N2399" i="19" s="1"/>
  <c r="AQ2399" i="19" s="1"/>
  <c r="L1460" i="19"/>
  <c r="N1460" i="19" s="1"/>
  <c r="AQ1460" i="19" s="1"/>
  <c r="L34" i="19"/>
  <c r="N34" i="19" s="1"/>
  <c r="AQ34" i="19" s="1"/>
  <c r="I1741" i="19"/>
  <c r="L1741" i="19" s="1"/>
  <c r="N1741" i="19" s="1"/>
  <c r="AQ1741" i="19" s="1"/>
  <c r="I2236" i="19"/>
  <c r="L2236" i="19" s="1"/>
  <c r="N2236" i="19" s="1"/>
  <c r="AQ2236" i="19" s="1"/>
  <c r="L1625" i="19"/>
  <c r="N1625" i="19" s="1"/>
  <c r="AQ1625" i="19" s="1"/>
  <c r="L1466" i="19"/>
  <c r="N1466" i="19" s="1"/>
  <c r="AQ1466" i="19" s="1"/>
  <c r="L1631" i="19"/>
  <c r="N1631" i="19" s="1"/>
  <c r="AQ1631" i="19" s="1"/>
  <c r="L36" i="19"/>
  <c r="N36" i="19" s="1"/>
  <c r="AQ36" i="19" s="1"/>
  <c r="L2401" i="19"/>
  <c r="N2401" i="19" s="1"/>
  <c r="AQ2401" i="19" s="1"/>
  <c r="I1301" i="19"/>
  <c r="L1301" i="19" s="1"/>
  <c r="N1301" i="19" s="1"/>
  <c r="AQ1301" i="19" s="1"/>
  <c r="L916" i="19"/>
  <c r="N916" i="19" s="1"/>
  <c r="AQ916" i="19" s="1"/>
  <c r="I1906" i="19"/>
  <c r="L1906" i="19" s="1"/>
  <c r="N1906" i="19" s="1"/>
  <c r="AQ1906" i="19" s="1"/>
  <c r="I2566" i="19"/>
  <c r="L2566" i="19" s="1"/>
  <c r="N2566" i="19" s="1"/>
  <c r="AQ2566" i="19" s="1"/>
  <c r="I201" i="19"/>
  <c r="L201" i="19" s="1"/>
  <c r="N201" i="19" s="1"/>
  <c r="AQ201" i="19" s="1"/>
  <c r="I2071" i="19"/>
  <c r="L2071" i="19" s="1"/>
  <c r="N2071" i="19" s="1"/>
  <c r="AQ2071" i="19" s="1"/>
  <c r="I586" i="19"/>
  <c r="L586" i="19" s="1"/>
  <c r="N586" i="19" s="1"/>
  <c r="AQ586" i="19" s="1"/>
  <c r="I1026" i="19"/>
  <c r="L1026" i="19" s="1"/>
  <c r="N1026" i="19" s="1"/>
  <c r="AQ1026" i="19" s="1"/>
  <c r="I2731" i="19"/>
  <c r="L2731" i="19" s="1"/>
  <c r="N2731" i="19" s="1"/>
  <c r="AQ2731" i="19" s="1"/>
  <c r="L366" i="19"/>
  <c r="N366" i="19" s="1"/>
  <c r="AQ366" i="19" s="1"/>
  <c r="I1136" i="19"/>
  <c r="L1136" i="19" s="1"/>
  <c r="N1136" i="19" s="1"/>
  <c r="AQ1136" i="19" s="1"/>
  <c r="Q42" i="10" l="1"/>
  <c r="T174" i="11"/>
  <c r="T118" i="11"/>
  <c r="T177" i="11"/>
  <c r="T165" i="11"/>
  <c r="Q28" i="10"/>
  <c r="T105" i="11"/>
  <c r="Q13" i="10"/>
  <c r="T49" i="11"/>
  <c r="Q48" i="10"/>
  <c r="Q4" i="10"/>
  <c r="T13" i="11"/>
  <c r="T32" i="11"/>
  <c r="T36" i="11"/>
  <c r="T88" i="11"/>
  <c r="Q51" i="10"/>
  <c r="T24" i="11"/>
  <c r="Q15" i="10"/>
  <c r="Q45" i="10"/>
  <c r="Q40" i="10"/>
  <c r="J61" i="10"/>
  <c r="T80" i="11"/>
  <c r="Q6" i="10"/>
  <c r="Q19" i="10"/>
  <c r="T211" i="11" l="1"/>
  <c r="Q61" i="10"/>
  <c r="L1960" i="19"/>
  <c r="N1960" i="19" s="1"/>
  <c r="R1944" i="19" s="1"/>
  <c r="Q1944" i="19" s="1"/>
  <c r="J1947" i="19" l="1"/>
  <c r="J1959" i="19" s="1"/>
  <c r="K1946" i="19"/>
  <c r="K1957" i="19" s="1"/>
  <c r="K1945" i="19"/>
  <c r="K1955" i="19" s="1"/>
  <c r="J1944" i="19"/>
  <c r="J1953" i="19" s="1"/>
  <c r="K1943" i="19"/>
  <c r="K1951" i="19" s="1"/>
  <c r="M1942" i="19"/>
  <c r="M1949" i="19" s="1"/>
  <c r="K1947" i="19"/>
  <c r="K1959" i="19" s="1"/>
  <c r="M1946" i="19"/>
  <c r="M1957" i="19" s="1"/>
  <c r="M1945" i="19"/>
  <c r="M1955" i="19" s="1"/>
  <c r="K1944" i="19"/>
  <c r="K1953" i="19" s="1"/>
  <c r="M1943" i="19"/>
  <c r="M1951" i="19" s="1"/>
  <c r="I1942" i="19"/>
  <c r="I1949" i="19" s="1"/>
  <c r="M1947" i="19"/>
  <c r="I1946" i="19"/>
  <c r="I1957" i="19" s="1"/>
  <c r="M1944" i="19"/>
  <c r="M1953" i="19" s="1"/>
  <c r="I1943" i="19"/>
  <c r="I1951" i="19" s="1"/>
  <c r="J1942" i="19"/>
  <c r="J1949" i="19" s="1"/>
  <c r="J1943" i="19"/>
  <c r="J1951" i="19" s="1"/>
  <c r="I1947" i="19"/>
  <c r="J1945" i="19"/>
  <c r="J1955" i="19" s="1"/>
  <c r="I1944" i="19"/>
  <c r="I1953" i="19" s="1"/>
  <c r="K1942" i="19"/>
  <c r="K1949" i="19" s="1"/>
  <c r="I1945" i="19"/>
  <c r="J1946" i="19"/>
  <c r="J1957" i="19" s="1"/>
  <c r="K1961" i="19" l="1"/>
  <c r="L1957" i="19"/>
  <c r="N1957" i="19" s="1"/>
  <c r="AQ1957" i="19" s="1"/>
  <c r="M1961" i="19"/>
  <c r="L1951" i="19"/>
  <c r="N1951" i="19" s="1"/>
  <c r="AQ1951" i="19" s="1"/>
  <c r="L1949" i="19"/>
  <c r="N1949" i="19" s="1"/>
  <c r="AQ1949" i="19" s="1"/>
  <c r="I1959" i="19"/>
  <c r="L1959" i="19" s="1"/>
  <c r="N1959" i="19" s="1"/>
  <c r="AQ1959" i="19" s="1"/>
  <c r="I1955" i="19"/>
  <c r="L1955" i="19" s="1"/>
  <c r="N1955" i="19" s="1"/>
  <c r="AQ1955" i="19" s="1"/>
  <c r="L1953" i="19"/>
  <c r="N1953" i="19" s="1"/>
  <c r="AQ1953" i="19" s="1"/>
  <c r="J1961" i="19"/>
  <c r="I1961" i="19" l="1"/>
  <c r="L1961" i="19" s="1"/>
  <c r="N1961" i="19" s="1"/>
  <c r="AQ1961" i="19" s="1"/>
</calcChain>
</file>

<file path=xl/sharedStrings.xml><?xml version="1.0" encoding="utf-8"?>
<sst xmlns="http://schemas.openxmlformats.org/spreadsheetml/2006/main" count="22611" uniqueCount="2121">
  <si>
    <t>№ лота</t>
  </si>
  <si>
    <t>Наименование участкового лесничества</t>
  </si>
  <si>
    <t>Номер  квартала</t>
  </si>
  <si>
    <t>Номер  выдела</t>
  </si>
  <si>
    <t>Номер делянки</t>
  </si>
  <si>
    <t>Площадь, га</t>
  </si>
  <si>
    <t>Хозяйство</t>
  </si>
  <si>
    <t>Способ рубки</t>
  </si>
  <si>
    <t>Порода</t>
  </si>
  <si>
    <t>Деловая древесина куб. метр</t>
  </si>
  <si>
    <t>Дровяная</t>
  </si>
  <si>
    <t>Всего</t>
  </si>
  <si>
    <t>Крупная</t>
  </si>
  <si>
    <t>Средняя</t>
  </si>
  <si>
    <t>Мелкая</t>
  </si>
  <si>
    <t>Итого</t>
  </si>
  <si>
    <t>хворост, неликвид</t>
  </si>
  <si>
    <t>Береза</t>
  </si>
  <si>
    <t>Осина</t>
  </si>
  <si>
    <t>Липа</t>
  </si>
  <si>
    <t>Аукционная цена, руб</t>
  </si>
  <si>
    <t>ВСЕГО</t>
  </si>
  <si>
    <t>Тимерликовское</t>
  </si>
  <si>
    <t>СР</t>
  </si>
  <si>
    <t>Мамыковское</t>
  </si>
  <si>
    <t>Дуб</t>
  </si>
  <si>
    <t>Вишнево-Полянское</t>
  </si>
  <si>
    <t>Тумбинское</t>
  </si>
  <si>
    <t>6Б4Ос+Лп</t>
  </si>
  <si>
    <t>5Б3Ос2Лп</t>
  </si>
  <si>
    <t>7Б2ОС1Лп+Дн</t>
  </si>
  <si>
    <t>5Б4Ос1Лп</t>
  </si>
  <si>
    <t>8Ос2Б</t>
  </si>
  <si>
    <t>9Ос1Б</t>
  </si>
  <si>
    <t>7Ос3Б+Лп</t>
  </si>
  <si>
    <t>8Ос2Б+Лп</t>
  </si>
  <si>
    <t>8Ос1Б1Лп</t>
  </si>
  <si>
    <t>10Ос+Б</t>
  </si>
  <si>
    <t>8Лп1Б1Дн</t>
  </si>
  <si>
    <t>Чулпановское</t>
  </si>
  <si>
    <t>Ольха черная</t>
  </si>
  <si>
    <t>7Б3ОЛЧ</t>
  </si>
  <si>
    <t>6Лп1Б1Ос2Д</t>
  </si>
  <si>
    <t>4ОС3ЛП1Б2Д</t>
  </si>
  <si>
    <t>6Лп1Б1Д1Лп1Ос</t>
  </si>
  <si>
    <t>7Ос2Лп1Б</t>
  </si>
  <si>
    <t>3Б3Ос3Лп1Кл</t>
  </si>
  <si>
    <t>6Олч3Олч1Б (70 лет)</t>
  </si>
  <si>
    <t>5Б3Лп1Ос1Д</t>
  </si>
  <si>
    <t>4Б2Ос3Лп1Д</t>
  </si>
  <si>
    <t>5Б2Ос2Лп1Д</t>
  </si>
  <si>
    <t>10ос+лп (60 лет)</t>
  </si>
  <si>
    <t>7Ос2Б1Лп</t>
  </si>
  <si>
    <t>9Ос1Б+Лп</t>
  </si>
  <si>
    <t>9Ос1Лп</t>
  </si>
  <si>
    <t>8Ос1Б1Лп+Кл</t>
  </si>
  <si>
    <t>мягколиственное</t>
  </si>
  <si>
    <t>5Ос4Лп1Д</t>
  </si>
  <si>
    <t>10Ос+Лп (60 лет)</t>
  </si>
  <si>
    <t>8Ос2Лп+Б</t>
  </si>
  <si>
    <t>5Ос3Лп2Б</t>
  </si>
  <si>
    <t>5Ос2Б2Лп1Д</t>
  </si>
  <si>
    <t>6Ос3Лп1Б</t>
  </si>
  <si>
    <t>6Б3Ос1Лп</t>
  </si>
  <si>
    <t>4Б3Ос2Лп1Д</t>
  </si>
  <si>
    <t>7Б2Ос1Лп</t>
  </si>
  <si>
    <t>5Б3Ос1Лп1Д</t>
  </si>
  <si>
    <t>8Б2Ос</t>
  </si>
  <si>
    <t>5Б4Лп1Ос</t>
  </si>
  <si>
    <t>10Б+Лп (65 лет)</t>
  </si>
  <si>
    <t>6Ос3Б1Лп</t>
  </si>
  <si>
    <t>5Ос3Б2Лп</t>
  </si>
  <si>
    <t>6Ос4Б+Лп</t>
  </si>
  <si>
    <t>4Ос2Б2Лп2Кл</t>
  </si>
  <si>
    <t>9Б1Лп+Кл</t>
  </si>
  <si>
    <t>6Ос2Б2Лп</t>
  </si>
  <si>
    <t>5Б3Лп2Кл+Лп</t>
  </si>
  <si>
    <t>9Б1Ос</t>
  </si>
  <si>
    <t>6Б2Ос2Лп+В</t>
  </si>
  <si>
    <t>8Б1Ос1Лп</t>
  </si>
  <si>
    <t>4Б3Ос1Лп2Кл</t>
  </si>
  <si>
    <t>6Б2Ос1Лп1Д</t>
  </si>
  <si>
    <t>10Ос+Б (55 лет)</t>
  </si>
  <si>
    <t>5Лп2Ос2Б1Кл</t>
  </si>
  <si>
    <t>7Б3Ос</t>
  </si>
  <si>
    <t>7Лп3Б+Ос</t>
  </si>
  <si>
    <t>7Ос1Б1Лп1Дн</t>
  </si>
  <si>
    <t>6Ос2Лп1Б1Кл</t>
  </si>
  <si>
    <t>6Ос2Лп1Б1Дн</t>
  </si>
  <si>
    <t>5Ос4Б1Лп</t>
  </si>
  <si>
    <t>5Ос5Лп</t>
  </si>
  <si>
    <t>4Ос2Б2Лп1Дн1Кл+В</t>
  </si>
  <si>
    <t>6Лп2Ос2Дн+Кл</t>
  </si>
  <si>
    <t>7Лп2Б1Дн</t>
  </si>
  <si>
    <t>4Б2Ос2Лп2Дн</t>
  </si>
  <si>
    <t>твердолиственное</t>
  </si>
  <si>
    <t>4Дн2Кл3Лп1Ос</t>
  </si>
  <si>
    <t>4Лп2Ос4Дн</t>
  </si>
  <si>
    <t>Минимальный размер платы по договору купли-продажи лесных насаждений</t>
  </si>
  <si>
    <t>Начальная цена Лота, руб.</t>
  </si>
  <si>
    <t xml:space="preserve">Ведомость </t>
  </si>
  <si>
    <t xml:space="preserve">расчета минимального размера платы по договору купли-продажи лесных насаждений </t>
  </si>
  <si>
    <t>в пределах ГКУ "Нурлатское лесничество"</t>
  </si>
  <si>
    <t>Адм. Район</t>
  </si>
  <si>
    <t>ГКУ</t>
  </si>
  <si>
    <t>сцепка</t>
  </si>
  <si>
    <t>Участковое лесничество</t>
  </si>
  <si>
    <t>Репрезетативный участок</t>
  </si>
  <si>
    <t>Квартал</t>
  </si>
  <si>
    <t>Выдел</t>
  </si>
  <si>
    <t>Площадь выдела на начало года</t>
  </si>
  <si>
    <t>Вырублено</t>
  </si>
  <si>
    <t>Создано л/к</t>
  </si>
  <si>
    <t>Переведено в покрытую лесом площадь</t>
  </si>
  <si>
    <t>Состав для формы</t>
  </si>
  <si>
    <t>Лесные культуры</t>
  </si>
  <si>
    <t>П/п</t>
  </si>
  <si>
    <t>год создания</t>
  </si>
  <si>
    <t>порода</t>
  </si>
  <si>
    <t>Состояние</t>
  </si>
  <si>
    <t>Лесная /                  Не лесная</t>
  </si>
  <si>
    <t>Состав</t>
  </si>
  <si>
    <t>Полнота</t>
  </si>
  <si>
    <t>Запас</t>
  </si>
  <si>
    <t>Запас на выдел</t>
  </si>
  <si>
    <t>Бонитет</t>
  </si>
  <si>
    <t>Тип леса</t>
  </si>
  <si>
    <t>ТЛУ</t>
  </si>
  <si>
    <t>Класс пож. Опасности</t>
  </si>
  <si>
    <t>ОЗУ</t>
  </si>
  <si>
    <t>Кат. защитных лесов</t>
  </si>
  <si>
    <t>Класс возраста</t>
  </si>
  <si>
    <t>молодняки</t>
  </si>
  <si>
    <t>средневозр.</t>
  </si>
  <si>
    <t>приспевающие</t>
  </si>
  <si>
    <t xml:space="preserve">спелые </t>
  </si>
  <si>
    <t>перестойные</t>
  </si>
  <si>
    <t>Главная порода</t>
  </si>
  <si>
    <t>хозяйство</t>
  </si>
  <si>
    <t>Возраст главной породы</t>
  </si>
  <si>
    <t>Высота главной породы</t>
  </si>
  <si>
    <t>Диаметр главной породы</t>
  </si>
  <si>
    <t>Порода 2</t>
  </si>
  <si>
    <t>Возраст породы 2</t>
  </si>
  <si>
    <t>Высота породы 2</t>
  </si>
  <si>
    <t>Диаметр породы 2</t>
  </si>
  <si>
    <t>Порода 3</t>
  </si>
  <si>
    <t>Возраст породы 3</t>
  </si>
  <si>
    <t>Высота породы 3</t>
  </si>
  <si>
    <t>Диаметр породы 3</t>
  </si>
  <si>
    <t>Порода 4</t>
  </si>
  <si>
    <t>Возраст породы 4</t>
  </si>
  <si>
    <t>Высота породы 4</t>
  </si>
  <si>
    <t>Диаметр породы 4</t>
  </si>
  <si>
    <t>Порода 5</t>
  </si>
  <si>
    <t>Возраст породы 5</t>
  </si>
  <si>
    <t>Высота породы 5</t>
  </si>
  <si>
    <t>Диаметр породы 5</t>
  </si>
  <si>
    <t>Порода 6</t>
  </si>
  <si>
    <t>Возраст породы 6</t>
  </si>
  <si>
    <t>Высота породы 6</t>
  </si>
  <si>
    <t>Диаметр породы 6</t>
  </si>
  <si>
    <t>Порода 7</t>
  </si>
  <si>
    <t>Возраст породы 7</t>
  </si>
  <si>
    <t>Высота породы 7</t>
  </si>
  <si>
    <t>Диаметр породы 7</t>
  </si>
  <si>
    <t/>
  </si>
  <si>
    <t>Нурлатский</t>
  </si>
  <si>
    <t>Нурлатское</t>
  </si>
  <si>
    <t>покрытая лесом</t>
  </si>
  <si>
    <t>экспл</t>
  </si>
  <si>
    <t>лесная</t>
  </si>
  <si>
    <t>Эксплуатационные леса</t>
  </si>
  <si>
    <t>Д</t>
  </si>
  <si>
    <t>тв</t>
  </si>
  <si>
    <t>ОС</t>
  </si>
  <si>
    <t>ЛП</t>
  </si>
  <si>
    <t>ДН</t>
  </si>
  <si>
    <t>Дуб низкоствольный</t>
  </si>
  <si>
    <t>ОСОС</t>
  </si>
  <si>
    <t>С2</t>
  </si>
  <si>
    <t>мл</t>
  </si>
  <si>
    <t>8ОС2ЛП</t>
  </si>
  <si>
    <t>7ОС2ЛП1Б+Д</t>
  </si>
  <si>
    <t>Б</t>
  </si>
  <si>
    <t>Д2</t>
  </si>
  <si>
    <t>ЛПТР</t>
  </si>
  <si>
    <t>8ОС1ЛП1КЛ</t>
  </si>
  <si>
    <t>ОСЯС</t>
  </si>
  <si>
    <t>9ОС1Б</t>
  </si>
  <si>
    <t>Сплошная рубка</t>
  </si>
  <si>
    <t>9ОС1ЛП+КЛ</t>
  </si>
  <si>
    <t>6ОС4Б</t>
  </si>
  <si>
    <t>5Б3ОС2ЛП</t>
  </si>
  <si>
    <t>БОС</t>
  </si>
  <si>
    <t>8ОС1Б1ЛП</t>
  </si>
  <si>
    <t>5ЛП3ОС2Б</t>
  </si>
  <si>
    <t>8ЛП1ОС1Д</t>
  </si>
  <si>
    <t>7ОС3Б+ЛП</t>
  </si>
  <si>
    <t>7ОС3ЛП</t>
  </si>
  <si>
    <t>7ОС2ЛП1Б</t>
  </si>
  <si>
    <t>Лиственница</t>
  </si>
  <si>
    <t>10ОС+ЛП</t>
  </si>
  <si>
    <t>9ОС1ЛП</t>
  </si>
  <si>
    <t>8ОС2ЛП+КЛ</t>
  </si>
  <si>
    <t>8ОС1Б1ЛП+КЛ</t>
  </si>
  <si>
    <t>5Б4ОС1ЛП+КЛ</t>
  </si>
  <si>
    <t>8ОС2Б+ЛП</t>
  </si>
  <si>
    <t>Ель</t>
  </si>
  <si>
    <t>хв</t>
  </si>
  <si>
    <t>7ОС2Б1ЛП</t>
  </si>
  <si>
    <t>10ОС</t>
  </si>
  <si>
    <t>7Б3ОС+ЛП</t>
  </si>
  <si>
    <t>5ОС3ЛП2Б</t>
  </si>
  <si>
    <t>6ОС3Б1ЛП</t>
  </si>
  <si>
    <t>5Б4ОС1ЛП</t>
  </si>
  <si>
    <t>7Б2ОС1ЛП</t>
  </si>
  <si>
    <t>9ОС1ЛП+Б</t>
  </si>
  <si>
    <t>8ОС2ЛП+Б</t>
  </si>
  <si>
    <t>6ОС2Б2ЛП</t>
  </si>
  <si>
    <t>8Б1ОС1ЛП</t>
  </si>
  <si>
    <t>9ОС1Б+ЛП</t>
  </si>
  <si>
    <t>С</t>
  </si>
  <si>
    <t>Сосна</t>
  </si>
  <si>
    <t>ОЛЧ</t>
  </si>
  <si>
    <t>10ОС+Б</t>
  </si>
  <si>
    <t>8ОС2Б</t>
  </si>
  <si>
    <t>9ОС1Б+Д</t>
  </si>
  <si>
    <t>8Б2ОС</t>
  </si>
  <si>
    <t>7ОС3Б</t>
  </si>
  <si>
    <t>6ОС2Б1ЛП1Д</t>
  </si>
  <si>
    <t>6Б4ОС+ЛП</t>
  </si>
  <si>
    <t>5Б2ОС1ЛП2Д</t>
  </si>
  <si>
    <t>6ОС3ЛП1Б</t>
  </si>
  <si>
    <t>4</t>
  </si>
  <si>
    <t>6Б4ОС</t>
  </si>
  <si>
    <t>7ОС1Б1ЛП1ДН</t>
  </si>
  <si>
    <t>6ОС2ЛП1Б1КЛ</t>
  </si>
  <si>
    <t>7Б2ОС1ЛП+ДН</t>
  </si>
  <si>
    <t>6ОС2ЛП1Б1ДН</t>
  </si>
  <si>
    <t>Вишнево-Полянское/8/15</t>
  </si>
  <si>
    <t>7ЛП1Б1ОС1ДН</t>
  </si>
  <si>
    <t>7ОС3ЛП+Б</t>
  </si>
  <si>
    <t>7ЛП3Б+ОС</t>
  </si>
  <si>
    <t>5Б4ЛП1ОС</t>
  </si>
  <si>
    <t>6ОС4Б+ЛП</t>
  </si>
  <si>
    <t>6ОС3ЛП1Б+КЛ</t>
  </si>
  <si>
    <t>6ОС4ЛП+КЛ</t>
  </si>
  <si>
    <t>5ОС4Б1ЛП</t>
  </si>
  <si>
    <t>7Б3ОС</t>
  </si>
  <si>
    <t>5Б2ОС2ЛП1Д</t>
  </si>
  <si>
    <t>6Б3ОС1ЛП</t>
  </si>
  <si>
    <t>7ОС2ЛП1ДН</t>
  </si>
  <si>
    <t>6ЛП2ОС2ДН</t>
  </si>
  <si>
    <t>9Б1ОС+ЛП</t>
  </si>
  <si>
    <t>6ЛП2ОС2ДН+КЛ</t>
  </si>
  <si>
    <t>7ЛП2Б1ДН</t>
  </si>
  <si>
    <t>Вишнево-Полянское/15/22</t>
  </si>
  <si>
    <t>6ЛП1Б1ОС2ДН</t>
  </si>
  <si>
    <t>6ЛП3ДН1Б</t>
  </si>
  <si>
    <t>8ЛП2Б</t>
  </si>
  <si>
    <t>7ЛП3ОС+Б</t>
  </si>
  <si>
    <t>Вишнево-Полянское/19/5</t>
  </si>
  <si>
    <t>5ОС4Б1ЛП+КЛ</t>
  </si>
  <si>
    <t>5ОС3Б2ЛП+КЛ</t>
  </si>
  <si>
    <t>8ЛП2ОС+КЛ</t>
  </si>
  <si>
    <t>10Б+ЛП</t>
  </si>
  <si>
    <t>9Б1ОС</t>
  </si>
  <si>
    <t>Клен</t>
  </si>
  <si>
    <t>4ОС2Б2ЛП2КЛ</t>
  </si>
  <si>
    <t>6ЛП2Б2ОС</t>
  </si>
  <si>
    <t>7ЛП2Б1ОС</t>
  </si>
  <si>
    <t>4ДН2КЛ3ЛП1ОС</t>
  </si>
  <si>
    <t>5ОС5ЛП</t>
  </si>
  <si>
    <t>8ОС2ЛП+ДН</t>
  </si>
  <si>
    <t>Вишнево-Полянское/32/7</t>
  </si>
  <si>
    <t>6Б3ОС1ЛП+КЛ</t>
  </si>
  <si>
    <t>Вишнево-Полянское/33/4</t>
  </si>
  <si>
    <t>8ЛП1ОС1Б</t>
  </si>
  <si>
    <t>6ЛП2Б2ДН+КЛ</t>
  </si>
  <si>
    <t>6ЛП2Б1ОС1ДН+КЛ</t>
  </si>
  <si>
    <t>6ЛП1Б1ОС2Д</t>
  </si>
  <si>
    <t>8ЛП2ОС+Б</t>
  </si>
  <si>
    <t>Выборочная рубка</t>
  </si>
  <si>
    <t>4ОС2Б2ЛП1ДН1КЛ+В</t>
  </si>
  <si>
    <t>5ЛП4ОС1ДН</t>
  </si>
  <si>
    <t>5Б3ЛП2ДН+ОС</t>
  </si>
  <si>
    <t>5Б3ОЛЧ1ОС1ДН</t>
  </si>
  <si>
    <t>5ОС4ЛП1ДН</t>
  </si>
  <si>
    <t>4ДН1КЛ3ЛП2ОС</t>
  </si>
  <si>
    <t>6ОС4ЛП+ДН</t>
  </si>
  <si>
    <t>4ДН1КЛ3ЛП1Б1ОС</t>
  </si>
  <si>
    <t>6ОС2Б2ЛП+Д</t>
  </si>
  <si>
    <t>10ОЛЧ</t>
  </si>
  <si>
    <t>5ДН3ЛП2ОС+Б</t>
  </si>
  <si>
    <t>6ОС3ЛП1Д</t>
  </si>
  <si>
    <t>1</t>
  </si>
  <si>
    <t>5С2Б2ЛП1ОС</t>
  </si>
  <si>
    <t>4Б2ОС2ЛП2ДН</t>
  </si>
  <si>
    <t>10ДН</t>
  </si>
  <si>
    <t>5</t>
  </si>
  <si>
    <t>Вишнево-Полянское/90/1</t>
  </si>
  <si>
    <t>Вишнево-Полянское/90/18</t>
  </si>
  <si>
    <t>5ОС3ЛП2ДН+Б</t>
  </si>
  <si>
    <t>5ДН3ЛП2ОС+КЛ</t>
  </si>
  <si>
    <t>4ЛП2ОС4ДН</t>
  </si>
  <si>
    <t>Аксубаевский</t>
  </si>
  <si>
    <t>5ОС2Б2ЛП1Д</t>
  </si>
  <si>
    <t>6ОЛЧ1Б1ОС2В</t>
  </si>
  <si>
    <t>10ОЛЧ+Б</t>
  </si>
  <si>
    <t>Восходское</t>
  </si>
  <si>
    <t>Восходское/9/19</t>
  </si>
  <si>
    <t>8ОС1Б1ЛП+ДН</t>
  </si>
  <si>
    <t>Восходское/24/1</t>
  </si>
  <si>
    <t>Восходское/36/10</t>
  </si>
  <si>
    <t>Восходское/40/7</t>
  </si>
  <si>
    <t>Восходское/41/7</t>
  </si>
  <si>
    <t>Восходское/42/10</t>
  </si>
  <si>
    <t>Восходское/42/12</t>
  </si>
  <si>
    <t>Восходское/45/8</t>
  </si>
  <si>
    <t>4Б4ОС2ЛП</t>
  </si>
  <si>
    <t>6ЛП1Б1ДН1ЛП1ДН</t>
  </si>
  <si>
    <t>5ОС3ЛП2КЛ+Д</t>
  </si>
  <si>
    <t>9ОС1ЛП+Д</t>
  </si>
  <si>
    <t>7Б3ОС+КЛ</t>
  </si>
  <si>
    <t>5ЛП3Б1ОС1ДН</t>
  </si>
  <si>
    <t>4Б3ОС2ЛП1КЛ</t>
  </si>
  <si>
    <t>7ЛП3Д+Б</t>
  </si>
  <si>
    <t>5ОС3Б1ЛП1Д</t>
  </si>
  <si>
    <t>5ДН2ЛП2ОС1Б</t>
  </si>
  <si>
    <t>7ДН2ЛП1ОС+КЛ</t>
  </si>
  <si>
    <t>6ЛП2ОС2Д</t>
  </si>
  <si>
    <t>6ОС2ЛП1Б1Д+КЛ</t>
  </si>
  <si>
    <t>8ЛП1Б1ОС+Д</t>
  </si>
  <si>
    <t>5ЛП3ОС2Д+Б</t>
  </si>
  <si>
    <t>5Б3ОС1ЛП1Д</t>
  </si>
  <si>
    <t>3Б3ОС3ЛП1КЛ</t>
  </si>
  <si>
    <t>7ОС3Б+Д</t>
  </si>
  <si>
    <t>4КЛ1Д1В4ЛП+Б</t>
  </si>
  <si>
    <t>5ЛП1ОС3КЛ1Д</t>
  </si>
  <si>
    <t>4ОС3ЛП2Б1Д</t>
  </si>
  <si>
    <t>5ОС3ЛП2Д</t>
  </si>
  <si>
    <t>Мамыковское/8/5</t>
  </si>
  <si>
    <t>6Б2ОС1ЛП1Д</t>
  </si>
  <si>
    <t>4ЛП2Б2ОС1Д1КЛ</t>
  </si>
  <si>
    <t>6ЛП2ОС1Б1Д+КЛ</t>
  </si>
  <si>
    <t>8ОС1ЛП1Д+Б</t>
  </si>
  <si>
    <t>5ЛП3Б2ОС+Д</t>
  </si>
  <si>
    <t>6ЛП2ОС1Д1КЛ+Б</t>
  </si>
  <si>
    <t>Мамыковское/25/2</t>
  </si>
  <si>
    <t>5Б3ЛП1ОС1Д</t>
  </si>
  <si>
    <t>4Б2ЛП1ОС2КЛ1Д</t>
  </si>
  <si>
    <t>4Б2ОС3ЛП1Д</t>
  </si>
  <si>
    <t>5ОС3Б2ЛП+С</t>
  </si>
  <si>
    <t>Мамыковское/52/4</t>
  </si>
  <si>
    <t>Мамыковское/52/22</t>
  </si>
  <si>
    <t>Мамыковское/52/35</t>
  </si>
  <si>
    <t>Мамыковское/53/10</t>
  </si>
  <si>
    <t>4Б3ЛП2ОС1Д</t>
  </si>
  <si>
    <t>5ОС4ЛП1Д</t>
  </si>
  <si>
    <t>4Б2ОС2ЛП2ДН+В</t>
  </si>
  <si>
    <t>5Б2ЛП2ОС1Д</t>
  </si>
  <si>
    <t>6ЛП1Б1ОС1Д1КЛ</t>
  </si>
  <si>
    <t>8ОС1ЛП1Б+КЛ</t>
  </si>
  <si>
    <t>4Б3ОС2ЛП1Д</t>
  </si>
  <si>
    <t>Мамыковское/90/5</t>
  </si>
  <si>
    <t>Мамыковское/90/8</t>
  </si>
  <si>
    <t>Мамыковское/90/12</t>
  </si>
  <si>
    <t>Мамыковское/91/9</t>
  </si>
  <si>
    <t>Мамыковское/96/5</t>
  </si>
  <si>
    <t>4ОС2ЛП1Б2Д1КЛ</t>
  </si>
  <si>
    <t>8ОЛЧ2Б</t>
  </si>
  <si>
    <t>Вяз</t>
  </si>
  <si>
    <t>9ОЛЧ1Б</t>
  </si>
  <si>
    <t>7Б1ОС1ЛП1Д</t>
  </si>
  <si>
    <t>5Б3ЛП2КЛ+ЛП</t>
  </si>
  <si>
    <t>9Б1КЛ+ЛП</t>
  </si>
  <si>
    <t>Тимерликовское/11/3</t>
  </si>
  <si>
    <t>Тимерликовское/11/5</t>
  </si>
  <si>
    <t>Тимерликовское/11/8</t>
  </si>
  <si>
    <t>Тимерликовское/11/17</t>
  </si>
  <si>
    <t>6Б2ОС2ЛП+В</t>
  </si>
  <si>
    <t>Тимерликовское/11/27</t>
  </si>
  <si>
    <t>Тимерликовское/16/6</t>
  </si>
  <si>
    <t>Тимерликовское/16/9</t>
  </si>
  <si>
    <t>5ОС4ЛП1Б+ЛП</t>
  </si>
  <si>
    <t>4Б3ОС1ЛП2КЛ</t>
  </si>
  <si>
    <t>5Б4ОС1ЛП+ОЛЧ</t>
  </si>
  <si>
    <t>9Б1ЛП+КЛ</t>
  </si>
  <si>
    <t>9Б1Д+ЛП</t>
  </si>
  <si>
    <t>3Б3ОС3КЛ1Д+В</t>
  </si>
  <si>
    <t>5ЛП2ОС2Б1КЛ</t>
  </si>
  <si>
    <t>5ЛП3ОС2Б+Д</t>
  </si>
  <si>
    <t>7ОС1Б1ЛП1ИВ</t>
  </si>
  <si>
    <t>8Б2ОЛЧ</t>
  </si>
  <si>
    <t>Тимерликовское/115/6</t>
  </si>
  <si>
    <t>8ОЛЧ2ОЛЧ</t>
  </si>
  <si>
    <t>Тумбинское/3/3</t>
  </si>
  <si>
    <t>Тумбинское/4/1</t>
  </si>
  <si>
    <t>Тумбинское/4/2</t>
  </si>
  <si>
    <t>4Б2ЛП2ДН2КЛ</t>
  </si>
  <si>
    <t>Тумбинское/54/9</t>
  </si>
  <si>
    <t>5ОС2Б2ЛП1С</t>
  </si>
  <si>
    <t>Тумбинское/57/19</t>
  </si>
  <si>
    <t>Тумбинское/68/7</t>
  </si>
  <si>
    <t>5ЛП3ДН2КЛ+В</t>
  </si>
  <si>
    <t>6ЛП3ДН1КЛ+В</t>
  </si>
  <si>
    <t>3ДН1КЛ1В3ЛП2Б</t>
  </si>
  <si>
    <t>Тумбинское/114/10</t>
  </si>
  <si>
    <t>6Б3ОС1ЛП+В</t>
  </si>
  <si>
    <t>5ОС2ЛП1Д1КЛ1В+Б</t>
  </si>
  <si>
    <t>10Б+ОЛЧ</t>
  </si>
  <si>
    <t>Тумбинское/136/11</t>
  </si>
  <si>
    <t>5ЛП3ЛП2ОС+Б</t>
  </si>
  <si>
    <t>4Б2ОС2ЛП1Д1В</t>
  </si>
  <si>
    <t>4ЛП1Б3Д2КЛ+В</t>
  </si>
  <si>
    <t>6ЛП1Б1Д1ЛП1ОС</t>
  </si>
  <si>
    <t>Чулпановское/14/10</t>
  </si>
  <si>
    <t>4ОС3ЛП1Б2Д+КЛ</t>
  </si>
  <si>
    <t>7Б2ЛП1КЛ+Д</t>
  </si>
  <si>
    <t>Чулпановское/18/69</t>
  </si>
  <si>
    <t>8ОС2Б+КЛ+Д</t>
  </si>
  <si>
    <t>4КЛ2Д2ЛП1ОС1Б</t>
  </si>
  <si>
    <t>6ЛП2Д2В+КЛ</t>
  </si>
  <si>
    <t>3Д1В1КЛ3ЛП2Б</t>
  </si>
  <si>
    <t>6ОЛЧ3ОЛЧ1Б</t>
  </si>
  <si>
    <t>9ОЛЧ1ОС+Б</t>
  </si>
  <si>
    <t>Чулпановское/59/57</t>
  </si>
  <si>
    <t>Чулпановское/67/34</t>
  </si>
  <si>
    <t>8ОЛЧ2ОЛЧ+ОС</t>
  </si>
  <si>
    <t>5В3ЛП1Д1ЛП</t>
  </si>
  <si>
    <t>Минимальный размер платы по договору купли-продажи лесных насаждений , руб</t>
  </si>
  <si>
    <t xml:space="preserve">по лесосекам выставляемым на аукцион для субъектов малого и среднего предпринимательства </t>
  </si>
  <si>
    <t xml:space="preserve">мягколиственное </t>
  </si>
  <si>
    <t>га</t>
  </si>
  <si>
    <t>м3</t>
  </si>
  <si>
    <t>Мероприятия</t>
  </si>
  <si>
    <t>км</t>
  </si>
  <si>
    <t>Очистка от захламленности</t>
  </si>
  <si>
    <t>Создание лесных культур</t>
  </si>
  <si>
    <t>Агротехнический уход</t>
  </si>
  <si>
    <t>Дополнение лесных культур</t>
  </si>
  <si>
    <t xml:space="preserve">Коэффициент </t>
  </si>
  <si>
    <t>ОК</t>
  </si>
  <si>
    <t>кв</t>
  </si>
  <si>
    <t>выд</t>
  </si>
  <si>
    <t>площ</t>
  </si>
  <si>
    <t>руб</t>
  </si>
  <si>
    <t>коэф</t>
  </si>
  <si>
    <t>аук. Цена</t>
  </si>
  <si>
    <t>периметр</t>
  </si>
  <si>
    <t xml:space="preserve">стоим. 1 м3 </t>
  </si>
  <si>
    <t>Разница</t>
  </si>
  <si>
    <t>делянка</t>
  </si>
  <si>
    <t>уч.  л-во</t>
  </si>
  <si>
    <t>Приложение №3</t>
  </si>
  <si>
    <t>к Договору</t>
  </si>
  <si>
    <t>купли-продажи лесных насаждений</t>
  </si>
  <si>
    <t>РАСЧЕТ</t>
  </si>
  <si>
    <t>платы по договору купли-продажи лесных насаждений</t>
  </si>
  <si>
    <t>___________________</t>
  </si>
  <si>
    <t>"____"_______________20_____г</t>
  </si>
  <si>
    <t>объема лесных ресурсов и ставках платы за единицу площади лесного участка, находящегося в федеральной собственности" (с изменениями от 30 июня 2007 года)</t>
  </si>
  <si>
    <t>Вид рубки</t>
  </si>
  <si>
    <t>№ квартала</t>
  </si>
  <si>
    <t>№ выдела</t>
  </si>
  <si>
    <t>Площадь,га</t>
  </si>
  <si>
    <t>Деловая древесина</t>
  </si>
  <si>
    <t>Дрова</t>
  </si>
  <si>
    <t>Всего, куб.м</t>
  </si>
  <si>
    <t>крупная</t>
  </si>
  <si>
    <t>средняя</t>
  </si>
  <si>
    <t>мелкая</t>
  </si>
  <si>
    <t>итого</t>
  </si>
  <si>
    <t>сплошная рубка</t>
  </si>
  <si>
    <t>стоимость</t>
  </si>
  <si>
    <t>итого куб.м</t>
  </si>
  <si>
    <t>Реквизиты для оплаты</t>
  </si>
  <si>
    <t>БИК 049205001</t>
  </si>
  <si>
    <t>Счет № 40101810800000010001</t>
  </si>
  <si>
    <t>ИНН 1660098481 КПП 165701001</t>
  </si>
  <si>
    <t>Управление Федерального казначейства по Республике Татарстан</t>
  </si>
  <si>
    <t xml:space="preserve">(Министерство лесного хозяйства Республики Татарстан) </t>
  </si>
  <si>
    <t>КБК-  053 1 12 04011 016000 120</t>
  </si>
  <si>
    <t>ОКТМО – 92646000</t>
  </si>
  <si>
    <t>Продавец</t>
  </si>
  <si>
    <t>Покупатель</t>
  </si>
  <si>
    <t>(фамилия, имя, отчество)</t>
  </si>
  <si>
    <t>(подпись)</t>
  </si>
  <si>
    <t>М.П.</t>
  </si>
  <si>
    <t>№ делянки</t>
  </si>
  <si>
    <t>стоимость, руб</t>
  </si>
  <si>
    <t xml:space="preserve">Расчет начальной цены Лота на право заключения договора купли-продажи лесных насаждений 
с представителями малого и среднего предпринимательства
</t>
  </si>
  <si>
    <t>Исходные данные:</t>
  </si>
  <si>
    <t>Место расположения лесосеки</t>
  </si>
  <si>
    <t>Площадь лесного участка, га.</t>
  </si>
  <si>
    <t xml:space="preserve">Объем древесины, куб.м. </t>
  </si>
  <si>
    <t>стоимость 
за 1 куб.м., руб.</t>
  </si>
  <si>
    <t>Минимальная ставка платы, руб.</t>
  </si>
  <si>
    <t>Состав лесных насаждений</t>
  </si>
  <si>
    <t>возраст</t>
  </si>
  <si>
    <t>способ рубки</t>
  </si>
  <si>
    <t>Сплошная</t>
  </si>
  <si>
    <t>Затраты на 
единицу 
работ</t>
  </si>
  <si>
    <t>Объем работ 
по регламенту</t>
  </si>
  <si>
    <t>Затраты 
всего</t>
  </si>
  <si>
    <t>Выполнение работ по отводу и таксации лесосеки</t>
  </si>
  <si>
    <t>Прочистка и обновление противопожарных минерализованных полос</t>
  </si>
  <si>
    <t>Устройство противопожарных минерализованных полос</t>
  </si>
  <si>
    <t xml:space="preserve">Проведение рубок ухода за молодняками 
(осветления, прочистки) </t>
  </si>
  <si>
    <t>Содействие естественному восстановлению</t>
  </si>
  <si>
    <t>Подготовка почвы под лесные культуры</t>
  </si>
  <si>
    <t>Расчет коэффициента:</t>
  </si>
  <si>
    <t>Расчет коэффициентов</t>
  </si>
  <si>
    <t>K1=</t>
  </si>
  <si>
    <t>К2=</t>
  </si>
  <si>
    <t>К3=</t>
  </si>
  <si>
    <t>K4=</t>
  </si>
  <si>
    <t>K=</t>
  </si>
  <si>
    <t>Начальная цена Лота составит, руб.:</t>
  </si>
  <si>
    <t>за 1 куб.м., руб.</t>
  </si>
  <si>
    <t>ГКУ "Нурлатское лесничество"</t>
  </si>
  <si>
    <t>состав</t>
  </si>
  <si>
    <t>цена за 1 м3</t>
  </si>
  <si>
    <t>Назиров А.А.</t>
  </si>
  <si>
    <t>отделение НБ РТ Банка России г. Казань</t>
  </si>
  <si>
    <t>ФИЛЬТР ДЛЯ ВЫВОДА УЧАСТКОВ В ОДИН СТОЛБЕЦ</t>
  </si>
  <si>
    <t>В ЭТОЙ ФОРМЕ  НИЧЕГО НЕ ВВОДИТЬ</t>
  </si>
  <si>
    <t>ВР</t>
  </si>
  <si>
    <t>Вишнево-Полянское/6/15/1</t>
  </si>
  <si>
    <t>Вишнево-Полянское/6/15/1/Береза</t>
  </si>
  <si>
    <t>Вишнево-Полянское/6/15/1/Липа</t>
  </si>
  <si>
    <t>Вишнево-Полянское/6/15/1/Итого</t>
  </si>
  <si>
    <t>Вишнево-Полянское/6/21/1</t>
  </si>
  <si>
    <t>Вишнево-Полянское/6/21/1/Осина</t>
  </si>
  <si>
    <t>Вишнево-Полянское/6/21/1/Береза</t>
  </si>
  <si>
    <t>Вишнево-Полянское/6/21/1/Липа</t>
  </si>
  <si>
    <t>Вишнево-Полянское/6/21/1/Итого</t>
  </si>
  <si>
    <t>Вишнево-Полянское/7/1/1</t>
  </si>
  <si>
    <t>Вишнево-Полянское/7/1/1/Осина</t>
  </si>
  <si>
    <t>Вишнево-Полянское/7/1/1/Береза</t>
  </si>
  <si>
    <t>Вишнево-Полянское/7/1/1/Липа</t>
  </si>
  <si>
    <t>Вишнево-Полянское/7/1/1/Дуб</t>
  </si>
  <si>
    <t>Вишнево-Полянское/7/1/1/Итого</t>
  </si>
  <si>
    <t>Вишнево-Полянское/7/8/1</t>
  </si>
  <si>
    <t>Вишнево-Полянское/7/8/1/Осина</t>
  </si>
  <si>
    <t>Вишнево-Полянское/7/8/1/Береза</t>
  </si>
  <si>
    <t>Вишнево-Полянское/7/8/1/Липа</t>
  </si>
  <si>
    <t>Вишнево-Полянское/7/8/1/Итого</t>
  </si>
  <si>
    <t>Вишнево-Полянское/7/15/1</t>
  </si>
  <si>
    <t>Вишнево-Полянское/7/15/1/Осина</t>
  </si>
  <si>
    <t>Вишнево-Полянское/7/15/1/Береза</t>
  </si>
  <si>
    <t>Вишнево-Полянское/7/15/1/Итого</t>
  </si>
  <si>
    <t>Вишнево-Полянское/8/10/1</t>
  </si>
  <si>
    <t>Вишнево-Полянское/8/10/1/Осина</t>
  </si>
  <si>
    <t>Вишнево-Полянское/8/10/1/Береза</t>
  </si>
  <si>
    <t>Вишнево-Полянское/8/10/1/Липа</t>
  </si>
  <si>
    <t>Вишнево-Полянское/8/10/1/Дуб</t>
  </si>
  <si>
    <t>Вишнево-Полянское/8/10/1/Итого</t>
  </si>
  <si>
    <t>Вишнево-Полянское/8/17/1</t>
  </si>
  <si>
    <t>Вишнево-Полянское/8/17/1/Осина</t>
  </si>
  <si>
    <t>Вишнево-Полянское/8/17/1/Береза</t>
  </si>
  <si>
    <t>Вишнево-Полянское/8/17/1/Итого</t>
  </si>
  <si>
    <t>Вишнево-Полянское/10/1/1</t>
  </si>
  <si>
    <t>Вишнево-Полянское/10/1/1/Осина</t>
  </si>
  <si>
    <t>Вишнево-Полянское/10/1/1/Береза</t>
  </si>
  <si>
    <t>Вишнево-Полянское/10/1/1/Липа</t>
  </si>
  <si>
    <t>Вишнево-Полянское/10/1/1/Итого</t>
  </si>
  <si>
    <t>Вишнево-Полянское/10/11/1</t>
  </si>
  <si>
    <t>Вишнево-Полянское/10/11/1/Осина</t>
  </si>
  <si>
    <t>Вишнево-Полянское/10/11/1/Береза</t>
  </si>
  <si>
    <t>Вишнево-Полянское/10/11/1/Липа</t>
  </si>
  <si>
    <t>Вишнево-Полянское/10/11/1/Итого</t>
  </si>
  <si>
    <t>Вишнево-Полянское/11/12/1</t>
  </si>
  <si>
    <t>Вишнево-Полянское/11/12/1/Осина</t>
  </si>
  <si>
    <t>Вишнево-Полянское/11/12/1/Береза</t>
  </si>
  <si>
    <t>Вишнево-Полянское/11/12/1/Липа</t>
  </si>
  <si>
    <t>Вишнево-Полянское/11/12/1/Итого</t>
  </si>
  <si>
    <t>Вишнево-Полянское/12/21/1</t>
  </si>
  <si>
    <t>Вишнево-Полянское/12/21/1/Осина</t>
  </si>
  <si>
    <t>Вишнево-Полянское/12/21/1/Береза</t>
  </si>
  <si>
    <t>Вишнево-Полянское/12/21/1/Итого</t>
  </si>
  <si>
    <t>Вишнево-Полянское/15/3/1</t>
  </si>
  <si>
    <t>Вишнево-Полянское/15/3/1/Осина</t>
  </si>
  <si>
    <t>Вишнево-Полянское/15/3/1/Дуб</t>
  </si>
  <si>
    <t>Вишнево-Полянское/15/3/1/Липа</t>
  </si>
  <si>
    <t>Вишнево-Полянское/15/3/1/Итого</t>
  </si>
  <si>
    <t>Вишнево-Полянское/15/7/1</t>
  </si>
  <si>
    <t>Вишнево-Полянское/15/7/1/Осина</t>
  </si>
  <si>
    <t>Вишнево-Полянское/15/7/1/Береза</t>
  </si>
  <si>
    <t>Вишнево-Полянское/15/7/1/Липа</t>
  </si>
  <si>
    <t>Вишнево-Полянское/15/7/1/Дуб</t>
  </si>
  <si>
    <t>Вишнево-Полянское/15/7/1/Итого</t>
  </si>
  <si>
    <t>Вишнево-Полянское/15/23/1</t>
  </si>
  <si>
    <t>Вишнево-Полянское/15/23/1/Осина</t>
  </si>
  <si>
    <t>Вишнево-Полянское/15/23/1/Липа</t>
  </si>
  <si>
    <t>Вишнево-Полянское/15/23/1/Итого</t>
  </si>
  <si>
    <t>Вишнево-Полянское/24/22/1</t>
  </si>
  <si>
    <t>Вишнево-Полянское/24/22/1/Осина</t>
  </si>
  <si>
    <t>Вишнево-Полянское/24/22/1/Береза</t>
  </si>
  <si>
    <t>Вишнево-Полянское/24/22/1/Липа</t>
  </si>
  <si>
    <t>Вишнево-Полянское/24/22/1/Итого</t>
  </si>
  <si>
    <t>Вишнево-Полянское/24/8/1</t>
  </si>
  <si>
    <t>Вишнево-Полянское/24/8/1/Осина</t>
  </si>
  <si>
    <t>Вишнево-Полянское/24/8/1/Береза</t>
  </si>
  <si>
    <t>Вишнево-Полянское/24/8/1/Липа</t>
  </si>
  <si>
    <t>Вишнево-Полянское/24/8/1/Итого</t>
  </si>
  <si>
    <t>Вишнево-Полянское/26/11/1</t>
  </si>
  <si>
    <t>Вишнево-Полянское/26/11/1/Осина</t>
  </si>
  <si>
    <t>Вишнево-Полянское/26/11/1/Береза</t>
  </si>
  <si>
    <t>Вишнево-Полянское/26/11/1/Липа</t>
  </si>
  <si>
    <t>Вишнево-Полянское/26/11/1/Итого</t>
  </si>
  <si>
    <t>Вишнево-Полянское/27/9/1</t>
  </si>
  <si>
    <t>Вишнево-Полянское/27/9/1/Осина</t>
  </si>
  <si>
    <t>Вишнево-Полянское/27/9/1/Береза</t>
  </si>
  <si>
    <t>Вишнево-Полянское/27/9/1/Липа</t>
  </si>
  <si>
    <t>Вишнево-Полянское/27/9/1/Итого</t>
  </si>
  <si>
    <t>Вишнево-Полянское/30/9/1</t>
  </si>
  <si>
    <t>Вишнево-Полянское/30/9/1/Осина</t>
  </si>
  <si>
    <t>Вишнево-Полянское/30/9/1/Береза</t>
  </si>
  <si>
    <t>Вишнево-Полянское/30/9/1/Липа</t>
  </si>
  <si>
    <t>Вишнево-Полянское/30/9/1/Итого</t>
  </si>
  <si>
    <t>Вишнево-Полянское/30/11/1</t>
  </si>
  <si>
    <t>Вишнево-Полянское/30/11/1/Осина</t>
  </si>
  <si>
    <t>Вишнево-Полянское/30/11/1/Береза</t>
  </si>
  <si>
    <t>Вишнево-Полянское/30/11/1/Липа</t>
  </si>
  <si>
    <t>Вишнево-Полянское/30/11/1/Итого</t>
  </si>
  <si>
    <t>Вишнево-Полянское/30/14/1</t>
  </si>
  <si>
    <t>Вишнево-Полянское/30/14/1/Осина</t>
  </si>
  <si>
    <t>Вишнево-Полянское/30/14/1/Липа</t>
  </si>
  <si>
    <t>Вишнево-Полянское/30/14/1/Итого</t>
  </si>
  <si>
    <t>Вишнево-Полянское/37/14/1</t>
  </si>
  <si>
    <t>Вишнево-Полянское/37/14/1/Осина</t>
  </si>
  <si>
    <t>Вишнево-Полянское/37/14/1/Береза</t>
  </si>
  <si>
    <t>Вишнево-Полянское/37/14/1/Итого</t>
  </si>
  <si>
    <t>Вишнево-Полянское/40/3/1</t>
  </si>
  <si>
    <t>Вишнево-Полянское/40/3/1/Осина</t>
  </si>
  <si>
    <t>Вишнево-Полянское/40/3/1/Береза</t>
  </si>
  <si>
    <t>Вишнево-Полянское/40/3/1/Итого</t>
  </si>
  <si>
    <t>Вишнево-Полянское/43/14/1</t>
  </si>
  <si>
    <t>Вишнево-Полянское/43/14/1/Осина</t>
  </si>
  <si>
    <t>Вишнево-Полянское/43/14/1/Береза</t>
  </si>
  <si>
    <t>Вишнево-Полянское/43/14/1/Липа</t>
  </si>
  <si>
    <t>Вишнево-Полянское/43/14/1/Дуб</t>
  </si>
  <si>
    <t>Вишнево-Полянское/43/14/1/Итого</t>
  </si>
  <si>
    <t>Вишнево-Полянское/60/9/1</t>
  </si>
  <si>
    <t>Вишнево-Полянское/60/9/1/Осина</t>
  </si>
  <si>
    <t>Вишнево-Полянское/60/9/1/Дуб</t>
  </si>
  <si>
    <t>Вишнево-Полянское/60/9/1/Липа</t>
  </si>
  <si>
    <t>Вишнево-Полянское/60/9/1/Итого</t>
  </si>
  <si>
    <t>Вишнево-Полянское/87/14/1</t>
  </si>
  <si>
    <t>Вишнево-Полянское/87/14/1/Осина</t>
  </si>
  <si>
    <t>Вишнево-Полянское/87/14/1/Береза</t>
  </si>
  <si>
    <t>Вишнево-Полянское/87/14/1/Липа</t>
  </si>
  <si>
    <t>Вишнево-Полянское/87/14/1/Дуб</t>
  </si>
  <si>
    <t>Вишнево-Полянское/87/14/1/Итого</t>
  </si>
  <si>
    <t>Вишнево-Полянское/104/6/1</t>
  </si>
  <si>
    <t>Вишнево-Полянское/104/6/1/Осина</t>
  </si>
  <si>
    <t>Вишнево-Полянское/104/6/1/Дуб</t>
  </si>
  <si>
    <t>Вишнево-Полянское/104/6/1/Липа</t>
  </si>
  <si>
    <t>Вишнево-Полянское/104/6/1/Итого</t>
  </si>
  <si>
    <t>Восходское/1/6/1</t>
  </si>
  <si>
    <t>Восходское/1/6/1/Осина</t>
  </si>
  <si>
    <t>Восходское/1/6/1/Береза</t>
  </si>
  <si>
    <t>Восходское/1/6/1/Итого</t>
  </si>
  <si>
    <t>Восходское/15/24/1</t>
  </si>
  <si>
    <t>Восходское/15/24/1/Береза</t>
  </si>
  <si>
    <t>Восходское/15/24/1/Липа</t>
  </si>
  <si>
    <t>Восходское/15/24/1/Осина</t>
  </si>
  <si>
    <t>Восходское/15/24/1/Итого</t>
  </si>
  <si>
    <t>Восходское/15/39/1</t>
  </si>
  <si>
    <t>Восходское/15/39/1/Береза</t>
  </si>
  <si>
    <t>Восходское/15/39/1/Липа</t>
  </si>
  <si>
    <t>Восходское/15/39/1/Осина</t>
  </si>
  <si>
    <t>Восходское/15/39/1/Итого</t>
  </si>
  <si>
    <t>Восходское/15/42/1</t>
  </si>
  <si>
    <t>Восходское/15/42/1/Осина</t>
  </si>
  <si>
    <t>Восходское/15/42/1/Береза</t>
  </si>
  <si>
    <t>Восходское/15/42/1/Липа</t>
  </si>
  <si>
    <t>Восходское/15/42/1/Итого</t>
  </si>
  <si>
    <t>Восходское/16/29/1</t>
  </si>
  <si>
    <t>Восходское/16/29/1/Осина</t>
  </si>
  <si>
    <t>Восходское/16/29/1/Береза</t>
  </si>
  <si>
    <t>Восходское/16/29/1/Итого</t>
  </si>
  <si>
    <t>Восходское/23/7/1</t>
  </si>
  <si>
    <t>Восходское/23/7/1/Осина</t>
  </si>
  <si>
    <t>Восходское/23/7/1/Береза</t>
  </si>
  <si>
    <t>Восходское/23/7/1/Липа</t>
  </si>
  <si>
    <t>Восходское/23/7/1/Итого</t>
  </si>
  <si>
    <t>Восходское/46/3/1</t>
  </si>
  <si>
    <t>Восходское/46/3/1/Осина</t>
  </si>
  <si>
    <t>Восходское/46/3/1/Береза</t>
  </si>
  <si>
    <t>Восходское/46/3/1/Липа</t>
  </si>
  <si>
    <t>Восходское/46/3/1/Итого</t>
  </si>
  <si>
    <t>Восходское/49/29/1</t>
  </si>
  <si>
    <t>Восходское/49/29/1/Береза</t>
  </si>
  <si>
    <t>Восходское/49/29/1/Липа</t>
  </si>
  <si>
    <t>Восходское/49/29/1/Дуб</t>
  </si>
  <si>
    <t>Восходское/49/29/1/Итого</t>
  </si>
  <si>
    <t>Восходское/54/12/1</t>
  </si>
  <si>
    <t>Восходское/54/12/1/Осина</t>
  </si>
  <si>
    <t>Восходское/54/12/1/Береза</t>
  </si>
  <si>
    <t>Восходское/54/12/1/Итого</t>
  </si>
  <si>
    <t>Восходское/60/23/1</t>
  </si>
  <si>
    <t>Восходское/60/23/1/Осина</t>
  </si>
  <si>
    <t>Восходское/60/23/1/Береза</t>
  </si>
  <si>
    <t>Восходское/60/23/1/Липа</t>
  </si>
  <si>
    <t>Восходское/60/23/1/Итого</t>
  </si>
  <si>
    <t>Восходское/69/14/1</t>
  </si>
  <si>
    <t>Восходское/69/14/1/Осина</t>
  </si>
  <si>
    <t>Восходское/69/14/1/Береза</t>
  </si>
  <si>
    <t>Восходское/69/14/1/Липа</t>
  </si>
  <si>
    <t>Восходское/69/14/1/Дуб</t>
  </si>
  <si>
    <t>Восходское/69/14/1/Итого</t>
  </si>
  <si>
    <t>Восходское/71/13/1</t>
  </si>
  <si>
    <t>Восходское/71/13/1/Осина</t>
  </si>
  <si>
    <t>Восходское/71/13/1/Береза</t>
  </si>
  <si>
    <t>Восходское/71/13/1/Липа</t>
  </si>
  <si>
    <t>Восходское/71/13/1/Итого</t>
  </si>
  <si>
    <t>Восходское/77/14/1</t>
  </si>
  <si>
    <t>Восходское/77/14/1/Осина</t>
  </si>
  <si>
    <t>Восходское/77/14/1/Береза</t>
  </si>
  <si>
    <t>Восходское/77/14/1/Липа</t>
  </si>
  <si>
    <t>Восходское/77/14/1/Итого</t>
  </si>
  <si>
    <t>Восходское/86/10/1</t>
  </si>
  <si>
    <t>Восходское/86/10/1/Осина</t>
  </si>
  <si>
    <t>Восходское/86/10/1/Береза</t>
  </si>
  <si>
    <t>Восходское/86/10/1/Липа</t>
  </si>
  <si>
    <t>Восходское/86/10/1/Итого</t>
  </si>
  <si>
    <t>Мамыковское/1/5/1</t>
  </si>
  <si>
    <t>Мамыковское/1/5/1/Осина</t>
  </si>
  <si>
    <t>Мамыковское/1/5/1/Береза</t>
  </si>
  <si>
    <t>Мамыковское/1/5/1/Итого</t>
  </si>
  <si>
    <t>Мамыковское/2/5/1</t>
  </si>
  <si>
    <t>Мамыковское/2/5/1/Осина</t>
  </si>
  <si>
    <t>Мамыковское/2/5/1/Береза</t>
  </si>
  <si>
    <t>Мамыковское/2/5/1/Липа</t>
  </si>
  <si>
    <t>Мамыковское/2/5/1/Итого</t>
  </si>
  <si>
    <t>Мамыковское/2/15/1</t>
  </si>
  <si>
    <t>Мамыковское/2/15/1/Осина</t>
  </si>
  <si>
    <t>Мамыковское/2/15/1/Береза</t>
  </si>
  <si>
    <t>Мамыковское/2/15/1/Итого</t>
  </si>
  <si>
    <t>Мамыковское/3/10/1</t>
  </si>
  <si>
    <t>Мамыковское/3/10/1/Осина</t>
  </si>
  <si>
    <t>Мамыковское/3/10/1/Береза</t>
  </si>
  <si>
    <t>Мамыковское/3/10/1/Итого</t>
  </si>
  <si>
    <t>Мамыковское/8/10/1</t>
  </si>
  <si>
    <t>Мамыковское/8/10/1/Осина</t>
  </si>
  <si>
    <t>Мамыковское/8/10/1/Липа</t>
  </si>
  <si>
    <t>Мамыковское/8/10/1/Итого</t>
  </si>
  <si>
    <t>Мамыковское/9/6/1</t>
  </si>
  <si>
    <t>Мамыковское/9/6/1/Осина</t>
  </si>
  <si>
    <t>Мамыковское/9/6/1/Итого</t>
  </si>
  <si>
    <t>Мамыковское/10/7/1</t>
  </si>
  <si>
    <t>Мамыковское/10/7/1/Осина</t>
  </si>
  <si>
    <t>Мамыковское/10/7/1/Итого</t>
  </si>
  <si>
    <t>Мамыковское/14/23/1</t>
  </si>
  <si>
    <t>Мамыковское/14/23/1/Осина</t>
  </si>
  <si>
    <t>Мамыковское/14/23/1/Береза</t>
  </si>
  <si>
    <t>Мамыковское/14/23/1/Итого</t>
  </si>
  <si>
    <t>Мамыковское/19/6/1</t>
  </si>
  <si>
    <t>Мамыковское/19/6/1/Осина</t>
  </si>
  <si>
    <t>Мамыковское/19/6/1/Береза</t>
  </si>
  <si>
    <t>Мамыковское/19/6/1/Липа</t>
  </si>
  <si>
    <t>Мамыковское/19/6/1/Итого</t>
  </si>
  <si>
    <t>Мамыковское/19/17/1</t>
  </si>
  <si>
    <t>Мамыковское/19/17/1/Осина</t>
  </si>
  <si>
    <t>Мамыковское/19/17/1/Липа</t>
  </si>
  <si>
    <t>Мамыковское/19/17/1/Итого</t>
  </si>
  <si>
    <t>Мамыковское/22/3/1</t>
  </si>
  <si>
    <t>Мамыковское/22/3/1/Осина</t>
  </si>
  <si>
    <t>Мамыковское/22/3/1/Береза</t>
  </si>
  <si>
    <t>Мамыковское/22/3/1/Липа</t>
  </si>
  <si>
    <t>Мамыковское/22/3/1/Итого</t>
  </si>
  <si>
    <t>Мамыковское/30/7/1</t>
  </si>
  <si>
    <t>Мамыковское/30/7/1/Осина</t>
  </si>
  <si>
    <t>Мамыковское/30/7/1/Береза</t>
  </si>
  <si>
    <t>Мамыковское/30/7/1/Липа</t>
  </si>
  <si>
    <t>Мамыковское/30/7/1/Итого</t>
  </si>
  <si>
    <t>Мамыковское/54/9/1</t>
  </si>
  <si>
    <t>Мамыковское/54/9/1/Осина</t>
  </si>
  <si>
    <t>Мамыковское/54/9/1/Береза</t>
  </si>
  <si>
    <t>Мамыковское/54/9/1/Липа</t>
  </si>
  <si>
    <t>Мамыковское/54/9/1/Дуб</t>
  </si>
  <si>
    <t>Мамыковское/54/9/1/Итого</t>
  </si>
  <si>
    <t>Мамыковское/64/5/1</t>
  </si>
  <si>
    <t>Мамыковское/64/5/1/Осина</t>
  </si>
  <si>
    <t>Мамыковское/64/5/1/Липа</t>
  </si>
  <si>
    <t>Мамыковское/64/5/1/Дуб</t>
  </si>
  <si>
    <t>Мамыковское/64/5/1/Итого</t>
  </si>
  <si>
    <t>Мамыковское/69/21/1</t>
  </si>
  <si>
    <t>Мамыковское/69/21/1/Осина</t>
  </si>
  <si>
    <t>Мамыковское/69/21/1/Береза</t>
  </si>
  <si>
    <t>Мамыковское/69/21/1/Липа</t>
  </si>
  <si>
    <t>Мамыковское/69/21/1/Итого</t>
  </si>
  <si>
    <t>Мамыковское/86/3/1</t>
  </si>
  <si>
    <t>Мамыковское/86/3/1/Осина</t>
  </si>
  <si>
    <t>Мамыковское/86/3/1/Береза</t>
  </si>
  <si>
    <t>Мамыковское/86/3/1/Липа</t>
  </si>
  <si>
    <t>Мамыковское/86/3/1/Дуб</t>
  </si>
  <si>
    <t>Мамыковское/86/3/1/Итого</t>
  </si>
  <si>
    <t>Мамыковское/88/3/1</t>
  </si>
  <si>
    <t>Мамыковское/88/3/1/Осина</t>
  </si>
  <si>
    <t>Мамыковское/88/3/1/Береза</t>
  </si>
  <si>
    <t>Мамыковское/88/3/1/Липа</t>
  </si>
  <si>
    <t>Мамыковское/88/3/1/Дуб</t>
  </si>
  <si>
    <t>Мамыковское/88/3/1/Итого</t>
  </si>
  <si>
    <t>Мамыковское/89/7/1</t>
  </si>
  <si>
    <t>Мамыковское/89/7/1/Осина</t>
  </si>
  <si>
    <t>Мамыковское/89/7/1/Береза</t>
  </si>
  <si>
    <t>Мамыковское/89/7/1/Липа</t>
  </si>
  <si>
    <t>Мамыковское/89/7/1/Дуб</t>
  </si>
  <si>
    <t>Мамыковское/89/7/1/Итого</t>
  </si>
  <si>
    <t>Мамыковское/95/12/1</t>
  </si>
  <si>
    <t>Мамыковское/95/12/1/Осина</t>
  </si>
  <si>
    <t>Мамыковское/95/12/1/Береза</t>
  </si>
  <si>
    <t>Мамыковское/95/12/1/Липа</t>
  </si>
  <si>
    <t>Мамыковское/95/12/1/Итого</t>
  </si>
  <si>
    <t>Тимерликовское/7/8/1</t>
  </si>
  <si>
    <t>Тимерликовское/7/8/1/Береза</t>
  </si>
  <si>
    <t>Тимерликовское/7/8/1/Липа</t>
  </si>
  <si>
    <t>Тимерликовское/7/8/1/Итого</t>
  </si>
  <si>
    <t>Тимерликовское/9/5/1</t>
  </si>
  <si>
    <t>Тимерликовское/9/5/1/Осина</t>
  </si>
  <si>
    <t>Тимерликовское/9/5/1/Береза</t>
  </si>
  <si>
    <t>Тимерликовское/9/5/1/Итого</t>
  </si>
  <si>
    <t>Тимерликовское/11/19/1</t>
  </si>
  <si>
    <t>Тимерликовское/11/19/1/Осина</t>
  </si>
  <si>
    <t>Тимерликовское/11/19/1/Береза</t>
  </si>
  <si>
    <t>Тимерликовское/11/19/1/Липа</t>
  </si>
  <si>
    <t>Тимерликовское/11/19/1/Итого</t>
  </si>
  <si>
    <t>Тимерликовское/11/23/1</t>
  </si>
  <si>
    <t>Тимерликовское/11/23/1/Осина</t>
  </si>
  <si>
    <t>Тимерликовское/11/23/1/Береза</t>
  </si>
  <si>
    <t>Тимерликовское/11/23/1/Липа</t>
  </si>
  <si>
    <t>Тимерликовское/11/23/1/Итого</t>
  </si>
  <si>
    <t>Тимерликовское/11/25/1</t>
  </si>
  <si>
    <t>Тимерликовское/11/25/1/Осина</t>
  </si>
  <si>
    <t>Тимерликовское/11/25/1/Береза</t>
  </si>
  <si>
    <t>Тимерликовское/11/25/1/Липа</t>
  </si>
  <si>
    <t>Тимерликовское/11/25/1/Итого</t>
  </si>
  <si>
    <t>Тимерликовское/29/1/1</t>
  </si>
  <si>
    <t>Тимерликовское/29/1/1/Осина</t>
  </si>
  <si>
    <t>Тимерликовское/29/1/1/Береза</t>
  </si>
  <si>
    <t>Тимерликовское/29/1/1/Липа</t>
  </si>
  <si>
    <t>Тимерликовское/29/1/1/Итого</t>
  </si>
  <si>
    <t>Тимерликовское/29/2/1</t>
  </si>
  <si>
    <t>Тимерликовское/29/2/1/Береза</t>
  </si>
  <si>
    <t>Тимерликовское/29/2/1/Итого</t>
  </si>
  <si>
    <t>Тимерликовское/29/5/1</t>
  </si>
  <si>
    <t>Тимерликовское/29/5/1/Береза</t>
  </si>
  <si>
    <t>Тимерликовское/29/5/1/Итого</t>
  </si>
  <si>
    <t>Тимерликовское/51/3/1</t>
  </si>
  <si>
    <t>Тимерликовское/51/3/1/Осина</t>
  </si>
  <si>
    <t>Тимерликовское/51/3/1/Береза</t>
  </si>
  <si>
    <t>Тимерликовское/51/3/1/Липа</t>
  </si>
  <si>
    <t>Тимерликовское/51/3/1/Итого</t>
  </si>
  <si>
    <t>Тимерликовское/51/6/1</t>
  </si>
  <si>
    <t>Тимерликовское/51/6/1/Осина</t>
  </si>
  <si>
    <t>Тимерликовское/51/6/1/Береза</t>
  </si>
  <si>
    <t>Тимерликовское/51/6/1/Липа</t>
  </si>
  <si>
    <t>Тимерликовское/51/6/1/Итого</t>
  </si>
  <si>
    <t>Тимерликовское/56/19/1</t>
  </si>
  <si>
    <t>Тимерликовское/56/19/1/Осина</t>
  </si>
  <si>
    <t>Тимерликовское/56/19/1/Береза</t>
  </si>
  <si>
    <t>Тимерликовское/56/19/1/Липа</t>
  </si>
  <si>
    <t>Тимерликовское/56/19/1/Итого</t>
  </si>
  <si>
    <t>Тимерликовское/79/7/1</t>
  </si>
  <si>
    <t>Тимерликовское/79/7/1/Осина</t>
  </si>
  <si>
    <t>Тимерликовское/79/7/1/Итого</t>
  </si>
  <si>
    <t>Тимерликовское/79/9/1</t>
  </si>
  <si>
    <t>Тимерликовское/79/9/1/Осина</t>
  </si>
  <si>
    <t>Тимерликовское/79/9/1/Береза</t>
  </si>
  <si>
    <t>Тимерликовское/79/9/1/Итого</t>
  </si>
  <si>
    <t>Тимерликовское/79/9/2</t>
  </si>
  <si>
    <t>Тимерликовское/79/9/2/Осина</t>
  </si>
  <si>
    <t>Тимерликовское/79/9/2/Береза</t>
  </si>
  <si>
    <t>Тимерликовское/79/9/2/Итого</t>
  </si>
  <si>
    <t>Тимерликовское/79/9/3</t>
  </si>
  <si>
    <t>Тимерликовское/79/9/3/Осина</t>
  </si>
  <si>
    <t>Тимерликовское/79/9/3/Береза</t>
  </si>
  <si>
    <t>Тимерликовское/79/9/3/Итого</t>
  </si>
  <si>
    <t>Тимерликовское/79/9/4</t>
  </si>
  <si>
    <t>Тимерликовское/79/9/4/Осина</t>
  </si>
  <si>
    <t>Тимерликовское/79/9/4/Береза</t>
  </si>
  <si>
    <t>Тимерликовское/79/9/4/Итого</t>
  </si>
  <si>
    <t>Тимерликовское/92/5/1</t>
  </si>
  <si>
    <t>Тимерликовское/92/5/1/Осина</t>
  </si>
  <si>
    <t>Тимерликовское/92/5/1/Береза</t>
  </si>
  <si>
    <t>Тимерликовское/92/5/1/Липа</t>
  </si>
  <si>
    <t>Тимерликовское/92/5/1/Итого</t>
  </si>
  <si>
    <t>Тумбинское/4/2/1</t>
  </si>
  <si>
    <t>Тумбинское/4/2/1/Осина</t>
  </si>
  <si>
    <t>Тумбинское/4/2/1/Береза</t>
  </si>
  <si>
    <t>Тумбинское/4/2/1/Итого</t>
  </si>
  <si>
    <t>Тумбинское/6/4/1</t>
  </si>
  <si>
    <t>Тумбинское/6/4/1/Осина</t>
  </si>
  <si>
    <t>Тумбинское/6/4/1/Береза</t>
  </si>
  <si>
    <t>Тумбинское/6/4/1/Липа</t>
  </si>
  <si>
    <t>Тумбинское/6/4/1/Итого</t>
  </si>
  <si>
    <t>Тумбинское/6/6/1</t>
  </si>
  <si>
    <t>Тумбинское/6/6/1/Осина</t>
  </si>
  <si>
    <t>Тумбинское/6/6/1/Береза</t>
  </si>
  <si>
    <t>Тумбинское/6/6/1/Липа</t>
  </si>
  <si>
    <t>Тумбинское/6/6/1/Итого</t>
  </si>
  <si>
    <t>Тумбинское/6/9/1</t>
  </si>
  <si>
    <t>Тумбинское/6/9/1/Осина</t>
  </si>
  <si>
    <t>Тумбинское/6/9/1/Береза</t>
  </si>
  <si>
    <t>Тумбинское/6/9/1/Липа</t>
  </si>
  <si>
    <t>Тумбинское/6/9/1/Итого</t>
  </si>
  <si>
    <t>Тумбинское/9/3/1</t>
  </si>
  <si>
    <t>Тумбинское/9/3/1/Осина</t>
  </si>
  <si>
    <t>Тумбинское/9/3/1/Береза</t>
  </si>
  <si>
    <t>Тумбинское/9/3/1/Итого</t>
  </si>
  <si>
    <t>Тумбинское/10/1/1</t>
  </si>
  <si>
    <t>Тумбинское/10/1/1/Осина</t>
  </si>
  <si>
    <t>Тумбинское/10/1/1/Береза</t>
  </si>
  <si>
    <t>Тумбинское/10/1/1/Липа</t>
  </si>
  <si>
    <t>Тумбинское/10/1/1/Итого</t>
  </si>
  <si>
    <t>Тумбинское/17/9/1</t>
  </si>
  <si>
    <t>Тумбинское/17/9/1/Осина</t>
  </si>
  <si>
    <t>Тумбинское/17/9/1/Береза</t>
  </si>
  <si>
    <t>Тумбинское/17/9/1/Липа</t>
  </si>
  <si>
    <t>Тумбинское/17/9/1/Итого</t>
  </si>
  <si>
    <t>Тумбинское/28/5/1</t>
  </si>
  <si>
    <t>Тумбинское/28/5/1/Осина</t>
  </si>
  <si>
    <t>Тумбинское/28/5/1/Береза</t>
  </si>
  <si>
    <t>Тумбинское/28/5/1/Липа</t>
  </si>
  <si>
    <t>Тумбинское/28/5/1/Дуб</t>
  </si>
  <si>
    <t>Тумбинское/28/5/1/Итого</t>
  </si>
  <si>
    <t>Тумбинское/32/3/1</t>
  </si>
  <si>
    <t>Тумбинское/32/3/1/Осина</t>
  </si>
  <si>
    <t>Тумбинское/32/3/1/Береза</t>
  </si>
  <si>
    <t>Тумбинское/32/3/1/Липа</t>
  </si>
  <si>
    <t>Тумбинское/32/3/1/Итого</t>
  </si>
  <si>
    <t>Тумбинское/43/20/1</t>
  </si>
  <si>
    <t>Тумбинское/43/20/1/Осина</t>
  </si>
  <si>
    <t>Тумбинское/43/20/1/Береза</t>
  </si>
  <si>
    <t>Тумбинское/43/20/1/Липа</t>
  </si>
  <si>
    <t>Тумбинское/43/20/1/Дуб</t>
  </si>
  <si>
    <t>Тумбинское/43/20/1/Итого</t>
  </si>
  <si>
    <t>Тумбинское/45/7/1</t>
  </si>
  <si>
    <t>Тумбинское/45/7/1/Осина</t>
  </si>
  <si>
    <t>Тумбинское/45/7/1/Береза</t>
  </si>
  <si>
    <t>Тумбинское/45/7/1/Липа</t>
  </si>
  <si>
    <t>Тумбинское/45/7/1/Итого</t>
  </si>
  <si>
    <t>Тумбинское/50/10/1</t>
  </si>
  <si>
    <t>Тумбинское/50/10/1/Осина</t>
  </si>
  <si>
    <t>Тумбинское/50/10/1/Береза</t>
  </si>
  <si>
    <t>Тумбинское/50/10/1/Итого</t>
  </si>
  <si>
    <t>Тумбинское/68/4/1</t>
  </si>
  <si>
    <t>Тумбинское/68/4/1/Осина</t>
  </si>
  <si>
    <t>Тумбинское/68/4/1/Береза</t>
  </si>
  <si>
    <t>Тумбинское/68/4/1/Липа</t>
  </si>
  <si>
    <t>Тумбинское/68/4/1/Итого</t>
  </si>
  <si>
    <t>Тумбинское/69/12/1</t>
  </si>
  <si>
    <t>Тумбинское/69/12/1/Осина</t>
  </si>
  <si>
    <t>Тумбинское/69/12/1/Береза</t>
  </si>
  <si>
    <t>Тумбинское/69/12/1/Липа</t>
  </si>
  <si>
    <t>Тумбинское/69/12/1/Итого</t>
  </si>
  <si>
    <t>Тумбинское/69/2/1</t>
  </si>
  <si>
    <t>Тумбинское/69/2/1/Береза</t>
  </si>
  <si>
    <t>Тумбинское/69/2/1/Итого</t>
  </si>
  <si>
    <t>Тумбинское/70/5/1</t>
  </si>
  <si>
    <t>Тумбинское/70/5/1/Осина</t>
  </si>
  <si>
    <t>Тумбинское/70/5/1/Береза</t>
  </si>
  <si>
    <t>Тумбинское/70/5/1/Липа</t>
  </si>
  <si>
    <t>Тумбинское/70/5/1/Итого</t>
  </si>
  <si>
    <t>Тумбинское/73/16/1</t>
  </si>
  <si>
    <t>Тумбинское/73/16/1/Осина</t>
  </si>
  <si>
    <t>Тумбинское/73/16/1/Береза</t>
  </si>
  <si>
    <t>Тумбинское/73/16/1/Липа</t>
  </si>
  <si>
    <t>Тумбинское/73/16/1/Итого</t>
  </si>
  <si>
    <t>Тумбинское/75/9/1</t>
  </si>
  <si>
    <t>Тумбинское/75/9/1/Береза</t>
  </si>
  <si>
    <t>Тумбинское/75/9/1/Липа</t>
  </si>
  <si>
    <t>Тумбинское/75/9/1/Итого</t>
  </si>
  <si>
    <t>Чулпановское/5/9/1</t>
  </si>
  <si>
    <t>Чулпановское/5/9/1/Осина</t>
  </si>
  <si>
    <t>Чулпановское/5/9/1/Береза</t>
  </si>
  <si>
    <t>Чулпановское/5/9/1/Липа</t>
  </si>
  <si>
    <t>Чулпановское/5/9/1/Дуб</t>
  </si>
  <si>
    <t>Чулпановское/5/9/1/Итого</t>
  </si>
  <si>
    <t>Чулпановское/16/5/1</t>
  </si>
  <si>
    <t>Чулпановское/16/5/1/Осина</t>
  </si>
  <si>
    <t>Чулпановское/16/5/1/Береза</t>
  </si>
  <si>
    <t>Чулпановское/16/5/1/Липа</t>
  </si>
  <si>
    <t>Чулпановское/16/5/1/Дуб</t>
  </si>
  <si>
    <t>Чулпановское/16/5/1/Итого</t>
  </si>
  <si>
    <t>Чулпановское/22/27/1</t>
  </si>
  <si>
    <t>Чулпановское/22/27/1/Осина</t>
  </si>
  <si>
    <t>Чулпановское/22/27/1/Береза</t>
  </si>
  <si>
    <t>Чулпановское/22/27/1/Дуб</t>
  </si>
  <si>
    <t>Чулпановское/22/27/1/Итого</t>
  </si>
  <si>
    <t>Чулпановское/50/25/1</t>
  </si>
  <si>
    <t>Чулпановское/50/25/1/Ольха черная</t>
  </si>
  <si>
    <t>Чулпановское/50/25/1/Итого</t>
  </si>
  <si>
    <t>Чулпановское/63/6/1</t>
  </si>
  <si>
    <t>Чулпановское/63/6/1/Осина</t>
  </si>
  <si>
    <t>Чулпановское/63/6/1/Береза</t>
  </si>
  <si>
    <t>Чулпановское/63/6/1/Липа</t>
  </si>
  <si>
    <t>Чулпановское/63/6/1/Итого</t>
  </si>
  <si>
    <t>Чулпановское/71/24/1</t>
  </si>
  <si>
    <t>Чулпановское/71/24/1/Береза</t>
  </si>
  <si>
    <t>Чулпановское/71/24/1/Ольха черная</t>
  </si>
  <si>
    <t>Чулпановское/71/24/1/Итого</t>
  </si>
  <si>
    <t>Чулпановское/75/28/1</t>
  </si>
  <si>
    <t>Чулпановское/75/28/1/Осина</t>
  </si>
  <si>
    <t>Чулпановское/75/28/1/Береза</t>
  </si>
  <si>
    <t>Чулпановское/75/28/1/Липа</t>
  </si>
  <si>
    <t>Чулпановское/75/28/1/Дуб</t>
  </si>
  <si>
    <t>Чулпановское/75/28/1/Итого</t>
  </si>
  <si>
    <t>Чулпановское/76/3/1</t>
  </si>
  <si>
    <t>Чулпановское/76/3/1/Береза</t>
  </si>
  <si>
    <t>Чулпановское/76/3/1/Ольха черная</t>
  </si>
  <si>
    <t>Чулпановское/76/3/1/Итого</t>
  </si>
  <si>
    <t>Чулпановское/76/3/1/</t>
  </si>
  <si>
    <t>Вишнево-Полянское/6/15/1/Осина</t>
  </si>
  <si>
    <t>Вишнево-Полянское/3/12/1</t>
  </si>
  <si>
    <t>Вишнево-Полянское/3/12/1/Береза</t>
  </si>
  <si>
    <t>Вишнево-Полянское/3/12/1/Липа</t>
  </si>
  <si>
    <t>Вишнево-Полянское/3/12/1/Осина</t>
  </si>
  <si>
    <t>Вишнево-Полянское/4/8/1</t>
  </si>
  <si>
    <t>Вишнево-Полянское/4/8/1/Береза</t>
  </si>
  <si>
    <t>Вишнево-Полянское/4/8/1/Липа</t>
  </si>
  <si>
    <t>Вишнево-Полянское/4/8/1/Осина</t>
  </si>
  <si>
    <t>Вишнево-Полянское/4/8/2</t>
  </si>
  <si>
    <t>Вишнево-Полянское/4/8/2/Береза</t>
  </si>
  <si>
    <t>Вишнево-Полянское/4/8/2/Липа</t>
  </si>
  <si>
    <t>Вишнево-Полянское/4/8/2/Осина</t>
  </si>
  <si>
    <t>Вишнево-Полянское/6/18/1</t>
  </si>
  <si>
    <t>Вишнево-Полянское/6/18/1/Береза</t>
  </si>
  <si>
    <t>Вишнево-Полянское/6/18/1/Липа</t>
  </si>
  <si>
    <t>Вишнево-Полянское/6/18/1/Осина</t>
  </si>
  <si>
    <t>Вишнево-Полянское/8/15/1</t>
  </si>
  <si>
    <t>Вишнево-Полянское/8/15/1/Береза</t>
  </si>
  <si>
    <t>Вишнево-Полянское/8/15/1/Липа</t>
  </si>
  <si>
    <t>Вишнево-Полянское/8/15/1/Осина</t>
  </si>
  <si>
    <t>Вишнево-Полянское/8/15/2</t>
  </si>
  <si>
    <t>Вишнево-Полянское/8/15/2/Береза</t>
  </si>
  <si>
    <t>Вишнево-Полянское/8/15/2/Липа</t>
  </si>
  <si>
    <t>Вишнево-Полянское/8/15/2/Осина</t>
  </si>
  <si>
    <t>Вишнево-Полянское/8/15/3</t>
  </si>
  <si>
    <t>Вишнево-Полянское/8/15/3/Береза</t>
  </si>
  <si>
    <t>Вишнево-Полянское/8/15/3/Липа</t>
  </si>
  <si>
    <t>Вишнево-Полянское/8/15/3/Осина</t>
  </si>
  <si>
    <t>Вишнево-Полянское/8/15/4</t>
  </si>
  <si>
    <t>Вишнево-Полянское/8/15/4/Береза</t>
  </si>
  <si>
    <t>Вишнево-Полянское/8/15/4/Липа</t>
  </si>
  <si>
    <t>Вишнево-Полянское/8/15/4/Осина</t>
  </si>
  <si>
    <t>Вишнево-Полянское/9/8/1</t>
  </si>
  <si>
    <t>Вишнево-Полянское/9/8/1/Береза</t>
  </si>
  <si>
    <t>Вишнево-Полянское/9/8/1/Липа</t>
  </si>
  <si>
    <t>Вишнево-Полянское/9/8/1/Осина</t>
  </si>
  <si>
    <t>Вишнево-Полянское/9/26/2</t>
  </si>
  <si>
    <t>Вишнево-Полянское/9/26/2/Береза</t>
  </si>
  <si>
    <t>Вишнево-Полянское/9/26/2/Липа</t>
  </si>
  <si>
    <t>Вишнево-Полянское/9/26/2/Осина</t>
  </si>
  <si>
    <t>Вишнево-Полянское/16/27/1</t>
  </si>
  <si>
    <t>Вишнево-Полянское/16/27/1/Береза</t>
  </si>
  <si>
    <t>Вишнево-Полянское/16/27/1/Дуб низкоствольный</t>
  </si>
  <si>
    <t>Вишнево-Полянское/16/27/1/Липа</t>
  </si>
  <si>
    <t>Вишнево-Полянское/17/21/1</t>
  </si>
  <si>
    <t>Вишнево-Полянское/17/21/1/Береза</t>
  </si>
  <si>
    <t>Вишнево-Полянское/17/21/1/Липа</t>
  </si>
  <si>
    <t>Вишнево-Полянское/17/21/1/Осина</t>
  </si>
  <si>
    <t>Вишнево-Полянское/20/8/1</t>
  </si>
  <si>
    <t>Вишнево-Полянское/20/8/1/Береза</t>
  </si>
  <si>
    <t>Вишнево-Полянское/20/8/1/Липа</t>
  </si>
  <si>
    <t>Вишнево-Полянское/20/8/1/Осина</t>
  </si>
  <si>
    <t>Вишнево-Полянское/22/6/1</t>
  </si>
  <si>
    <t>Вишнево-Полянское/22/6/1/Береза</t>
  </si>
  <si>
    <t>Вишнево-Полянское/22/6/1/Клен</t>
  </si>
  <si>
    <t>Вишнево-Полянское/22/6/1/Липа</t>
  </si>
  <si>
    <t>Вишнево-Полянское/22/6/1/Осина</t>
  </si>
  <si>
    <t>Вишнево-Полянское/27/6/1</t>
  </si>
  <si>
    <t>Вишнево-Полянское/27/6/1/Береза</t>
  </si>
  <si>
    <t>Вишнево-Полянское/27/6/1/Липа</t>
  </si>
  <si>
    <t>Вишнево-Полянское/27/6/1/Осина</t>
  </si>
  <si>
    <t>Вишнево-Полянское/27/9/2</t>
  </si>
  <si>
    <t>Вишнево-Полянское/27/9/2/Береза</t>
  </si>
  <si>
    <t>Вишнево-Полянское/27/9/2/Липа</t>
  </si>
  <si>
    <t>Вишнево-Полянское/27/9/2/Осина</t>
  </si>
  <si>
    <t>Вишнево-Полянское/29/9/1</t>
  </si>
  <si>
    <t>Вишнево-Полянское/29/9/1/Береза</t>
  </si>
  <si>
    <t>Вишнево-Полянское/29/9/1/Липа</t>
  </si>
  <si>
    <t>Вишнево-Полянское/29/9/1/Осина</t>
  </si>
  <si>
    <t>Вишнево-Полянское/30/18/1</t>
  </si>
  <si>
    <t>Вишнево-Полянское/30/18/1/Береза</t>
  </si>
  <si>
    <t>Вишнево-Полянское/30/18/1/Липа</t>
  </si>
  <si>
    <t>Вишнево-Полянское/30/18/1/Осина</t>
  </si>
  <si>
    <t>Вишнево-Полянское/32/7/1</t>
  </si>
  <si>
    <t>Вишнево-Полянское/32/7/1/Береза</t>
  </si>
  <si>
    <t>Вишнево-Полянское/32/7/1/Липа</t>
  </si>
  <si>
    <t>Вишнево-Полянское/32/7/1/Осина</t>
  </si>
  <si>
    <t>Вишнево-Полянское/32/7/2</t>
  </si>
  <si>
    <t>Вишнево-Полянское/32/7/2/Береза</t>
  </si>
  <si>
    <t>Вишнево-Полянское/32/7/2/Липа</t>
  </si>
  <si>
    <t>Вишнево-Полянское/32/7/2/Осина</t>
  </si>
  <si>
    <t>Вишнево-Полянское/32/7/3</t>
  </si>
  <si>
    <t>Вишнево-Полянское/32/7/3/Береза</t>
  </si>
  <si>
    <t>Вишнево-Полянское/32/7/3/Липа</t>
  </si>
  <si>
    <t>Вишнево-Полянское/32/7/3/Осина</t>
  </si>
  <si>
    <t>Вишнево-Полянское/34/22/1</t>
  </si>
  <si>
    <t>Вишнево-Полянское/34/22/1/Береза</t>
  </si>
  <si>
    <t>Вишнево-Полянское/34/22/1/Дуб низкоствольный</t>
  </si>
  <si>
    <t>Вишнево-Полянское/34/22/1/Липа</t>
  </si>
  <si>
    <t>Вишнево-Полянское/34/24/2</t>
  </si>
  <si>
    <t>Вишнево-Полянское/34/24/2/Береза</t>
  </si>
  <si>
    <t>Вишнево-Полянское/34/24/2/Липа</t>
  </si>
  <si>
    <t>Вишнево-Полянское/34/24/2/Осина</t>
  </si>
  <si>
    <t>Вишнево-Полянское/35/13/1</t>
  </si>
  <si>
    <t>Вишнево-Полянское/35/13/1/Береза</t>
  </si>
  <si>
    <t>Вишнево-Полянское/35/13/1/Липа</t>
  </si>
  <si>
    <t>Вишнево-Полянское/35/13/1/Осина</t>
  </si>
  <si>
    <t>Вишнево-Полянское/39/23/1</t>
  </si>
  <si>
    <t>Вишнево-Полянское/39/23/1/Береза</t>
  </si>
  <si>
    <t>Вишнево-Полянское/39/23/1/Осина</t>
  </si>
  <si>
    <t>Вишнево-Полянское/46/24/1</t>
  </si>
  <si>
    <t>Вишнево-Полянское/46/24/1/Береза</t>
  </si>
  <si>
    <t>Вишнево-Полянское/46/24/1/Липа</t>
  </si>
  <si>
    <t>Вишнево-Полянское/46/24/1/Осина</t>
  </si>
  <si>
    <t>Вишнево-Полянское/47/3/1</t>
  </si>
  <si>
    <t>Вишнево-Полянское/47/3/1/Береза</t>
  </si>
  <si>
    <t>Вишнево-Полянское/47/3/1/Клен</t>
  </si>
  <si>
    <t>Вишнево-Полянское/47/3/1/Липа</t>
  </si>
  <si>
    <t>Вишнево-Полянское/47/3/1/Осина</t>
  </si>
  <si>
    <t>Вишнево-Полянское/47/5/2</t>
  </si>
  <si>
    <t>Вишнево-Полянское/47/5/2/Береза</t>
  </si>
  <si>
    <t>Вишнево-Полянское/47/5/2/Клен</t>
  </si>
  <si>
    <t>Вишнево-Полянское/47/5/2/Липа</t>
  </si>
  <si>
    <t>Вишнево-Полянское/47/5/2/Осина</t>
  </si>
  <si>
    <t>Вишнево-Полянское/47/17/3</t>
  </si>
  <si>
    <t>Вишнево-Полянское/47/17/3/Береза</t>
  </si>
  <si>
    <t>Вишнево-Полянское/47/17/3/Клен</t>
  </si>
  <si>
    <t>Вишнево-Полянское/47/17/3/Липа</t>
  </si>
  <si>
    <t>Вишнево-Полянское/47/17/3/Осина</t>
  </si>
  <si>
    <t>Вишнево-Полянское/51/7/1</t>
  </si>
  <si>
    <t>Вишнево-Полянское/51/7/1/Береза</t>
  </si>
  <si>
    <t>Вишнево-Полянское/51/7/1/Дуб низкоствольный</t>
  </si>
  <si>
    <t>Вишнево-Полянское/51/7/1/Липа</t>
  </si>
  <si>
    <t>Вишнево-Полянское/51/7/1/Осина</t>
  </si>
  <si>
    <t>Вишнево-Полянское/51/10/2</t>
  </si>
  <si>
    <t>Вишнево-Полянское/51/10/2/Береза</t>
  </si>
  <si>
    <t>Вишнево-Полянское/51/10/2/Дуб низкоствольный</t>
  </si>
  <si>
    <t>Вишнево-Полянское/51/10/2/Ольха черная</t>
  </si>
  <si>
    <t>Вишнево-Полянское/51/10/2/Осина</t>
  </si>
  <si>
    <t>Вишнево-Полянское/58/29/1</t>
  </si>
  <si>
    <t>Вишнево-Полянское/58/29/1/Береза</t>
  </si>
  <si>
    <t>Вишнево-Полянское/58/29/1/Дуб низкоствольный</t>
  </si>
  <si>
    <t>Вишнево-Полянское/58/29/1/Липа</t>
  </si>
  <si>
    <t>Вишнево-Полянское/58/29/1/Осина</t>
  </si>
  <si>
    <t>Вишнево-Полянское/59/2/1</t>
  </si>
  <si>
    <t>Вишнево-Полянское/59/2/1/Береза</t>
  </si>
  <si>
    <t>Вишнево-Полянское/59/2/1/Дуб низкоствольный</t>
  </si>
  <si>
    <t>Вишнево-Полянское/59/2/1/Клен</t>
  </si>
  <si>
    <t>Вишнево-Полянское/59/2/1/Липа</t>
  </si>
  <si>
    <t>Вишнево-Полянское/59/2/1/Осина</t>
  </si>
  <si>
    <t>Вишнево-Полянское/59/7/2</t>
  </si>
  <si>
    <t>Вишнево-Полянское/59/7/2/Береза</t>
  </si>
  <si>
    <t>Вишнево-Полянское/59/7/2/Липа</t>
  </si>
  <si>
    <t>Вишнево-Полянское/59/7/2/Осина</t>
  </si>
  <si>
    <t>Вишнево-Полянское/61/1/1</t>
  </si>
  <si>
    <t>Вишнево-Полянское/61/1/1/Береза</t>
  </si>
  <si>
    <t>Вишнево-Полянское/61/1/1/Дуб низкоствольный</t>
  </si>
  <si>
    <t>Вишнево-Полянское/61/1/1/Липа</t>
  </si>
  <si>
    <t>Вишнево-Полянское/61/1/1/Осина</t>
  </si>
  <si>
    <t>Вишнево-Полянское/63/1/1</t>
  </si>
  <si>
    <t>Вишнево-Полянское/63/1/1/Береза</t>
  </si>
  <si>
    <t>Вишнево-Полянское/63/1/1/Липа</t>
  </si>
  <si>
    <t>Вишнево-Полянское/63/1/1/Осина</t>
  </si>
  <si>
    <t>Вишнево-Полянское/72/6/1</t>
  </si>
  <si>
    <t>Вишнево-Полянское/72/6/1/Береза</t>
  </si>
  <si>
    <t>Вишнево-Полянское/72/6/1/Дуб низкоствольный</t>
  </si>
  <si>
    <t>Вишнево-Полянское/72/6/1/Липа</t>
  </si>
  <si>
    <t>Вишнево-Полянское/72/6/1/Осина</t>
  </si>
  <si>
    <t>Вишнево-Полянское/76/15/1</t>
  </si>
  <si>
    <t>Вишнево-Полянское/76/15/1/Береза</t>
  </si>
  <si>
    <t>Вишнево-Полянское/76/15/1/Дуб низкоствольный</t>
  </si>
  <si>
    <t>Вишнево-Полянское/76/15/1/Липа</t>
  </si>
  <si>
    <t>Вишнево-Полянское/76/15/1/Осина</t>
  </si>
  <si>
    <t>Вишнево-Полянское/79/10/1</t>
  </si>
  <si>
    <t>Вишнево-Полянское/79/10/1/Береза</t>
  </si>
  <si>
    <t>Вишнево-Полянское/79/10/1/Дуб низкоствольный</t>
  </si>
  <si>
    <t>Вишнево-Полянское/79/10/1/Липа</t>
  </si>
  <si>
    <t>Вишнево-Полянское/79/10/1/Осина</t>
  </si>
  <si>
    <t>Вишнево-Полянское/83/11/1</t>
  </si>
  <si>
    <t>Вишнево-Полянское/83/11/1/Береза</t>
  </si>
  <si>
    <t>Вишнево-Полянское/83/11/1/Осина</t>
  </si>
  <si>
    <t>Вишнево-Полянское/83/16/2</t>
  </si>
  <si>
    <t>Вишнево-Полянское/83/16/2/Береза</t>
  </si>
  <si>
    <t>Вишнево-Полянское/83/16/2/Осина</t>
  </si>
  <si>
    <t>Вишнево-Полянское/88/6/1</t>
  </si>
  <si>
    <t>Вишнево-Полянское/88/6/1/Береза</t>
  </si>
  <si>
    <t>Вишнево-Полянское/88/6/1/Липа</t>
  </si>
  <si>
    <t>Вишнево-Полянское/88/6/1/Осина</t>
  </si>
  <si>
    <t>Вишнево-Полянское/91/1/1</t>
  </si>
  <si>
    <t>Вишнево-Полянское/91/1/1/Береза</t>
  </si>
  <si>
    <t>Вишнево-Полянское/91/1/1/Дуб низкоствольный</t>
  </si>
  <si>
    <t>Вишнево-Полянское/91/1/1/Клен</t>
  </si>
  <si>
    <t>Вишнево-Полянское/91/1/1/Липа</t>
  </si>
  <si>
    <t>Вишнево-Полянское/91/1/1/Осина</t>
  </si>
  <si>
    <t>Вишнево-Полянское/102/15/1</t>
  </si>
  <si>
    <t>Вишнево-Полянское/102/15/1/Береза</t>
  </si>
  <si>
    <t>Вишнево-Полянское/102/15/1/Дуб низкоствольный</t>
  </si>
  <si>
    <t>Вишнево-Полянское/102/15/1/Липа</t>
  </si>
  <si>
    <t>Вишнево-Полянское/102/15/1/Осина</t>
  </si>
  <si>
    <t>Вишнево-Полянское/104/6/1/Береза</t>
  </si>
  <si>
    <t>Вишнево-Полянское/104/6/1/Дуб низкоствольный</t>
  </si>
  <si>
    <t>Вишнево-Полянское/113/15/1</t>
  </si>
  <si>
    <t>Вишнево-Полянское/113/15/1/Береза</t>
  </si>
  <si>
    <t>Вишнево-Полянское/113/15/1/Осина</t>
  </si>
  <si>
    <t>Восходское/3/7/1</t>
  </si>
  <si>
    <t>Восходское/3/7/1/Береза</t>
  </si>
  <si>
    <t>Восходское/3/7/1/Липа</t>
  </si>
  <si>
    <t>Восходское/3/7/1/Осина</t>
  </si>
  <si>
    <t>Восходское/9/9/1</t>
  </si>
  <si>
    <t>Восходское/9/9/1/Береза</t>
  </si>
  <si>
    <t>Восходское/9/9/1/Липа</t>
  </si>
  <si>
    <t>Восходское/9/9/1/Осина</t>
  </si>
  <si>
    <t>Восходское/9/19/2</t>
  </si>
  <si>
    <t>Восходское/9/19/2/Береза</t>
  </si>
  <si>
    <t>Восходское/9/19/2/Липа</t>
  </si>
  <si>
    <t>Восходское/9/19/2/Осина</t>
  </si>
  <si>
    <t>Восходское/15/45/1</t>
  </si>
  <si>
    <t>Восходское/15/45/1/Береза</t>
  </si>
  <si>
    <t>Восходское/15/45/1/Липа</t>
  </si>
  <si>
    <t>Восходское/15/45/1/Осина</t>
  </si>
  <si>
    <t>Восходское/16/27/1</t>
  </si>
  <si>
    <t>Восходское/16/27/1/Береза</t>
  </si>
  <si>
    <t>Восходское/16/27/1/Осина</t>
  </si>
  <si>
    <t>Восходское/20/5/1</t>
  </si>
  <si>
    <t>Восходское/20/5/1/Береза</t>
  </si>
  <si>
    <t>Восходское/20/5/1/Липа</t>
  </si>
  <si>
    <t>Восходское/20/5/1/Осина</t>
  </si>
  <si>
    <t>Восходское/24/1/1</t>
  </si>
  <si>
    <t>Восходское/24/1/1/Береза</t>
  </si>
  <si>
    <t>Восходское/24/1/1/Осина</t>
  </si>
  <si>
    <t>Восходское/24/4/2</t>
  </si>
  <si>
    <t>Восходское/24/4/2/Береза</t>
  </si>
  <si>
    <t>Восходское/24/4/2/Осина</t>
  </si>
  <si>
    <t>Восходское/25/2/1</t>
  </si>
  <si>
    <t>Восходское/25/2/1/Береза</t>
  </si>
  <si>
    <t>Восходское/25/2/1/Осина</t>
  </si>
  <si>
    <t>Восходское/25/4/2</t>
  </si>
  <si>
    <t>Восходское/25/4/2/Береза</t>
  </si>
  <si>
    <t>Восходское/25/4/2/Осина</t>
  </si>
  <si>
    <t>Восходское/26/6/1</t>
  </si>
  <si>
    <t>Восходское/26/6/1/Береза</t>
  </si>
  <si>
    <t>Восходское/26/6/1/Осина</t>
  </si>
  <si>
    <t>Восходское/27/9/1</t>
  </si>
  <si>
    <t>Восходское/27/9/1/Береза</t>
  </si>
  <si>
    <t>Восходское/27/9/1/Липа</t>
  </si>
  <si>
    <t>Восходское/27/9/1/Осина</t>
  </si>
  <si>
    <t>Восходское/34/6/1</t>
  </si>
  <si>
    <t>Восходское/34/6/1/Береза</t>
  </si>
  <si>
    <t>Восходское/34/6/1/Осина</t>
  </si>
  <si>
    <t>Восходское/34/8/2</t>
  </si>
  <si>
    <t>Восходское/34/8/2/Береза</t>
  </si>
  <si>
    <t>Восходское/34/8/2/Осина</t>
  </si>
  <si>
    <t>Восходское/35/12/1</t>
  </si>
  <si>
    <t>Восходское/35/12/1/Береза</t>
  </si>
  <si>
    <t>Восходское/35/12/1/Осина</t>
  </si>
  <si>
    <t>Восходское/36/10/1</t>
  </si>
  <si>
    <t>Восходское/36/10/1/Береза</t>
  </si>
  <si>
    <t>Восходское/36/10/1/Липа</t>
  </si>
  <si>
    <t>Восходское/36/10/1/Осина</t>
  </si>
  <si>
    <t>Восходское/36/10/2</t>
  </si>
  <si>
    <t>Восходское/36/10/2/Береза</t>
  </si>
  <si>
    <t>Восходское/36/10/2/Липа</t>
  </si>
  <si>
    <t>Восходское/36/10/2/Осина</t>
  </si>
  <si>
    <t>Восходское/40/7/1</t>
  </si>
  <si>
    <t>Восходское/40/7/1/Береза</t>
  </si>
  <si>
    <t>Восходское/40/7/1/Липа</t>
  </si>
  <si>
    <t>Восходское/40/7/1/Осина</t>
  </si>
  <si>
    <t>Восходское/40/24/2</t>
  </si>
  <si>
    <t>Восходское/40/24/2/Береза</t>
  </si>
  <si>
    <t>Восходское/40/24/2/Липа</t>
  </si>
  <si>
    <t>Восходское/40/24/2/Осина</t>
  </si>
  <si>
    <t>Восходское/41/7/1</t>
  </si>
  <si>
    <t>Восходское/41/7/1/Береза</t>
  </si>
  <si>
    <t>Восходское/41/7/1/Липа</t>
  </si>
  <si>
    <t>Восходское/41/7/1/Осина</t>
  </si>
  <si>
    <t>Восходское/42/10/1</t>
  </si>
  <si>
    <t>Восходское/42/10/1/Береза</t>
  </si>
  <si>
    <t>Восходское/42/10/1/Липа</t>
  </si>
  <si>
    <t>Восходское/42/10/1/Осина</t>
  </si>
  <si>
    <t>Восходское/42/12/2</t>
  </si>
  <si>
    <t>Восходское/42/12/2/Береза</t>
  </si>
  <si>
    <t>Восходское/42/12/2/Липа</t>
  </si>
  <si>
    <t>Восходское/42/12/2/Осина</t>
  </si>
  <si>
    <t>Восходское/44/2/1</t>
  </si>
  <si>
    <t>Восходское/44/2/1/Береза</t>
  </si>
  <si>
    <t>Восходское/44/2/1/Липа</t>
  </si>
  <si>
    <t>Восходское/44/2/1/Осина</t>
  </si>
  <si>
    <t>Восходское/45/8/1</t>
  </si>
  <si>
    <t>Восходское/45/8/1/Береза</t>
  </si>
  <si>
    <t>Восходское/45/8/1/Липа</t>
  </si>
  <si>
    <t>Восходское/45/8/1/Осина</t>
  </si>
  <si>
    <t>Восходское/53/3/1</t>
  </si>
  <si>
    <t>Восходское/53/3/1/Береза</t>
  </si>
  <si>
    <t>Восходское/53/3/1/Липа</t>
  </si>
  <si>
    <t>Восходское/53/3/1/Осина</t>
  </si>
  <si>
    <t>Восходское/54/12/1/Липа</t>
  </si>
  <si>
    <t>Восходское/60/31/1</t>
  </si>
  <si>
    <t>Восходское/60/31/1/Береза</t>
  </si>
  <si>
    <t>Восходское/60/31/1/Липа</t>
  </si>
  <si>
    <t>Восходское/60/31/1/Осина</t>
  </si>
  <si>
    <t>Восходское/61/9/1</t>
  </si>
  <si>
    <t>Восходское/61/9/1/Береза</t>
  </si>
  <si>
    <t>Восходское/61/9/1/Липа</t>
  </si>
  <si>
    <t>Восходское/61/9/1/Осина</t>
  </si>
  <si>
    <t>Восходское/62/25/1</t>
  </si>
  <si>
    <t>Восходское/62/25/1/Береза</t>
  </si>
  <si>
    <t>Восходское/62/25/1/Липа</t>
  </si>
  <si>
    <t>Восходское/62/25/1/Осина</t>
  </si>
  <si>
    <t>Восходское/64/3/1</t>
  </si>
  <si>
    <t>Восходское/64/3/1/Береза</t>
  </si>
  <si>
    <t>Восходское/64/3/1/Липа</t>
  </si>
  <si>
    <t>Восходское/64/3/1/Осина</t>
  </si>
  <si>
    <t>Восходское/76/4/1</t>
  </si>
  <si>
    <t>Восходское/76/4/1/Береза</t>
  </si>
  <si>
    <t>Восходское/76/4/1/Липа</t>
  </si>
  <si>
    <t>Восходское/76/4/1/Осина</t>
  </si>
  <si>
    <t>Восходское/76/10/2</t>
  </si>
  <si>
    <t>Восходское/76/10/2/Береза</t>
  </si>
  <si>
    <t>Восходское/76/10/2/Липа</t>
  </si>
  <si>
    <t>Восходское/76/10/2/Осина</t>
  </si>
  <si>
    <t>Восходское/83/5/1</t>
  </si>
  <si>
    <t>Восходское/83/5/1/Береза</t>
  </si>
  <si>
    <t>Восходское/83/5/1/Клен</t>
  </si>
  <si>
    <t>Восходское/83/5/1/Липа</t>
  </si>
  <si>
    <t>Восходское/83/5/1/Осина</t>
  </si>
  <si>
    <t>Восходское/83/7/2</t>
  </si>
  <si>
    <t>Восходское/83/7/2/Береза</t>
  </si>
  <si>
    <t>Восходское/83/7/2/Клен</t>
  </si>
  <si>
    <t>Восходское/83/7/2/Осина</t>
  </si>
  <si>
    <t>Восходское/83/10/3</t>
  </si>
  <si>
    <t>Восходское/83/10/3/Береза</t>
  </si>
  <si>
    <t>Восходское/83/10/3/Дуб низкоствольный</t>
  </si>
  <si>
    <t>Восходское/83/10/3/Липа</t>
  </si>
  <si>
    <t>Восходское/83/10/3/Осина</t>
  </si>
  <si>
    <t>Восходское/83/22/4</t>
  </si>
  <si>
    <t>Восходское/83/22/4/Береза</t>
  </si>
  <si>
    <t>Восходское/83/22/4/Клен</t>
  </si>
  <si>
    <t>Восходское/83/22/4/Липа</t>
  </si>
  <si>
    <t>Восходское/83/22/4/Осина</t>
  </si>
  <si>
    <t>Восходское/84/5/1</t>
  </si>
  <si>
    <t>Восходское/84/5/1/Береза</t>
  </si>
  <si>
    <t>Восходское/84/5/1/Липа</t>
  </si>
  <si>
    <t>Восходское/84/5/1/Осина</t>
  </si>
  <si>
    <t>Восходское/84/27/2</t>
  </si>
  <si>
    <t>Восходское/84/27/2/Береза</t>
  </si>
  <si>
    <t>Восходское/84/27/2/Дуб низкоствольный</t>
  </si>
  <si>
    <t>Восходское/84/27/2/Липа</t>
  </si>
  <si>
    <t>Восходское/90/26/1</t>
  </si>
  <si>
    <t>Восходское/90/26/1/Береза</t>
  </si>
  <si>
    <t>Восходское/90/26/1/Дуб низкоствольный</t>
  </si>
  <si>
    <t>Восходское/90/26/1/Липа</t>
  </si>
  <si>
    <t>Восходское/90/26/1/Осина</t>
  </si>
  <si>
    <t>Восходское/91/6/1</t>
  </si>
  <si>
    <t>Восходское/91/6/1/Береза</t>
  </si>
  <si>
    <t>Восходское/91/6/1/Дуб низкоствольный</t>
  </si>
  <si>
    <t>Восходское/91/6/1/Липа</t>
  </si>
  <si>
    <t>Восходское/91/6/1/Осина</t>
  </si>
  <si>
    <t>Восходское/91/22/2</t>
  </si>
  <si>
    <t>Восходское/91/22/2/Береза</t>
  </si>
  <si>
    <t>Восходское/91/22/2/Дуб низкоствольный</t>
  </si>
  <si>
    <t>Восходское/91/22/2/Липа</t>
  </si>
  <si>
    <t>Восходское/91/22/2/Осина</t>
  </si>
  <si>
    <t>Восходское/95/3/1</t>
  </si>
  <si>
    <t>Восходское/95/3/1/Береза</t>
  </si>
  <si>
    <t>Восходское/95/3/1/Липа</t>
  </si>
  <si>
    <t>Восходское/95/3/1/Осина</t>
  </si>
  <si>
    <t>Восходское/96/9/1</t>
  </si>
  <si>
    <t>Восходское/96/9/1/Береза</t>
  </si>
  <si>
    <t>Восходское/96/9/1/Дуб низкоствольный</t>
  </si>
  <si>
    <t>Восходское/96/9/1/Липа</t>
  </si>
  <si>
    <t>Восходское/96/9/1/Осина</t>
  </si>
  <si>
    <t>Восходское/97/9/1</t>
  </si>
  <si>
    <t>Восходское/97/9/1/Береза</t>
  </si>
  <si>
    <t>Восходское/97/9/1/Липа</t>
  </si>
  <si>
    <t>Восходское/97/9/1/Осина</t>
  </si>
  <si>
    <t>Восходское/100/27/1</t>
  </si>
  <si>
    <t>Восходское/100/27/1/Береза</t>
  </si>
  <si>
    <t>Восходское/100/27/1/Дуб низкоствольный</t>
  </si>
  <si>
    <t>Восходское/100/27/1/Липа</t>
  </si>
  <si>
    <t>Восходское/100/27/1/Осина</t>
  </si>
  <si>
    <t>Мамыковское/1/7/1</t>
  </si>
  <si>
    <t>Мамыковское/1/7/1/Береза</t>
  </si>
  <si>
    <t>Мамыковское/1/7/1/Липа</t>
  </si>
  <si>
    <t>Мамыковское/1/7/1/Осина</t>
  </si>
  <si>
    <t>Мамыковское/1/15/2</t>
  </si>
  <si>
    <t>Мамыковское/1/15/2/Береза</t>
  </si>
  <si>
    <t>Мамыковское/1/15/2/Липа</t>
  </si>
  <si>
    <t>Мамыковское/1/15/2/Осина</t>
  </si>
  <si>
    <t>Мамыковское/1/16/3</t>
  </si>
  <si>
    <t>Мамыковское/1/16/3/Береза</t>
  </si>
  <si>
    <t>Мамыковское/1/16/3/Дуб низкоствольный</t>
  </si>
  <si>
    <t>Мамыковское/1/16/3/Липа</t>
  </si>
  <si>
    <t>Мамыковское/1/16/3/Осина</t>
  </si>
  <si>
    <t>Мамыковское/5/24/1</t>
  </si>
  <si>
    <t>Мамыковское/5/24/1/Береза</t>
  </si>
  <si>
    <t>Мамыковское/5/24/1/Вяз</t>
  </si>
  <si>
    <t>Мамыковское/5/24/1/Дуб низкоствольный</t>
  </si>
  <si>
    <t>Мамыковское/5/24/1/Клен</t>
  </si>
  <si>
    <t>Мамыковское/5/24/1/Липа</t>
  </si>
  <si>
    <t>Мамыковское/5/35/2</t>
  </si>
  <si>
    <t>Мамыковское/5/35/2/Береза</t>
  </si>
  <si>
    <t>Мамыковское/5/35/2/Дуб низкоствольный</t>
  </si>
  <si>
    <t>Мамыковское/5/35/2/Клен</t>
  </si>
  <si>
    <t>Мамыковское/5/35/2/Липа</t>
  </si>
  <si>
    <t>Мамыковское/5/35/2/Осина</t>
  </si>
  <si>
    <t>Мамыковское/8/5/1</t>
  </si>
  <si>
    <t>Мамыковское/8/5/1/Береза</t>
  </si>
  <si>
    <t>Мамыковское/8/5/1/Дуб низкоствольный</t>
  </si>
  <si>
    <t>Мамыковское/8/5/1/Липа</t>
  </si>
  <si>
    <t>Мамыковское/8/5/1/Осина</t>
  </si>
  <si>
    <t>Мамыковское/8/10/2</t>
  </si>
  <si>
    <t>Мамыковское/8/10/2/Береза</t>
  </si>
  <si>
    <t>Мамыковское/8/10/2/Липа</t>
  </si>
  <si>
    <t>Мамыковское/8/10/2/Осина</t>
  </si>
  <si>
    <t>Мамыковское/10/7/1/Береза</t>
  </si>
  <si>
    <t>Мамыковское/10/7/1/Липа</t>
  </si>
  <si>
    <t>Мамыковское/12/9/1</t>
  </si>
  <si>
    <t>Мамыковское/12/9/1/Береза</t>
  </si>
  <si>
    <t>Мамыковское/12/9/1/Липа</t>
  </si>
  <si>
    <t>Мамыковское/12/9/1/Осина</t>
  </si>
  <si>
    <t>Мамыковское/13/1/1</t>
  </si>
  <si>
    <t>Мамыковское/13/1/1/Береза</t>
  </si>
  <si>
    <t>Мамыковское/13/1/1/Липа</t>
  </si>
  <si>
    <t>Мамыковское/13/1/1/Осина</t>
  </si>
  <si>
    <t>Мамыковское/23/6/1</t>
  </si>
  <si>
    <t>Мамыковское/23/6/1/Береза</t>
  </si>
  <si>
    <t>Мамыковское/23/6/1/Липа</t>
  </si>
  <si>
    <t>Мамыковское/23/6/1/Осина</t>
  </si>
  <si>
    <t>Мамыковское/23/7/2</t>
  </si>
  <si>
    <t>Мамыковское/23/7/2/Береза</t>
  </si>
  <si>
    <t>Мамыковское/23/7/2/Дуб низкоствольный</t>
  </si>
  <si>
    <t>Мамыковское/23/7/2/Клен</t>
  </si>
  <si>
    <t>Мамыковское/23/7/2/Липа</t>
  </si>
  <si>
    <t>Мамыковское/23/7/2/Осина</t>
  </si>
  <si>
    <t>Мамыковское/23/10/3</t>
  </si>
  <si>
    <t>Мамыковское/23/10/3/Береза</t>
  </si>
  <si>
    <t>Мамыковское/23/10/3/Дуб низкоствольный</t>
  </si>
  <si>
    <t>Мамыковское/23/10/3/Липа</t>
  </si>
  <si>
    <t>Мамыковское/23/10/3/Осина</t>
  </si>
  <si>
    <t>Мамыковское/24/1/1</t>
  </si>
  <si>
    <t>Мамыковское/24/1/1/Береза</t>
  </si>
  <si>
    <t>Мамыковское/24/1/1/Дуб низкоствольный</t>
  </si>
  <si>
    <t>Мамыковское/24/1/1/Клен</t>
  </si>
  <si>
    <t>Мамыковское/24/1/1/Липа</t>
  </si>
  <si>
    <t>Мамыковское/24/1/1/Осина</t>
  </si>
  <si>
    <t>Мамыковское/25/2/1</t>
  </si>
  <si>
    <t>Мамыковское/25/2/1/Береза</t>
  </si>
  <si>
    <t>Мамыковское/25/2/1/Осина</t>
  </si>
  <si>
    <t>Мамыковское/28/9/1</t>
  </si>
  <si>
    <t>Мамыковское/28/9/1/Береза</t>
  </si>
  <si>
    <t>Мамыковское/28/9/1/Дуб низкоствольный</t>
  </si>
  <si>
    <t>Мамыковское/28/9/1/Клен</t>
  </si>
  <si>
    <t>Мамыковское/28/9/1/Липа</t>
  </si>
  <si>
    <t>Мамыковское/28/9/1/Осина</t>
  </si>
  <si>
    <t>Мамыковское/29/2/1</t>
  </si>
  <si>
    <t>Мамыковское/29/2/1/Береза</t>
  </si>
  <si>
    <t>Мамыковское/29/2/1/Липа</t>
  </si>
  <si>
    <t>Мамыковское/29/2/1/Осина</t>
  </si>
  <si>
    <t>Мамыковское/29/12/2</t>
  </si>
  <si>
    <t>Мамыковское/29/12/2/Береза</t>
  </si>
  <si>
    <t>Мамыковское/29/12/2/Липа</t>
  </si>
  <si>
    <t>Мамыковское/29/12/2/Осина</t>
  </si>
  <si>
    <t>Мамыковское/50/12/1</t>
  </si>
  <si>
    <t>Мамыковское/50/12/1/Береза</t>
  </si>
  <si>
    <t>Мамыковское/50/12/1/Липа</t>
  </si>
  <si>
    <t>Мамыковское/50/12/1/Осина</t>
  </si>
  <si>
    <t>Мамыковское/50/14/2</t>
  </si>
  <si>
    <t>Мамыковское/50/14/2/Береза</t>
  </si>
  <si>
    <t>Мамыковское/50/14/2/Дуб низкоствольный</t>
  </si>
  <si>
    <t>Мамыковское/50/14/2/Липа</t>
  </si>
  <si>
    <t>Мамыковское/50/14/2/Осина</t>
  </si>
  <si>
    <t>Мамыковское/52/4/1</t>
  </si>
  <si>
    <t>Мамыковское/52/4/1/Береза</t>
  </si>
  <si>
    <t>Мамыковское/52/4/1/Липа</t>
  </si>
  <si>
    <t>Мамыковское/52/4/1/Осина</t>
  </si>
  <si>
    <t>Мамыковское/52/22/2</t>
  </si>
  <si>
    <t>Мамыковское/52/22/2/Береза</t>
  </si>
  <si>
    <t>Мамыковское/52/22/2/Липа</t>
  </si>
  <si>
    <t>Мамыковское/52/22/2/Осина</t>
  </si>
  <si>
    <t>Мамыковское/52/22/3</t>
  </si>
  <si>
    <t>Мамыковское/52/22/3/Береза</t>
  </si>
  <si>
    <t>Мамыковское/52/22/3/Липа</t>
  </si>
  <si>
    <t>Мамыковское/52/22/3/Осина</t>
  </si>
  <si>
    <t>Мамыковское/52/35/4</t>
  </si>
  <si>
    <t>Мамыковское/52/35/4/Береза</t>
  </si>
  <si>
    <t>Мамыковское/52/35/4/Осина</t>
  </si>
  <si>
    <t>Мамыковское/53/10/1</t>
  </si>
  <si>
    <t>Мамыковское/53/10/1/Береза</t>
  </si>
  <si>
    <t>Мамыковское/53/10/1/Липа</t>
  </si>
  <si>
    <t>Мамыковское/53/10/1/Осина</t>
  </si>
  <si>
    <t>Мамыковское/58/2/1</t>
  </si>
  <si>
    <t>Мамыковское/58/2/1/Береза</t>
  </si>
  <si>
    <t>Мамыковское/58/2/1/Дуб низкоствольный</t>
  </si>
  <si>
    <t>Мамыковское/58/2/1/Липа</t>
  </si>
  <si>
    <t>Мамыковское/58/2/1/Осина</t>
  </si>
  <si>
    <t>Мамыковское/62/24/1</t>
  </si>
  <si>
    <t>Мамыковское/62/24/1/Береза</t>
  </si>
  <si>
    <t>Мамыковское/62/24/1/Дуб низкоствольный</t>
  </si>
  <si>
    <t>Мамыковское/62/24/1/Липа</t>
  </si>
  <si>
    <t>Мамыковское/62/24/1/Осина</t>
  </si>
  <si>
    <t>Мамыковское/63/12/1</t>
  </si>
  <si>
    <t>Мамыковское/63/12/1/Береза</t>
  </si>
  <si>
    <t>Мамыковское/63/12/1/Дуб низкоствольный</t>
  </si>
  <si>
    <t>Мамыковское/63/12/1/Липа</t>
  </si>
  <si>
    <t>Мамыковское/63/12/1/Осина</t>
  </si>
  <si>
    <t>Мамыковское/63/12/2</t>
  </si>
  <si>
    <t>Мамыковское/63/12/2/Береза</t>
  </si>
  <si>
    <t>Мамыковское/63/12/2/Дуб низкоствольный</t>
  </si>
  <si>
    <t>Мамыковское/63/12/2/Липа</t>
  </si>
  <si>
    <t>Мамыковское/63/12/2/Осина</t>
  </si>
  <si>
    <t>Мамыковское/63/24/3</t>
  </si>
  <si>
    <t>Мамыковское/63/24/3/Береза</t>
  </si>
  <si>
    <t>Мамыковское/63/24/3/Дуб низкоствольный</t>
  </si>
  <si>
    <t>Мамыковское/63/24/3/Липа</t>
  </si>
  <si>
    <t>Мамыковское/63/24/3/Осина</t>
  </si>
  <si>
    <t>Мамыковское/65/25/1</t>
  </si>
  <si>
    <t>Мамыковское/65/25/1/Береза</t>
  </si>
  <si>
    <t>Мамыковское/65/25/1/Дуб низкоствольный</t>
  </si>
  <si>
    <t>Мамыковское/65/25/1/Липа</t>
  </si>
  <si>
    <t>Мамыковское/65/25/1/Осина</t>
  </si>
  <si>
    <t>Мамыковское/67/24/1</t>
  </si>
  <si>
    <t>Мамыковское/67/24/1/Береза</t>
  </si>
  <si>
    <t>Мамыковское/67/24/1/Липа</t>
  </si>
  <si>
    <t>Мамыковское/67/24/1/Осина</t>
  </si>
  <si>
    <t>Мамыковское/73/22/1</t>
  </si>
  <si>
    <t>Мамыковское/73/22/1/Береза</t>
  </si>
  <si>
    <t>Мамыковское/73/22/1/Дуб низкоствольный</t>
  </si>
  <si>
    <t>Мамыковское/73/22/1/Клен</t>
  </si>
  <si>
    <t>Мамыковское/73/22/1/Липа</t>
  </si>
  <si>
    <t>Мамыковское/73/22/1/Осина</t>
  </si>
  <si>
    <t>Мамыковское/80/23/1</t>
  </si>
  <si>
    <t>Мамыковское/80/23/1/Береза</t>
  </si>
  <si>
    <t>Мамыковское/80/23/1/Липа</t>
  </si>
  <si>
    <t>Мамыковское/80/23/1/Осина</t>
  </si>
  <si>
    <t>Мамыковское/82/12/1</t>
  </si>
  <si>
    <t>Мамыковское/82/12/1/Береза</t>
  </si>
  <si>
    <t>Мамыковское/82/12/1/Липа</t>
  </si>
  <si>
    <t>Мамыковское/82/12/1/Осина</t>
  </si>
  <si>
    <t>Мамыковское/85/3/1</t>
  </si>
  <si>
    <t>Мамыковское/85/3/1/Береза</t>
  </si>
  <si>
    <t>Мамыковское/85/3/1/Липа</t>
  </si>
  <si>
    <t>Мамыковское/85/3/1/Осина</t>
  </si>
  <si>
    <t>Мамыковское/89/9/1</t>
  </si>
  <si>
    <t>Мамыковское/89/9/1/Береза</t>
  </si>
  <si>
    <t>Мамыковское/89/9/1/Липа</t>
  </si>
  <si>
    <t>Мамыковское/89/9/1/Осина</t>
  </si>
  <si>
    <t>Мамыковское/90/5/1</t>
  </si>
  <si>
    <t>Мамыковское/90/5/1/Береза</t>
  </si>
  <si>
    <t>Мамыковское/90/5/1/Липа</t>
  </si>
  <si>
    <t>Мамыковское/90/5/1/Осина</t>
  </si>
  <si>
    <t>Мамыковское/90/8/2</t>
  </si>
  <si>
    <t>Мамыковское/90/8/2/Береза</t>
  </si>
  <si>
    <t>Мамыковское/90/8/2/Дуб низкоствольный</t>
  </si>
  <si>
    <t>Мамыковское/90/8/2/Осина</t>
  </si>
  <si>
    <t>Мамыковское/90/12/3</t>
  </si>
  <si>
    <t>Мамыковское/90/12/3/Береза</t>
  </si>
  <si>
    <t>Мамыковское/90/12/3/Дуб низкоствольный</t>
  </si>
  <si>
    <t>Мамыковское/90/12/3/Липа</t>
  </si>
  <si>
    <t>Мамыковское/90/12/3/Осина</t>
  </si>
  <si>
    <t>Мамыковское/91/9/1</t>
  </si>
  <si>
    <t>Мамыковское/91/9/1/Береза</t>
  </si>
  <si>
    <t>Мамыковское/91/9/1/Дуб низкоствольный</t>
  </si>
  <si>
    <t>Мамыковское/91/9/1/Липа</t>
  </si>
  <si>
    <t>Мамыковское/91/9/1/Осина</t>
  </si>
  <si>
    <t>Мамыковское/91/14/2</t>
  </si>
  <si>
    <t>Мамыковское/91/14/2/Береза</t>
  </si>
  <si>
    <t>Мамыковское/91/14/2/Дуб низкоствольный</t>
  </si>
  <si>
    <t>Мамыковское/91/14/2/Липа</t>
  </si>
  <si>
    <t>Мамыковское/91/14/2/Осина</t>
  </si>
  <si>
    <t>Мамыковское/95/11/1</t>
  </si>
  <si>
    <t>Мамыковское/95/11/1/Береза</t>
  </si>
  <si>
    <t>Мамыковское/95/11/1/Липа</t>
  </si>
  <si>
    <t>Мамыковское/95/11/1/Осина</t>
  </si>
  <si>
    <t>Мамыковское/96/5/1</t>
  </si>
  <si>
    <t>Мамыковское/96/5/1/Береза</t>
  </si>
  <si>
    <t>Мамыковское/96/5/1/Дуб низкоствольный</t>
  </si>
  <si>
    <t>Мамыковское/96/5/1/Клен</t>
  </si>
  <si>
    <t>Мамыковское/96/5/1/Липа</t>
  </si>
  <si>
    <t>Мамыковское/96/5/1/Осина</t>
  </si>
  <si>
    <t>Мамыковское/97/3/1</t>
  </si>
  <si>
    <t>Мамыковское/97/3/1/Береза</t>
  </si>
  <si>
    <t>Мамыковское/97/3/1/Липа</t>
  </si>
  <si>
    <t>Мамыковское/97/3/1/Осина</t>
  </si>
  <si>
    <t>Мамыковское/97/11/2</t>
  </si>
  <si>
    <t>Мамыковское/97/11/2/Береза</t>
  </si>
  <si>
    <t>Мамыковское/97/11/2/Осина</t>
  </si>
  <si>
    <t>Мамыковское/99/5/1</t>
  </si>
  <si>
    <t>Мамыковское/99/5/1/Береза</t>
  </si>
  <si>
    <t>Мамыковское/99/5/1/Липа</t>
  </si>
  <si>
    <t>Мамыковское/99/5/1/Осина</t>
  </si>
  <si>
    <t>Мамыковское/102/7/1</t>
  </si>
  <si>
    <t>Мамыковское/102/7/1/Береза</t>
  </si>
  <si>
    <t>Мамыковское/102/7/1/Дуб низкоствольный</t>
  </si>
  <si>
    <t>Мамыковское/102/7/1/Клен</t>
  </si>
  <si>
    <t>Мамыковское/102/7/1/Липа</t>
  </si>
  <si>
    <t>Мамыковское/102/7/1/Осина</t>
  </si>
  <si>
    <t>Мамыковское/104/8/1</t>
  </si>
  <si>
    <t>Мамыковское/104/8/1/Береза</t>
  </si>
  <si>
    <t>Мамыковское/104/8/1/Дуб низкоствольный</t>
  </si>
  <si>
    <t>Мамыковское/104/8/1/Липа</t>
  </si>
  <si>
    <t>Мамыковское/104/8/1/Осина</t>
  </si>
  <si>
    <t>Мамыковское/107/2/1</t>
  </si>
  <si>
    <t>Мамыковское/107/2/1/Береза</t>
  </si>
  <si>
    <t>Мамыковское/107/2/1/Ольха черная</t>
  </si>
  <si>
    <t>Мамыковское/110/11/1</t>
  </si>
  <si>
    <t>Мамыковское/110/11/1/Береза</t>
  </si>
  <si>
    <t>Мамыковское/110/11/1/Вяз</t>
  </si>
  <si>
    <t>Мамыковское/110/11/1/Ольха черная</t>
  </si>
  <si>
    <t>Мамыковское/110/11/1/Осина</t>
  </si>
  <si>
    <t>Мамыковское/112/4/1</t>
  </si>
  <si>
    <t>Мамыковское/112/4/1/Береза</t>
  </si>
  <si>
    <t>Мамыковское/112/4/1/Дуб низкоствольный</t>
  </si>
  <si>
    <t>Мамыковское/112/4/1/Липа</t>
  </si>
  <si>
    <t>Мамыковское/112/4/1/Осина</t>
  </si>
  <si>
    <t>Мамыковское/112/14/2</t>
  </si>
  <si>
    <t>Мамыковское/112/14/2/Береза</t>
  </si>
  <si>
    <t>Мамыковское/112/14/2/Дуб низкоствольный</t>
  </si>
  <si>
    <t>Мамыковское/112/14/2/Липа</t>
  </si>
  <si>
    <t>Мамыковское/112/14/2/Осина</t>
  </si>
  <si>
    <t>Мамыковское/113/16/1</t>
  </si>
  <si>
    <t>Мамыковское/113/16/1/Береза</t>
  </si>
  <si>
    <t>Мамыковское/113/16/1/Дуб низкоствольный</t>
  </si>
  <si>
    <t>Мамыковское/113/16/1/Липа</t>
  </si>
  <si>
    <t>Мамыковское/113/16/1/Осина</t>
  </si>
  <si>
    <t>Мамыковское/123/23/1</t>
  </si>
  <si>
    <t>Мамыковское/123/23/1/Береза</t>
  </si>
  <si>
    <t>Мамыковское/123/23/1/Дуб низкоствольный</t>
  </si>
  <si>
    <t>Мамыковское/123/23/1/Липа</t>
  </si>
  <si>
    <t>Мамыковское/123/23/1/Осина</t>
  </si>
  <si>
    <t>Тимерликовское/10/16/1</t>
  </si>
  <si>
    <t>Тимерликовское/10/16/1/Береза</t>
  </si>
  <si>
    <t>Тимерликовское/10/16/1/Клен</t>
  </si>
  <si>
    <t>Тимерликовское/10/16/1/Липа</t>
  </si>
  <si>
    <t>Тимерликовское/10/16/1/Осина</t>
  </si>
  <si>
    <t>Тимерликовское/11/3/1</t>
  </si>
  <si>
    <t>Тимерликовское/11/3/1/Береза</t>
  </si>
  <si>
    <t>Тимерликовское/11/3/1/Осина</t>
  </si>
  <si>
    <t>Тимерликовское/11/5/2</t>
  </si>
  <si>
    <t>Тимерликовское/11/5/2/Береза</t>
  </si>
  <si>
    <t>Тимерликовское/11/5/2/Липа</t>
  </si>
  <si>
    <t>Тимерликовское/11/5/2/Осина</t>
  </si>
  <si>
    <t>Тимерликовское/11/8/3</t>
  </si>
  <si>
    <t>Тимерликовское/11/8/3/Береза</t>
  </si>
  <si>
    <t>Тимерликовское/11/8/3/Осина</t>
  </si>
  <si>
    <t>Тимерликовское/11/17/4</t>
  </si>
  <si>
    <t>Тимерликовское/11/17/4/Береза</t>
  </si>
  <si>
    <t>Тимерликовское/11/17/4/Липа</t>
  </si>
  <si>
    <t>Тимерликовское/11/17/4/Осина</t>
  </si>
  <si>
    <t>Тимерликовское/11/27/5</t>
  </si>
  <si>
    <t>Тимерликовское/11/27/5/Береза</t>
  </si>
  <si>
    <t>Тимерликовское/11/27/5/Осина</t>
  </si>
  <si>
    <t>Тимерликовское/12/6/1</t>
  </si>
  <si>
    <t>Тимерликовское/12/6/1/Береза</t>
  </si>
  <si>
    <t>Тимерликовское/12/6/1/Осина</t>
  </si>
  <si>
    <t>Тимерликовское/12/13/2</t>
  </si>
  <si>
    <t>Тимерликовское/12/13/2/Береза</t>
  </si>
  <si>
    <t>Тимерликовское/12/13/2/Липа</t>
  </si>
  <si>
    <t>Тимерликовское/12/13/2/Осина</t>
  </si>
  <si>
    <t>Тимерликовское/12/13/3</t>
  </si>
  <si>
    <t>Тимерликовское/12/13/3/Береза</t>
  </si>
  <si>
    <t>Тимерликовское/12/13/3/Липа</t>
  </si>
  <si>
    <t>Тимерликовское/12/13/3/Осина</t>
  </si>
  <si>
    <t>Тимерликовское/16/6/1</t>
  </si>
  <si>
    <t>Тимерликовское/16/6/1/Береза</t>
  </si>
  <si>
    <t>Тимерликовское/16/6/1/Осина</t>
  </si>
  <si>
    <t>Тимерликовское/16/9/2</t>
  </si>
  <si>
    <t>Тимерликовское/16/9/2/Береза</t>
  </si>
  <si>
    <t>Тимерликовское/16/9/2/Осина</t>
  </si>
  <si>
    <t>Тимерликовское/16/9/3</t>
  </si>
  <si>
    <t>Тимерликовское/16/9/3/Береза</t>
  </si>
  <si>
    <t>Тимерликовское/16/9/3/Осина</t>
  </si>
  <si>
    <t>Тимерликовское/16/9/4</t>
  </si>
  <si>
    <t>Тимерликовское/16/9/4/Береза</t>
  </si>
  <si>
    <t>Тимерликовское/16/9/4/Осина</t>
  </si>
  <si>
    <t>Тимерликовское/16/9/5</t>
  </si>
  <si>
    <t>Тимерликовское/16/9/5/Береза</t>
  </si>
  <si>
    <t>Тимерликовское/16/9/5/Осина</t>
  </si>
  <si>
    <t>Тимерликовское/16/12/6</t>
  </si>
  <si>
    <t>Тимерликовское/16/12/6/Береза</t>
  </si>
  <si>
    <t>Тимерликовское/16/12/6/Липа</t>
  </si>
  <si>
    <t>Тимерликовское/16/12/6/Осина</t>
  </si>
  <si>
    <t>Тимерликовское/16/12/7</t>
  </si>
  <si>
    <t>Тимерликовское/16/12/7/Береза</t>
  </si>
  <si>
    <t>Тимерликовское/16/12/7/Липа</t>
  </si>
  <si>
    <t>Тимерликовское/16/12/7/Осина</t>
  </si>
  <si>
    <t>Тимерликовское/51/3/1/Дуб низкоствольный</t>
  </si>
  <si>
    <t>Тимерликовское/58/3/1</t>
  </si>
  <si>
    <t>Тимерликовское/58/3/1/Береза</t>
  </si>
  <si>
    <t>Тимерликовское/58/3/1/Дуб низкоствольный</t>
  </si>
  <si>
    <t>Тимерликовское/58/10/2</t>
  </si>
  <si>
    <t>Тимерликовское/58/10/2/Береза</t>
  </si>
  <si>
    <t>Тимерликовское/58/10/2/Дуб низкоствольный</t>
  </si>
  <si>
    <t>Тимерликовское/58/10/2/Клен</t>
  </si>
  <si>
    <t>Тимерликовское/58/10/2/Осина</t>
  </si>
  <si>
    <t>Тимерликовское/58/10/3</t>
  </si>
  <si>
    <t>Тимерликовское/58/10/3/Береза</t>
  </si>
  <si>
    <t>Тимерликовское/58/10/3/Клен</t>
  </si>
  <si>
    <t>Тимерликовское/58/10/3/Осина</t>
  </si>
  <si>
    <t>Тимерликовское/63/12/1</t>
  </si>
  <si>
    <t>Тимерликовское/63/12/1/Береза</t>
  </si>
  <si>
    <t>Тимерликовское/63/12/1/Липа</t>
  </si>
  <si>
    <t>Тимерликовское/63/12/1/Осина</t>
  </si>
  <si>
    <t>Тимерликовское/70/5/1</t>
  </si>
  <si>
    <t>Тимерликовское/70/5/1/Береза</t>
  </si>
  <si>
    <t>Тимерликовское/70/5/1/Осина</t>
  </si>
  <si>
    <t>Тимерликовское/70/11/2</t>
  </si>
  <si>
    <t>Тимерликовское/70/11/2/Береза</t>
  </si>
  <si>
    <t>Тимерликовское/70/11/2/Осина</t>
  </si>
  <si>
    <t>Тимерликовское/70/13/3</t>
  </si>
  <si>
    <t>Тимерликовское/70/13/3/Береза</t>
  </si>
  <si>
    <t>Тимерликовское/70/13/3/Осина</t>
  </si>
  <si>
    <t>Тимерликовское/70/20/4</t>
  </si>
  <si>
    <t>Тимерликовское/70/20/4/Береза</t>
  </si>
  <si>
    <t>Тимерликовское/70/20/4/Липа</t>
  </si>
  <si>
    <t>Тимерликовское/70/20/4/Осина</t>
  </si>
  <si>
    <t>Тимерликовское/70/22/5</t>
  </si>
  <si>
    <t>Тимерликовское/70/22/5/Береза</t>
  </si>
  <si>
    <t>Тимерликовское/70/22/5/Осина</t>
  </si>
  <si>
    <t>Тимерликовское/71/3/1</t>
  </si>
  <si>
    <t>Тимерликовское/71/3/1/Береза</t>
  </si>
  <si>
    <t>Тимерликовское/71/3/1/Осина</t>
  </si>
  <si>
    <t>Тимерликовское/71/8/2</t>
  </si>
  <si>
    <t>Тимерликовское/71/8/2/Береза</t>
  </si>
  <si>
    <t>Тимерликовское/71/8/2/Осина</t>
  </si>
  <si>
    <t>Тимерликовское/71/11/3</t>
  </si>
  <si>
    <t>Тимерликовское/71/11/3/Береза</t>
  </si>
  <si>
    <t>Тимерликовское/71/11/3/Осина</t>
  </si>
  <si>
    <t>Тимерликовское/71/11/4</t>
  </si>
  <si>
    <t>Тимерликовское/71/11/4/Береза</t>
  </si>
  <si>
    <t>Тимерликовское/71/11/4/Осина</t>
  </si>
  <si>
    <t>Тимерликовское/71/11/5</t>
  </si>
  <si>
    <t>Тимерликовское/71/11/5/Береза</t>
  </si>
  <si>
    <t>Тимерликовское/71/11/5/Осина</t>
  </si>
  <si>
    <t>Тимерликовское/71/12/6</t>
  </si>
  <si>
    <t>Тимерликовское/71/12/6/Береза</t>
  </si>
  <si>
    <t>Тимерликовское/71/12/6/Осина</t>
  </si>
  <si>
    <t>Тимерликовское/75/15/1</t>
  </si>
  <si>
    <t>Тимерликовское/75/15/1/Береза</t>
  </si>
  <si>
    <t>Тимерликовское/75/15/1/Дуб низкоствольный</t>
  </si>
  <si>
    <t>Тимерликовское/75/15/1/Клен</t>
  </si>
  <si>
    <t>Тимерликовское/75/15/1/Липа</t>
  </si>
  <si>
    <t>Тимерликовское/75/15/1/Осина</t>
  </si>
  <si>
    <t>Тимерликовское/75/19/2</t>
  </si>
  <si>
    <t>Тимерликовское/75/19/2/Береза</t>
  </si>
  <si>
    <t>Тимерликовское/75/19/2/Липа</t>
  </si>
  <si>
    <t>Тимерликовское/75/19/2/Осина</t>
  </si>
  <si>
    <t>Тимерликовское/76/8/1</t>
  </si>
  <si>
    <t>Тимерликовское/76/8/1/Береза</t>
  </si>
  <si>
    <t>Тимерликовское/76/8/1/Липа</t>
  </si>
  <si>
    <t>Тимерликовское/76/8/1/Осина</t>
  </si>
  <si>
    <t>Тимерликовское/76/8/2</t>
  </si>
  <si>
    <t>Тимерликовское/76/8/2/Береза</t>
  </si>
  <si>
    <t>Тимерликовское/76/8/2/Липа</t>
  </si>
  <si>
    <t>Тимерликовское/76/8/2/Осина</t>
  </si>
  <si>
    <t>Тимерликовское/76/8/3</t>
  </si>
  <si>
    <t>Тимерликовское/76/8/3/Береза</t>
  </si>
  <si>
    <t>Тимерликовское/76/8/3/Липа</t>
  </si>
  <si>
    <t>Тимерликовское/76/8/3/Осина</t>
  </si>
  <si>
    <t>Тимерликовское/76/11/4</t>
  </si>
  <si>
    <t>Тимерликовское/76/11/4/Береза</t>
  </si>
  <si>
    <t>Тимерликовское/76/11/4/Липа</t>
  </si>
  <si>
    <t>Тимерликовское/76/11/4/Осина</t>
  </si>
  <si>
    <t>Тимерликовское/76/21/5</t>
  </si>
  <si>
    <t>Тимерликовское/76/21/5/Береза</t>
  </si>
  <si>
    <t>Тимерликовское/76/21/5/Липа</t>
  </si>
  <si>
    <t>Тимерликовское/76/21/5/Осина</t>
  </si>
  <si>
    <t>Тимерликовское/76/22/6</t>
  </si>
  <si>
    <t>Тимерликовское/76/22/6/Береза</t>
  </si>
  <si>
    <t>Тимерликовское/76/22/6/Липа</t>
  </si>
  <si>
    <t>Тимерликовское/76/22/6/Осина</t>
  </si>
  <si>
    <t>Тимерликовское/92/1/1</t>
  </si>
  <si>
    <t>Тимерликовское/92/1/1/Береза</t>
  </si>
  <si>
    <t>Тимерликовское/92/1/1/Липа</t>
  </si>
  <si>
    <t>Тимерликовское/92/28/2</t>
  </si>
  <si>
    <t>Тимерликовское/92/28/2/Береза</t>
  </si>
  <si>
    <t>Тимерликовское/92/28/2/Дуб низкоствольный</t>
  </si>
  <si>
    <t>Тимерликовское/92/28/2/Липа</t>
  </si>
  <si>
    <t>Тимерликовское/92/28/2/Осина</t>
  </si>
  <si>
    <t>Тимерликовское/92/28/3</t>
  </si>
  <si>
    <t>Тимерликовское/92/28/3/Береза</t>
  </si>
  <si>
    <t>Тимерликовское/92/28/3/Дуб низкоствольный</t>
  </si>
  <si>
    <t>Тимерликовское/92/28/3/Липа</t>
  </si>
  <si>
    <t>Тимерликовское/92/28/3/Осина</t>
  </si>
  <si>
    <t>Тимерликовское/92/28/4</t>
  </si>
  <si>
    <t>Тимерликовское/92/28/4/Береза</t>
  </si>
  <si>
    <t>Тимерликовское/92/28/4/Дуб низкоствольный</t>
  </si>
  <si>
    <t>Тимерликовское/92/28/4/Липа</t>
  </si>
  <si>
    <t>Тимерликовское/92/28/4/Осина</t>
  </si>
  <si>
    <t>Тимерликовское/93/3/1</t>
  </si>
  <si>
    <t>Тимерликовское/93/3/1/Береза</t>
  </si>
  <si>
    <t>Тимерликовское/93/3/1/Липа</t>
  </si>
  <si>
    <t>Тимерликовское/93/3/1/Осина</t>
  </si>
  <si>
    <t>Тимерликовское/101/28/1</t>
  </si>
  <si>
    <t>Тимерликовское/101/28/1/Береза</t>
  </si>
  <si>
    <t>Тимерликовское/101/28/1/Ольха черная</t>
  </si>
  <si>
    <t>Тимерликовское/107/18/1</t>
  </si>
  <si>
    <t>Тимерликовское/107/18/1/Береза</t>
  </si>
  <si>
    <t>Тимерликовское/107/18/1/Липа</t>
  </si>
  <si>
    <t>Тимерликовское/107/18/1/Осина</t>
  </si>
  <si>
    <t>Тимерликовское/107/18/2</t>
  </si>
  <si>
    <t>Тимерликовское/107/18/2/Береза</t>
  </si>
  <si>
    <t>Тимерликовское/107/18/2/Липа</t>
  </si>
  <si>
    <t>Тимерликовское/107/18/2/Осина</t>
  </si>
  <si>
    <t>Тимерликовское/108/19/1</t>
  </si>
  <si>
    <t>Тимерликовское/108/19/1/Береза</t>
  </si>
  <si>
    <t>Тимерликовское/108/19/1/Осина</t>
  </si>
  <si>
    <t>Тимерликовское/108/20/2</t>
  </si>
  <si>
    <t>Тимерликовское/108/20/2/Береза</t>
  </si>
  <si>
    <t>Тимерликовское/108/20/2/Осина</t>
  </si>
  <si>
    <t>Тимерликовское/115/6/1</t>
  </si>
  <si>
    <t>Тимерликовское/115/6/1/Береза</t>
  </si>
  <si>
    <t>Тимерликовское/115/6/1/Осина</t>
  </si>
  <si>
    <t>Тимерликовское/115/6/2</t>
  </si>
  <si>
    <t>Тимерликовское/115/6/2/Береза</t>
  </si>
  <si>
    <t>Тимерликовское/115/6/2/Осина</t>
  </si>
  <si>
    <t>Тимерликовское/115/6/3</t>
  </si>
  <si>
    <t>Тимерликовское/115/6/3/Береза</t>
  </si>
  <si>
    <t>Тимерликовское/115/6/3/Осина</t>
  </si>
  <si>
    <t>Тумбинское/2/19/1</t>
  </si>
  <si>
    <t>Тумбинское/2/19/1/Береза</t>
  </si>
  <si>
    <t>Тумбинское/2/19/1/Сосна</t>
  </si>
  <si>
    <t>Тумбинское/3/3/1</t>
  </si>
  <si>
    <t>Тумбинское/3/3/1/Береза</t>
  </si>
  <si>
    <t>Тумбинское/3/3/1/Липа</t>
  </si>
  <si>
    <t>Тумбинское/4/1/1</t>
  </si>
  <si>
    <t>Тумбинское/4/1/1/Береза</t>
  </si>
  <si>
    <t>Тумбинское/4/1/1/Липа</t>
  </si>
  <si>
    <t>Тумбинское/4/1/2</t>
  </si>
  <si>
    <t>Тумбинское/4/1/2/Береза</t>
  </si>
  <si>
    <t>Тумбинское/4/1/2/Липа</t>
  </si>
  <si>
    <t>Тумбинское/7/10/1</t>
  </si>
  <si>
    <t>Тумбинское/7/10/1/Береза</t>
  </si>
  <si>
    <t>Тумбинское/7/10/1/Осина</t>
  </si>
  <si>
    <t>Тумбинское/8/6/1</t>
  </si>
  <si>
    <t>Тумбинское/8/6/1/Береза</t>
  </si>
  <si>
    <t>Тумбинское/12/3/1</t>
  </si>
  <si>
    <t>Тумбинское/12/3/1/Береза</t>
  </si>
  <si>
    <t>Тумбинское/12/3/1/Осина</t>
  </si>
  <si>
    <t>Тумбинское/25/28/1</t>
  </si>
  <si>
    <t>Тумбинское/25/28/1/Береза</t>
  </si>
  <si>
    <t>Тумбинское/42/22/1</t>
  </si>
  <si>
    <t>Тумбинское/42/22/1/Береза</t>
  </si>
  <si>
    <t>Тумбинское/42/22/1/Осина</t>
  </si>
  <si>
    <t>Тумбинское/48/5/1</t>
  </si>
  <si>
    <t>Тумбинское/48/5/1/Береза</t>
  </si>
  <si>
    <t>Тумбинское/48/5/2</t>
  </si>
  <si>
    <t>Тумбинское/48/5/2/Береза</t>
  </si>
  <si>
    <t>Тумбинское/48/5/3</t>
  </si>
  <si>
    <t>Тумбинское/48/5/3/Береза</t>
  </si>
  <si>
    <t>Тумбинское/49/3/1</t>
  </si>
  <si>
    <t>Тумбинское/49/3/1/Береза</t>
  </si>
  <si>
    <t>Тумбинское/49/3/2</t>
  </si>
  <si>
    <t>Тумбинское/49/3/2/Береза</t>
  </si>
  <si>
    <t>Тумбинское/49/8/3</t>
  </si>
  <si>
    <t>Тумбинское/49/8/3/Береза</t>
  </si>
  <si>
    <t>Тумбинское/49/8/3/Ольха черная</t>
  </si>
  <si>
    <t>Тумбинское/50/8/1</t>
  </si>
  <si>
    <t>Тумбинское/50/8/1/Береза</t>
  </si>
  <si>
    <t>Тумбинское/57/13/1</t>
  </si>
  <si>
    <t>Тумбинское/57/13/1/Береза</t>
  </si>
  <si>
    <t>Тумбинское/57/13/1/Осина</t>
  </si>
  <si>
    <t>Тумбинское/57/19/2</t>
  </si>
  <si>
    <t>Тумбинское/57/19/2/Береза</t>
  </si>
  <si>
    <t>Тумбинское/68/7/1</t>
  </si>
  <si>
    <t>Тумбинское/68/7/1/Береза</t>
  </si>
  <si>
    <t>Тумбинское/68/7/1/Осина</t>
  </si>
  <si>
    <t>Тумбинское/77/4/1</t>
  </si>
  <si>
    <t>Тумбинское/77/4/1/Береза</t>
  </si>
  <si>
    <t>Тумбинское/92/10/1</t>
  </si>
  <si>
    <t>Тумбинское/92/10/1/Береза</t>
  </si>
  <si>
    <t>Тумбинское/92/10/1/Липа</t>
  </si>
  <si>
    <t>Тумбинское/92/12/2</t>
  </si>
  <si>
    <t>Тумбинское/92/12/2/Береза</t>
  </si>
  <si>
    <t>Тумбинское/104/9/1</t>
  </si>
  <si>
    <t>Тумбинское/104/9/1/Береза</t>
  </si>
  <si>
    <t>Тумбинское/104/9/1/Осина</t>
  </si>
  <si>
    <t>Тумбинское/105/9/1</t>
  </si>
  <si>
    <t>Тумбинское/105/9/1/Береза</t>
  </si>
  <si>
    <t>Тумбинское/105/9/1/Осина</t>
  </si>
  <si>
    <t>Тумбинское/105/9/2</t>
  </si>
  <si>
    <t>Тумбинское/105/9/2/Береза</t>
  </si>
  <si>
    <t>Тумбинское/105/9/2/Осина</t>
  </si>
  <si>
    <t>Тумбинское/105/9/3</t>
  </si>
  <si>
    <t>Тумбинское/105/9/3/Береза</t>
  </si>
  <si>
    <t>Тумбинское/105/9/3/Осина</t>
  </si>
  <si>
    <t>Тумбинское/106/8/1</t>
  </si>
  <si>
    <t>Тумбинское/106/8/1/Береза</t>
  </si>
  <si>
    <t>Тумбинское/106/8/1/Осина</t>
  </si>
  <si>
    <t>Тумбинское/107/7/1</t>
  </si>
  <si>
    <t>Тумбинское/107/7/1/Береза</t>
  </si>
  <si>
    <t>Тумбинское/107/15/2</t>
  </si>
  <si>
    <t>Тумбинское/107/15/2/Береза</t>
  </si>
  <si>
    <t>Тумбинское/107/15/2/Дуб низкоствольный</t>
  </si>
  <si>
    <t>Тумбинское/114/10/1</t>
  </si>
  <si>
    <t>Тумбинское/114/10/1/Береза</t>
  </si>
  <si>
    <t>Тумбинское/120/4/1</t>
  </si>
  <si>
    <t>Тумбинское/120/4/1/Береза</t>
  </si>
  <si>
    <t>Тумбинское/120/4/1/Осина</t>
  </si>
  <si>
    <t>Тумбинское/136/11/1</t>
  </si>
  <si>
    <t>Тумбинское/136/11/1/Береза</t>
  </si>
  <si>
    <t>Тумбинское/136/11/1/Липа</t>
  </si>
  <si>
    <t>Тумбинское/141/1/1</t>
  </si>
  <si>
    <t>Тумбинское/141/1/1/Береза</t>
  </si>
  <si>
    <t>Тумбинское/143/5/1</t>
  </si>
  <si>
    <t>Тумбинское/143/5/1/Береза</t>
  </si>
  <si>
    <t>Тумбинское/143/5/1/Липа</t>
  </si>
  <si>
    <t>Тумбинское/143/5/2</t>
  </si>
  <si>
    <t>Тумбинское/143/5/2/Береза</t>
  </si>
  <si>
    <t>Тумбинское/143/5/2/Липа</t>
  </si>
  <si>
    <t>Чулпановское/6/10/1</t>
  </si>
  <si>
    <t>Чулпановское/6/10/1/Береза</t>
  </si>
  <si>
    <t>Чулпановское/6/10/1/Осина</t>
  </si>
  <si>
    <t>Чулпановское/6/10/1/Липа</t>
  </si>
  <si>
    <t>Чулпановское/7/8/1</t>
  </si>
  <si>
    <t>Чулпановское/7/8/1/Береза</t>
  </si>
  <si>
    <t>Чулпановское/7/8/1/Дуб низкоствольный</t>
  </si>
  <si>
    <t>Чулпановское/7/8/1/Липа</t>
  </si>
  <si>
    <t>Чулпановское/7/8/1/Осина</t>
  </si>
  <si>
    <t>Чулпановское/9/19/1</t>
  </si>
  <si>
    <t>Чулпановское/9/19/1/Береза</t>
  </si>
  <si>
    <t>Чулпановское/9/19/1/Липа</t>
  </si>
  <si>
    <t>Чулпановское/9/19/1/Осина</t>
  </si>
  <si>
    <t>Чулпановское/10/1/1</t>
  </si>
  <si>
    <t>Чулпановское/10/1/1/Береза</t>
  </si>
  <si>
    <t>Чулпановское/10/1/1/Липа</t>
  </si>
  <si>
    <t>Чулпановское/10/1/1/Осина</t>
  </si>
  <si>
    <t>Чулпановское/10/1/2</t>
  </si>
  <si>
    <t>Чулпановское/10/1/2/Береза</t>
  </si>
  <si>
    <t>Чулпановское/10/1/2/Липа</t>
  </si>
  <si>
    <t>Чулпановское/10/1/2/Осина</t>
  </si>
  <si>
    <t>Чулпановское/10/2/3</t>
  </si>
  <si>
    <t>Чулпановское/10/2/3/Береза</t>
  </si>
  <si>
    <t>Чулпановское/10/2/3/Осина</t>
  </si>
  <si>
    <t>Чулпановское/10/3/4</t>
  </si>
  <si>
    <t>Чулпановское/10/3/4/Береза</t>
  </si>
  <si>
    <t>Чулпановское/10/3/4/Липа</t>
  </si>
  <si>
    <t>Чулпановское/10/3/4/Осина</t>
  </si>
  <si>
    <t>Чулпановское/12/18/1</t>
  </si>
  <si>
    <t>Чулпановское/12/18/1/Береза</t>
  </si>
  <si>
    <t>Чулпановское/12/18/1/Липа</t>
  </si>
  <si>
    <t>Чулпановское/12/18/1/Осина</t>
  </si>
  <si>
    <t>Чулпановское/14/10/1</t>
  </si>
  <si>
    <t>Чулпановское/14/10/1/Береза</t>
  </si>
  <si>
    <t>Чулпановское/14/10/1/Осина</t>
  </si>
  <si>
    <t>Чулпановское/19/49/1</t>
  </si>
  <si>
    <t>Чулпановское/19/49/1/Береза</t>
  </si>
  <si>
    <t>Чулпановское/19/49/1/Осина</t>
  </si>
  <si>
    <t>Чулпановское/20/26/1</t>
  </si>
  <si>
    <t>Чулпановское/20/26/1/Береза</t>
  </si>
  <si>
    <t>Чулпановское/20/26/1/Осина</t>
  </si>
  <si>
    <t>Чулпановское/20/54/2</t>
  </si>
  <si>
    <t>Чулпановское/20/54/2/Береза</t>
  </si>
  <si>
    <t>Чулпановское/20/54/2/Липа</t>
  </si>
  <si>
    <t>Чулпановское/20/54/2/Осина</t>
  </si>
  <si>
    <t>Чулпановское/22/35/1</t>
  </si>
  <si>
    <t>Чулпановское/22/35/1/Береза</t>
  </si>
  <si>
    <t>Чулпановское/22/35/1/Дуб низкоствольный</t>
  </si>
  <si>
    <t>Чулпановское/24/15/1</t>
  </si>
  <si>
    <t>Чулпановское/24/15/1/Береза</t>
  </si>
  <si>
    <t>Чулпановское/24/15/1/Ольха черная</t>
  </si>
  <si>
    <t>Чулпановское/28/24/1</t>
  </si>
  <si>
    <t>Чулпановское/28/24/1/Береза</t>
  </si>
  <si>
    <t>Чулпановское/28/24/1/Дуб низкоствольный</t>
  </si>
  <si>
    <t>Чулпановское/28/24/1/Клен</t>
  </si>
  <si>
    <t>Чулпановское/28/24/1/Липа</t>
  </si>
  <si>
    <t>Чулпановское/28/24/1/Осина</t>
  </si>
  <si>
    <t>Чулпановское/29/10/1</t>
  </si>
  <si>
    <t>Чулпановское/29/10/1/Береза</t>
  </si>
  <si>
    <t>Чулпановское/29/10/1/Вяз</t>
  </si>
  <si>
    <t>Чулпановское/29/10/1/Дуб низкоствольный</t>
  </si>
  <si>
    <t>Чулпановское/29/10/1/Липа</t>
  </si>
  <si>
    <t>Чулпановское/31/12/1</t>
  </si>
  <si>
    <t>Чулпановское/31/12/1/Береза</t>
  </si>
  <si>
    <t>Чулпановское/31/12/1/Вяз</t>
  </si>
  <si>
    <t>Чулпановское/31/12/1/Дуб</t>
  </si>
  <si>
    <t>Чулпановское/31/12/1/Клен</t>
  </si>
  <si>
    <t>Чулпановское/31/12/1/Липа</t>
  </si>
  <si>
    <t>Чулпановское/34/12/1</t>
  </si>
  <si>
    <t>Чулпановское/34/12/1/Береза</t>
  </si>
  <si>
    <t>Чулпановское/34/12/1/Дуб низкоствольный</t>
  </si>
  <si>
    <t>Чулпановское/34/12/1/Клен</t>
  </si>
  <si>
    <t>Чулпановское/34/12/1/Липа</t>
  </si>
  <si>
    <t>Чулпановское/49/26/1</t>
  </si>
  <si>
    <t>Чулпановское/49/26/1/Береза</t>
  </si>
  <si>
    <t>Чулпановское/49/26/1/Ольха черная</t>
  </si>
  <si>
    <t>Чулпановское/58/11/1</t>
  </si>
  <si>
    <t>Чулпановское/58/11/1/Береза</t>
  </si>
  <si>
    <t>Чулпановское/58/11/1/Ольха черная</t>
  </si>
  <si>
    <t>Чулпановское/59/34/1</t>
  </si>
  <si>
    <t>Чулпановское/59/34/1/Береза</t>
  </si>
  <si>
    <t>Чулпановское/59/34/1/Ольха черная</t>
  </si>
  <si>
    <t>Чулпановское/59/34/1/Осина</t>
  </si>
  <si>
    <t>Чулпановское/59/48/2</t>
  </si>
  <si>
    <t>Чулпановское/59/48/2/Береза</t>
  </si>
  <si>
    <t>Чулпановское/59/48/2/Липа</t>
  </si>
  <si>
    <t>Чулпановское/59/48/2/Осина</t>
  </si>
  <si>
    <t>Чулпановское/59/57/3</t>
  </si>
  <si>
    <t>Чулпановское/59/57/3/Береза</t>
  </si>
  <si>
    <t>Чулпановское/59/57/3/Осина</t>
  </si>
  <si>
    <t>Чулпановское/65/32/1</t>
  </si>
  <si>
    <t>Чулпановское/65/32/1/Береза</t>
  </si>
  <si>
    <t>Чулпановское/65/32/1/Ольха черная</t>
  </si>
  <si>
    <t>Чулпановское/67/30/1</t>
  </si>
  <si>
    <t>Чулпановское/67/30/1/Береза</t>
  </si>
  <si>
    <t>Чулпановское/67/30/1/Ольха черная</t>
  </si>
  <si>
    <t>Чулпановское/67/34/2</t>
  </si>
  <si>
    <t>Чулпановское/67/34/2/Береза</t>
  </si>
  <si>
    <t>Чулпановское/67/34/2/Ольха черная</t>
  </si>
  <si>
    <t>Чулпановское/69/5/1</t>
  </si>
  <si>
    <t>Чулпановское/69/5/1/Береза</t>
  </si>
  <si>
    <t>Чулпановское/69/5/1/Ольха черная</t>
  </si>
  <si>
    <t>Чулпановское/76/3/2</t>
  </si>
  <si>
    <t>Чулпановское/76/3/2/Береза</t>
  </si>
  <si>
    <t>Чулпановское/76/3/2/Ольха черная</t>
  </si>
  <si>
    <t>Чулпановское/83/1/1</t>
  </si>
  <si>
    <t>Чулпановское/83/1/1/Береза</t>
  </si>
  <si>
    <t>Чулпановское/83/1/1/Ольха черная</t>
  </si>
  <si>
    <t>Чулпановское/83/3/2</t>
  </si>
  <si>
    <t>Чулпановское/83/3/2/Береза</t>
  </si>
  <si>
    <t>Чулпановское/83/3/2/Ольха черная</t>
  </si>
  <si>
    <t>Чулпановское/83/3/3</t>
  </si>
  <si>
    <t>Чулпановское/83/3/3/Береза</t>
  </si>
  <si>
    <t>Чулпановское/83/3/3/Ольха черная</t>
  </si>
  <si>
    <t>Чулпановское/90/13/1</t>
  </si>
  <si>
    <t>Чулпановское/90/13/1/Береза</t>
  </si>
  <si>
    <t>Чулпановское/90/13/1/Вяз</t>
  </si>
  <si>
    <t>Чулпановское/90/13/1/Дуб низкоствольный</t>
  </si>
  <si>
    <t>Чулпановское/90/13/1/Липа</t>
  </si>
  <si>
    <t>кадастровый номер участка</t>
  </si>
  <si>
    <t>с учетом коэффициента 1,51 на 2017 год (постановление Правительства РФ от 14.12.2016 г. № 1350)</t>
  </si>
  <si>
    <t xml:space="preserve">Расчет стоимости древесины производился по ставкам платы, утвержденным Постановлением Правительства РФ от 22.05.2007 года № 310 "О ставках платы за единицу </t>
  </si>
  <si>
    <t>базовые ставки</t>
  </si>
  <si>
    <t>база</t>
  </si>
  <si>
    <t>Фактически понесенные расходы</t>
  </si>
  <si>
    <t>Общий запас</t>
  </si>
  <si>
    <t>хоз</t>
  </si>
  <si>
    <t>главная порода</t>
  </si>
  <si>
    <t>по м3</t>
  </si>
  <si>
    <t>на 1 га</t>
  </si>
  <si>
    <t>Из ведомости исключены все виды ООПТ и резервных лесов, в т.ч. для населения.</t>
  </si>
  <si>
    <t>Руководитель-лесничий</t>
  </si>
  <si>
    <t>Р.М. Галеев</t>
  </si>
  <si>
    <t>Делянки обсчитаны по ставкам 2017 года</t>
  </si>
  <si>
    <t>заместитель руководителя А.Г. Батдалов</t>
  </si>
  <si>
    <t xml:space="preserve">При ликвидном запасе древесины на 1 га применяется коэффициент: от 150,1 м3 и более - 1,05,  до 100 м3 - 0,9,  от 100,1 до 150 м3 - 1. </t>
  </si>
  <si>
    <t>проверка суммы</t>
  </si>
  <si>
    <t>16:32:010501:549</t>
  </si>
  <si>
    <t>16:32:000000:2141</t>
  </si>
  <si>
    <t>16:32:000000:2136</t>
  </si>
  <si>
    <t>16:32:000000:2121</t>
  </si>
  <si>
    <t>Номера точек</t>
  </si>
  <si>
    <t>Номера участков</t>
  </si>
  <si>
    <t>Вишнево-Полянское/15/22/1</t>
  </si>
  <si>
    <t>Вишнево-Полянское/16/40/2</t>
  </si>
  <si>
    <t>Вишнево-Полянское/19/5/1</t>
  </si>
  <si>
    <t>Вишнево-Полянское/20/3/1</t>
  </si>
  <si>
    <t>Вишнево-Полянское/27/13/2</t>
  </si>
  <si>
    <t>Вишнево-Полянское/33/4/1</t>
  </si>
  <si>
    <t>Вишнево-Полянское/34/17/1</t>
  </si>
  <si>
    <t>Вишнево-Полянское/34/22/2</t>
  </si>
  <si>
    <t>Вишнево-Полянское/34/24/3</t>
  </si>
  <si>
    <t>Вишнево-Полянское/47/5/1</t>
  </si>
  <si>
    <t>Вишнево-Полянское/47/17/2</t>
  </si>
  <si>
    <t>Вишнево-Полянское/90/1/1</t>
  </si>
  <si>
    <t>Вишнево-Полянское/90/18/2</t>
  </si>
  <si>
    <t>Тумбинское/4/2/3</t>
  </si>
  <si>
    <t>Тумбинское/7/10/2</t>
  </si>
  <si>
    <t>Тумбинское/54/9/1</t>
  </si>
  <si>
    <t>Тумбинское/54/9/2</t>
  </si>
  <si>
    <t>Тумбинское/57/19/1</t>
  </si>
  <si>
    <t>Тумбинское/104/7/1</t>
  </si>
  <si>
    <t>Чулпановское/18/69/1</t>
  </si>
  <si>
    <t>Чулпановское/21/26/1</t>
  </si>
  <si>
    <t>Чулпановское/34/10/1</t>
  </si>
  <si>
    <t>Чулпановское/34/12/2</t>
  </si>
  <si>
    <t>Чулпановское/44/10/1</t>
  </si>
  <si>
    <t>Чулпановское/64/16/1</t>
  </si>
  <si>
    <t>Чулпановское/77/1/1</t>
  </si>
  <si>
    <t>Мягколиственное</t>
  </si>
  <si>
    <t>ставки 2017 г. с учетом поправочных коэффициентов</t>
  </si>
  <si>
    <t xml:space="preserve">Акт </t>
  </si>
  <si>
    <t>натурного осмотра лесных участков</t>
  </si>
  <si>
    <t>выставляемых на аукцион для проведения сплошных рубок в 2017 году</t>
  </si>
  <si>
    <t>для малого и среднего бизнеса.</t>
  </si>
  <si>
    <t>п. Заречный</t>
  </si>
  <si>
    <t>17.10.2016 г.</t>
  </si>
  <si>
    <t>Нами, инженером лесопользования ГКУ «Нурлатское лесничество» Батдаловым А.Г., при участии участковых лесничих Вишнево-Полянского участкового лесничества, Восходского участкового лесничества, Мамыковского участкового лесничества, Тимерликовского участкового лесничества, Тумбинского участкового лесничества, Чулпановского участкового лесничества, произвели натурный осмотр лесосек выставляемых на аукцион для проведения сплошных рубок в 2017 году для малого и среднего бизнеса.</t>
  </si>
  <si>
    <t>При натурном осмотре была определена  необходимость в проведении следующих лесовосстановительных мероприятий:</t>
  </si>
  <si>
    <t>Ед. измер.</t>
  </si>
  <si>
    <t>Объем</t>
  </si>
  <si>
    <t>Планируемые мероприятия по охране, защите и воспроизводству лесов</t>
  </si>
  <si>
    <t>Батдалов А.Г. ______________</t>
  </si>
  <si>
    <t xml:space="preserve">Блинов П.А.______________               </t>
  </si>
  <si>
    <t>Пайрамов В.Н.______________</t>
  </si>
  <si>
    <t>Питимиров А.А..______________</t>
  </si>
  <si>
    <t>Сафиуллина Н.К.______________</t>
  </si>
  <si>
    <t>Фасхутдинов Н.М.______________</t>
  </si>
  <si>
    <t>Юсупов И.Ю.     ______________</t>
  </si>
  <si>
    <t>16:32:000000:2183</t>
  </si>
  <si>
    <t>16:32:010501:555</t>
  </si>
  <si>
    <t>16:32:000000:549</t>
  </si>
  <si>
    <t>16:32:010501:551</t>
  </si>
  <si>
    <t>16:32:000000:2124</t>
  </si>
  <si>
    <t>16:32:000000:581</t>
  </si>
  <si>
    <t>16:32:000000:628</t>
  </si>
  <si>
    <t>16:32:000000:2131</t>
  </si>
  <si>
    <t>16:32:000000:2159</t>
  </si>
  <si>
    <t>16:32:000000:2176</t>
  </si>
  <si>
    <t>16:32:000000:930</t>
  </si>
  <si>
    <t>16:32:000000:945</t>
  </si>
  <si>
    <t>16:32:220502:9</t>
  </si>
  <si>
    <t>16:32:000000:925</t>
  </si>
  <si>
    <t>16:32:000000:2144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</si>
</sst>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 _₽_-;\-* #,##0.00\ _₽_-;_-* &quot;-&quot;??\ _₽_-;_-@_-"/>
    <numFmt numFmtId="165" formatCode="0.0"/>
    <numFmt numFmtId="166" formatCode="#,##0.0"/>
    <numFmt numFmtId="167" formatCode="#,##0.00_р_."/>
    <numFmt numFmtId="168" formatCode=";;;"/>
  </numFmts>
  <fonts count="29" x14ac:knownFonts="1">
    <font>
      <sz val="10"/>
      <name val="Arial"/>
    </font>
    <font>
      <sz val="10"/>
      <name val="Arial"/>
      <family val="2"/>
      <charset val="204"/>
    </font>
    <font>
      <sz val="10"/>
      <name val="Times New Roman"/>
      <family val="1"/>
      <charset val="204"/>
    </font>
    <font>
      <b/>
      <sz val="10"/>
      <name val="Times New Roman"/>
      <family val="1"/>
      <charset val="204"/>
    </font>
    <font>
      <sz val="10"/>
      <color theme="1"/>
      <name val="Times New Roman"/>
      <family val="1"/>
      <charset val="204"/>
    </font>
    <font>
      <sz val="11"/>
      <color theme="1"/>
      <name val="Times New Roman"/>
      <family val="1"/>
      <charset val="204"/>
    </font>
    <font>
      <sz val="12"/>
      <name val="Times New Roman"/>
      <family val="1"/>
      <charset val="204"/>
    </font>
    <font>
      <b/>
      <sz val="48"/>
      <color theme="1"/>
      <name val="Times New Roman"/>
      <family val="1"/>
      <charset val="204"/>
    </font>
    <font>
      <sz val="14"/>
      <color theme="1"/>
      <name val="Times New Roman"/>
      <family val="1"/>
      <charset val="204"/>
    </font>
    <font>
      <sz val="18"/>
      <color theme="1"/>
      <name val="Times New Roman"/>
      <family val="1"/>
      <charset val="204"/>
    </font>
    <font>
      <b/>
      <sz val="20"/>
      <color rgb="FFFF0000"/>
      <name val="Times New Roman"/>
      <family val="1"/>
      <charset val="204"/>
    </font>
    <font>
      <b/>
      <sz val="20"/>
      <color theme="1"/>
      <name val="Times New Roman"/>
      <family val="1"/>
      <charset val="204"/>
    </font>
    <font>
      <sz val="16"/>
      <color theme="1"/>
      <name val="Times New Roman"/>
      <family val="1"/>
      <charset val="204"/>
    </font>
    <font>
      <b/>
      <sz val="15"/>
      <color theme="1"/>
      <name val="Times New Roman"/>
      <family val="1"/>
      <charset val="204"/>
    </font>
    <font>
      <b/>
      <sz val="16"/>
      <color theme="1"/>
      <name val="Times New Roman"/>
      <family val="1"/>
      <charset val="204"/>
    </font>
    <font>
      <sz val="17"/>
      <color rgb="FFC00000"/>
      <name val="Times New Roman"/>
      <family val="1"/>
      <charset val="204"/>
    </font>
    <font>
      <sz val="13"/>
      <color theme="1"/>
      <name val="Times New Roman"/>
      <family val="1"/>
      <charset val="204"/>
    </font>
    <font>
      <sz val="12"/>
      <color theme="1"/>
      <name val="Times New Roman"/>
      <family val="1"/>
      <charset val="204"/>
    </font>
    <font>
      <b/>
      <sz val="16"/>
      <color rgb="FF00B050"/>
      <name val="Times New Roman"/>
      <family val="1"/>
      <charset val="204"/>
    </font>
    <font>
      <sz val="16"/>
      <color rgb="FFC00000"/>
      <name val="Times New Roman"/>
      <family val="1"/>
      <charset val="204"/>
    </font>
    <font>
      <b/>
      <sz val="12"/>
      <color theme="1" tint="0.499984740745262"/>
      <name val="Arial"/>
      <family val="2"/>
      <charset val="204"/>
    </font>
    <font>
      <sz val="17"/>
      <color theme="1"/>
      <name val="Arial"/>
      <family val="2"/>
      <charset val="204"/>
    </font>
    <font>
      <sz val="18"/>
      <color rgb="FFC00000"/>
      <name val="Times New Roman"/>
      <family val="1"/>
      <charset val="204"/>
    </font>
    <font>
      <sz val="14"/>
      <color theme="0" tint="-0.499984740745262"/>
      <name val="Times New Roman"/>
      <family val="1"/>
      <charset val="204"/>
    </font>
    <font>
      <b/>
      <sz val="12"/>
      <color theme="1"/>
      <name val="Times New Roman"/>
      <family val="1"/>
      <charset val="204"/>
    </font>
    <font>
      <sz val="12"/>
      <color theme="0" tint="-0.499984740745262"/>
      <name val="Times New Roman"/>
      <family val="1"/>
      <charset val="204"/>
    </font>
    <font>
      <sz val="26"/>
      <name val="Arial"/>
      <family val="2"/>
      <charset val="204"/>
    </font>
    <font>
      <sz val="24"/>
      <name val="Times New Roman"/>
      <family val="1"/>
      <charset val="204"/>
    </font>
    <font>
      <sz val="12"/>
      <color rgb="FF000000"/>
      <name val="Times New Roman"/>
      <family val="1"/>
      <charset val="204"/>
    </font>
  </fonts>
  <fills count="10">
    <fill>
      <patternFill patternType="none"/>
    </fill>
    <fill>
      <patternFill patternType="gray125"/>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rgb="FFFFFFFF"/>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thin">
        <color indexed="64"/>
      </bottom>
      <diagonal/>
    </border>
  </borders>
  <cellStyleXfs count="2">
    <xf numFmtId="0" fontId="0" fillId="0" borderId="0"/>
    <xf numFmtId="0" fontId="1" fillId="0" borderId="0"/>
  </cellStyleXfs>
  <cellXfs count="371">
    <xf numFmtId="0" fontId="0" fillId="0" borderId="0" xfId="0"/>
    <xf numFmtId="2" fontId="2" fillId="0" borderId="0" xfId="0" applyNumberFormat="1" applyFont="1" applyFill="1" applyBorder="1" applyAlignment="1">
      <alignment horizontal="center" vertical="center"/>
    </xf>
    <xf numFmtId="2" fontId="3" fillId="0" borderId="0" xfId="0" applyNumberFormat="1" applyFont="1" applyFill="1" applyBorder="1" applyAlignment="1">
      <alignment horizontal="center" vertical="center"/>
    </xf>
    <xf numFmtId="0" fontId="0" fillId="0" borderId="0" xfId="0" applyAlignment="1">
      <alignment horizontal="center"/>
    </xf>
    <xf numFmtId="1" fontId="2" fillId="0" borderId="0" xfId="0" applyNumberFormat="1" applyFont="1" applyFill="1" applyBorder="1" applyAlignment="1">
      <alignment horizontal="center" vertical="center"/>
    </xf>
    <xf numFmtId="0" fontId="4" fillId="0" borderId="0" xfId="0" applyFont="1" applyAlignment="1">
      <alignment horizontal="center" vertical="center"/>
    </xf>
    <xf numFmtId="0" fontId="4" fillId="0" borderId="0" xfId="0" applyFont="1" applyFill="1" applyAlignment="1">
      <alignment horizontal="center" vertical="center"/>
    </xf>
    <xf numFmtId="2" fontId="4" fillId="0" borderId="0" xfId="0" applyNumberFormat="1" applyFont="1" applyFill="1" applyAlignment="1">
      <alignment horizontal="center" vertical="center"/>
    </xf>
    <xf numFmtId="0" fontId="4" fillId="0" borderId="0" xfId="0" applyFont="1" applyFill="1" applyAlignment="1">
      <alignment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4" borderId="4" xfId="0" applyFont="1" applyFill="1" applyBorder="1" applyAlignment="1">
      <alignment horizontal="center" vertical="center" wrapText="1"/>
    </xf>
    <xf numFmtId="0" fontId="4" fillId="0" borderId="0" xfId="0" applyFont="1" applyAlignment="1">
      <alignment horizontal="center" vertical="center" wrapText="1"/>
    </xf>
    <xf numFmtId="0" fontId="4" fillId="0" borderId="4" xfId="0" applyFont="1" applyFill="1" applyBorder="1" applyAlignment="1">
      <alignment horizontal="center" vertical="center" wrapText="1"/>
    </xf>
    <xf numFmtId="2" fontId="4" fillId="0" borderId="4"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2" fontId="4" fillId="0" borderId="1" xfId="0" applyNumberFormat="1" applyFont="1" applyFill="1" applyBorder="1" applyAlignment="1">
      <alignment horizontal="center" vertical="center"/>
    </xf>
    <xf numFmtId="0" fontId="4" fillId="4" borderId="1" xfId="0" applyFont="1" applyFill="1"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horizontal="left" vertical="center"/>
    </xf>
    <xf numFmtId="0"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2" fontId="2" fillId="0" borderId="1" xfId="0" applyNumberFormat="1" applyFont="1" applyFill="1" applyBorder="1" applyAlignment="1">
      <alignment horizontal="center" vertical="center"/>
    </xf>
    <xf numFmtId="2" fontId="5" fillId="0" borderId="1" xfId="0" applyNumberFormat="1" applyFont="1" applyFill="1" applyBorder="1" applyAlignment="1">
      <alignment horizontal="center" vertical="center"/>
    </xf>
    <xf numFmtId="0" fontId="5" fillId="0" borderId="1" xfId="0" applyFont="1" applyFill="1" applyBorder="1" applyAlignment="1">
      <alignment vertical="center"/>
    </xf>
    <xf numFmtId="0" fontId="5" fillId="0" borderId="1" xfId="0" applyFont="1" applyFill="1" applyBorder="1" applyAlignment="1">
      <alignment horizontal="left" vertical="center"/>
    </xf>
    <xf numFmtId="0" fontId="5" fillId="0" borderId="1" xfId="0" applyFont="1" applyBorder="1" applyAlignment="1">
      <alignment horizontal="center" vertical="center"/>
    </xf>
    <xf numFmtId="0" fontId="4" fillId="0" borderId="0" xfId="0" applyFont="1" applyFill="1" applyAlignment="1">
      <alignment horizontal="left" vertical="center"/>
    </xf>
    <xf numFmtId="0" fontId="0" fillId="0" borderId="1" xfId="0" applyBorder="1"/>
    <xf numFmtId="0" fontId="0" fillId="0" borderId="0" xfId="0" applyFill="1"/>
    <xf numFmtId="0" fontId="6" fillId="0" borderId="0" xfId="0" applyFont="1" applyAlignment="1">
      <alignment horizontal="center" vertical="center"/>
    </xf>
    <xf numFmtId="4" fontId="6" fillId="0" borderId="1" xfId="0" applyNumberFormat="1" applyFont="1" applyBorder="1" applyAlignment="1">
      <alignment horizontal="center" vertical="center"/>
    </xf>
    <xf numFmtId="1" fontId="2" fillId="0" borderId="1" xfId="0" applyNumberFormat="1" applyFont="1" applyFill="1" applyBorder="1" applyAlignment="1">
      <alignment horizontal="center" vertical="center"/>
    </xf>
    <xf numFmtId="0" fontId="2" fillId="0" borderId="1" xfId="0" applyFont="1" applyBorder="1" applyAlignment="1">
      <alignment horizontal="center" vertical="center"/>
    </xf>
    <xf numFmtId="1" fontId="6" fillId="0" borderId="1" xfId="0" applyNumberFormat="1" applyFont="1" applyFill="1" applyBorder="1" applyAlignment="1">
      <alignment horizontal="center" vertical="center" wrapText="1"/>
    </xf>
    <xf numFmtId="0" fontId="2" fillId="0" borderId="0" xfId="0" applyFont="1"/>
    <xf numFmtId="0" fontId="2" fillId="0" borderId="0" xfId="0" applyFont="1" applyFill="1"/>
    <xf numFmtId="0" fontId="2" fillId="0" borderId="0" xfId="0" applyFont="1" applyFill="1" applyBorder="1"/>
    <xf numFmtId="0" fontId="2" fillId="0" borderId="1" xfId="0" applyFont="1" applyFill="1" applyBorder="1" applyAlignment="1">
      <alignment horizontal="left" vertical="center"/>
    </xf>
    <xf numFmtId="0" fontId="9" fillId="7" borderId="0" xfId="0" applyFont="1" applyFill="1" applyAlignment="1">
      <alignment horizontal="center" vertical="center"/>
    </xf>
    <xf numFmtId="0" fontId="8" fillId="7" borderId="0" xfId="0" applyFont="1" applyFill="1" applyAlignment="1">
      <alignment horizontal="center" vertical="center"/>
    </xf>
    <xf numFmtId="0" fontId="8" fillId="7" borderId="0" xfId="0" applyFont="1" applyFill="1" applyBorder="1" applyAlignment="1">
      <alignment horizontal="center" vertical="center"/>
    </xf>
    <xf numFmtId="4" fontId="15" fillId="6" borderId="4" xfId="0" applyNumberFormat="1" applyFont="1" applyFill="1" applyBorder="1" applyAlignment="1">
      <alignment horizontal="center" vertical="center"/>
    </xf>
    <xf numFmtId="4" fontId="15" fillId="6" borderId="1" xfId="0" applyNumberFormat="1" applyFont="1" applyFill="1" applyBorder="1" applyAlignment="1">
      <alignment horizontal="center" vertical="center"/>
    </xf>
    <xf numFmtId="4" fontId="8" fillId="7" borderId="0" xfId="0" applyNumberFormat="1" applyFont="1" applyFill="1" applyBorder="1" applyAlignment="1">
      <alignment horizontal="center" vertical="center"/>
    </xf>
    <xf numFmtId="0" fontId="20" fillId="7" borderId="14" xfId="0" applyFont="1" applyFill="1" applyBorder="1" applyAlignment="1">
      <alignment horizontal="center" vertical="center" wrapText="1"/>
    </xf>
    <xf numFmtId="0" fontId="20" fillId="7" borderId="30" xfId="0" applyFont="1" applyFill="1" applyBorder="1" applyAlignment="1">
      <alignment horizontal="center" vertical="center" wrapText="1"/>
    </xf>
    <xf numFmtId="164" fontId="12" fillId="7" borderId="0" xfId="0" applyNumberFormat="1" applyFont="1" applyFill="1" applyBorder="1" applyAlignment="1">
      <alignment horizontal="center" vertical="center" wrapText="1"/>
    </xf>
    <xf numFmtId="0" fontId="9" fillId="7" borderId="0" xfId="0" applyFont="1" applyFill="1" applyBorder="1" applyAlignment="1">
      <alignment horizontal="center" vertical="center"/>
    </xf>
    <xf numFmtId="0" fontId="8" fillId="7" borderId="0" xfId="0" applyFont="1" applyFill="1" applyAlignment="1">
      <alignment horizontal="center"/>
    </xf>
    <xf numFmtId="0" fontId="10" fillId="7" borderId="0" xfId="0" applyFont="1" applyFill="1" applyAlignment="1">
      <alignment horizontal="center" vertical="center"/>
    </xf>
    <xf numFmtId="0" fontId="11" fillId="7" borderId="0" xfId="0" applyFont="1" applyFill="1" applyAlignment="1">
      <alignment horizontal="center" vertical="center"/>
    </xf>
    <xf numFmtId="0" fontId="12" fillId="7" borderId="25" xfId="0" applyFont="1" applyFill="1" applyBorder="1" applyAlignment="1">
      <alignment horizontal="center" vertical="center"/>
    </xf>
    <xf numFmtId="4" fontId="9" fillId="7" borderId="0" xfId="0" applyNumberFormat="1" applyFont="1" applyFill="1" applyBorder="1" applyAlignment="1">
      <alignment horizontal="center" vertical="center"/>
    </xf>
    <xf numFmtId="0" fontId="12" fillId="7" borderId="27" xfId="0" applyFont="1" applyFill="1" applyBorder="1" applyAlignment="1">
      <alignment horizontal="center" vertical="center"/>
    </xf>
    <xf numFmtId="0" fontId="17" fillId="7" borderId="0" xfId="0" applyFont="1" applyFill="1" applyBorder="1" applyAlignment="1">
      <alignment horizontal="center" vertical="center"/>
    </xf>
    <xf numFmtId="4" fontId="9" fillId="7" borderId="0" xfId="0" applyNumberFormat="1" applyFont="1" applyFill="1" applyAlignment="1">
      <alignment horizontal="center" vertical="center"/>
    </xf>
    <xf numFmtId="0" fontId="8" fillId="7" borderId="0" xfId="0" applyFont="1" applyFill="1" applyBorder="1" applyAlignment="1">
      <alignment horizontal="center" vertical="center" wrapText="1"/>
    </xf>
    <xf numFmtId="0" fontId="23" fillId="7" borderId="0" xfId="0" applyFont="1" applyFill="1" applyBorder="1" applyAlignment="1">
      <alignment horizontal="center" vertical="center"/>
    </xf>
    <xf numFmtId="2" fontId="8" fillId="7" borderId="0" xfId="0" applyNumberFormat="1" applyFont="1" applyFill="1" applyBorder="1" applyAlignment="1">
      <alignment horizontal="center" vertical="center"/>
    </xf>
    <xf numFmtId="0" fontId="23" fillId="7" borderId="6" xfId="0" applyFont="1" applyFill="1" applyBorder="1" applyAlignment="1">
      <alignment horizontal="center" vertical="center"/>
    </xf>
    <xf numFmtId="2" fontId="8" fillId="7" borderId="6" xfId="0" applyNumberFormat="1" applyFont="1" applyFill="1" applyBorder="1" applyAlignment="1">
      <alignment horizontal="center" vertical="center"/>
    </xf>
    <xf numFmtId="0" fontId="10" fillId="7" borderId="33" xfId="0" applyFont="1" applyFill="1" applyBorder="1" applyAlignment="1">
      <alignment horizontal="center" vertical="center"/>
    </xf>
    <xf numFmtId="2" fontId="10" fillId="7" borderId="33" xfId="0" applyNumberFormat="1" applyFont="1" applyFill="1" applyBorder="1" applyAlignment="1">
      <alignment horizontal="center" vertical="center"/>
    </xf>
    <xf numFmtId="2" fontId="10" fillId="7" borderId="0" xfId="0" applyNumberFormat="1" applyFont="1" applyFill="1" applyAlignment="1">
      <alignment horizontal="center" vertical="center"/>
    </xf>
    <xf numFmtId="4" fontId="8" fillId="7" borderId="0" xfId="0" applyNumberFormat="1" applyFont="1" applyFill="1" applyAlignment="1">
      <alignment horizontal="center" vertical="center"/>
    </xf>
    <xf numFmtId="0" fontId="11" fillId="7" borderId="0" xfId="0" applyFont="1" applyFill="1" applyAlignment="1">
      <alignment horizontal="center"/>
    </xf>
    <xf numFmtId="0" fontId="17" fillId="7" borderId="0" xfId="0" applyFont="1" applyFill="1" applyBorder="1" applyAlignment="1">
      <alignment horizontal="center"/>
    </xf>
    <xf numFmtId="4" fontId="12" fillId="7" borderId="14" xfId="0" applyNumberFormat="1" applyFont="1" applyFill="1" applyBorder="1" applyAlignment="1">
      <alignment horizontal="center" vertical="center" wrapText="1"/>
    </xf>
    <xf numFmtId="4" fontId="12" fillId="7" borderId="8" xfId="0" applyNumberFormat="1" applyFont="1" applyFill="1" applyBorder="1" applyAlignment="1">
      <alignment horizontal="center" vertical="center" wrapText="1"/>
    </xf>
    <xf numFmtId="4" fontId="12" fillId="7" borderId="11" xfId="0" applyNumberFormat="1" applyFont="1" applyFill="1" applyBorder="1" applyAlignment="1">
      <alignment horizontal="center" vertical="center" wrapText="1"/>
    </xf>
    <xf numFmtId="4" fontId="12" fillId="7" borderId="32" xfId="0" applyNumberFormat="1" applyFont="1" applyFill="1" applyBorder="1" applyAlignment="1">
      <alignment horizontal="center" vertical="center" wrapText="1"/>
    </xf>
    <xf numFmtId="4" fontId="12" fillId="7" borderId="1" xfId="0" applyNumberFormat="1" applyFont="1" applyFill="1" applyBorder="1" applyAlignment="1">
      <alignment horizontal="center" vertical="center" wrapText="1"/>
    </xf>
    <xf numFmtId="0" fontId="18" fillId="7" borderId="1" xfId="0" applyFont="1" applyFill="1" applyBorder="1" applyAlignment="1">
      <alignment horizontal="center" vertical="center"/>
    </xf>
    <xf numFmtId="0" fontId="14" fillId="6" borderId="1" xfId="0" applyFont="1" applyFill="1" applyBorder="1" applyAlignment="1">
      <alignment horizontal="center" vertical="center"/>
    </xf>
    <xf numFmtId="0" fontId="23" fillId="7" borderId="0" xfId="0" applyFont="1" applyFill="1" applyBorder="1" applyAlignment="1">
      <alignment horizontal="center" vertical="center"/>
    </xf>
    <xf numFmtId="0" fontId="6" fillId="0" borderId="0" xfId="0" applyFont="1" applyAlignment="1">
      <alignment horizontal="center"/>
    </xf>
    <xf numFmtId="0" fontId="6" fillId="0" borderId="0" xfId="0" applyFont="1"/>
    <xf numFmtId="0" fontId="17" fillId="7" borderId="0" xfId="0" applyFont="1" applyFill="1" applyAlignment="1">
      <alignment horizontal="center" vertical="center"/>
    </xf>
    <xf numFmtId="0" fontId="6" fillId="0" borderId="1" xfId="0" applyFont="1" applyBorder="1" applyAlignment="1">
      <alignment horizontal="center" vertical="center"/>
    </xf>
    <xf numFmtId="166" fontId="6" fillId="0" borderId="1" xfId="0" applyNumberFormat="1" applyFont="1" applyBorder="1" applyAlignment="1">
      <alignment horizontal="center" vertical="center"/>
    </xf>
    <xf numFmtId="0" fontId="24" fillId="7" borderId="0" xfId="0" applyFont="1" applyFill="1" applyBorder="1" applyAlignment="1">
      <alignment horizontal="center" vertical="center"/>
    </xf>
    <xf numFmtId="165" fontId="6" fillId="0" borderId="1" xfId="0" applyNumberFormat="1" applyFont="1" applyFill="1" applyBorder="1" applyAlignment="1">
      <alignment horizontal="center" vertical="center" wrapText="1"/>
    </xf>
    <xf numFmtId="164" fontId="17" fillId="7" borderId="0" xfId="0" applyNumberFormat="1" applyFont="1" applyFill="1" applyBorder="1" applyAlignment="1">
      <alignment horizontal="center" vertical="center" wrapText="1"/>
    </xf>
    <xf numFmtId="2" fontId="17" fillId="7" borderId="0" xfId="0" applyNumberFormat="1" applyFont="1" applyFill="1" applyAlignment="1">
      <alignment horizontal="center" vertical="center"/>
    </xf>
    <xf numFmtId="4" fontId="17" fillId="7" borderId="6" xfId="0" applyNumberFormat="1" applyFont="1" applyFill="1" applyBorder="1" applyAlignment="1">
      <alignment horizontal="center"/>
    </xf>
    <xf numFmtId="1" fontId="6" fillId="4" borderId="1" xfId="0" applyNumberFormat="1" applyFont="1" applyFill="1" applyBorder="1" applyAlignment="1">
      <alignment horizontal="center" vertical="center" wrapText="1"/>
    </xf>
    <xf numFmtId="1" fontId="19" fillId="6" borderId="1" xfId="0" applyNumberFormat="1" applyFont="1" applyFill="1" applyBorder="1" applyAlignment="1">
      <alignment horizontal="center" vertical="center"/>
    </xf>
    <xf numFmtId="0" fontId="0" fillId="0" borderId="0" xfId="0" applyAlignment="1">
      <alignment horizontal="center" vertical="center" wrapText="1"/>
    </xf>
    <xf numFmtId="0" fontId="0" fillId="0" borderId="0" xfId="0" applyBorder="1"/>
    <xf numFmtId="0" fontId="0" fillId="0" borderId="1" xfId="0" applyBorder="1" applyAlignment="1">
      <alignment horizontal="center" vertical="center" wrapText="1"/>
    </xf>
    <xf numFmtId="165" fontId="3" fillId="0" borderId="0" xfId="0" applyNumberFormat="1" applyFont="1" applyFill="1" applyBorder="1" applyAlignment="1">
      <alignment horizontal="right" vertical="center"/>
    </xf>
    <xf numFmtId="165" fontId="2" fillId="0" borderId="0" xfId="0" applyNumberFormat="1" applyFont="1" applyFill="1" applyBorder="1" applyAlignment="1">
      <alignment horizontal="right" vertical="center"/>
    </xf>
    <xf numFmtId="2" fontId="2" fillId="0" borderId="0" xfId="0" applyNumberFormat="1" applyFont="1" applyFill="1" applyAlignment="1">
      <alignment horizontal="center" vertical="center"/>
    </xf>
    <xf numFmtId="2" fontId="6" fillId="0" borderId="1" xfId="0" applyNumberFormat="1" applyFont="1" applyFill="1" applyBorder="1" applyAlignment="1">
      <alignment horizontal="center" vertical="center" wrapText="1"/>
    </xf>
    <xf numFmtId="0" fontId="2" fillId="0" borderId="0" xfId="0" applyFont="1" applyFill="1" applyAlignment="1">
      <alignment horizontal="center" vertical="center"/>
    </xf>
    <xf numFmtId="0" fontId="2" fillId="0" borderId="1" xfId="0" applyFont="1" applyFill="1" applyBorder="1" applyAlignment="1">
      <alignment vertical="center"/>
    </xf>
    <xf numFmtId="3" fontId="15" fillId="6" borderId="1" xfId="0" applyNumberFormat="1" applyFont="1" applyFill="1" applyBorder="1" applyAlignment="1">
      <alignment horizontal="center" vertical="center"/>
    </xf>
    <xf numFmtId="0" fontId="23" fillId="7" borderId="0" xfId="0" applyFont="1" applyFill="1" applyBorder="1" applyAlignment="1">
      <alignment horizontal="center" vertical="center"/>
    </xf>
    <xf numFmtId="2" fontId="4" fillId="2" borderId="0" xfId="0" applyNumberFormat="1" applyFont="1" applyFill="1" applyAlignment="1">
      <alignment horizontal="center" vertical="center"/>
    </xf>
    <xf numFmtId="0" fontId="4" fillId="4" borderId="1" xfId="0" applyFont="1" applyFill="1" applyBorder="1" applyAlignment="1">
      <alignment horizontal="center" vertical="center" wrapText="1"/>
    </xf>
    <xf numFmtId="2" fontId="4" fillId="4" borderId="2" xfId="0" applyNumberFormat="1" applyFont="1" applyFill="1" applyBorder="1" applyAlignment="1">
      <alignment horizontal="center" vertical="center" wrapText="1"/>
    </xf>
    <xf numFmtId="2" fontId="4" fillId="4" borderId="5" xfId="0" applyNumberFormat="1" applyFont="1" applyFill="1" applyBorder="1" applyAlignment="1">
      <alignment horizontal="center" vertical="center" wrapText="1"/>
    </xf>
    <xf numFmtId="0" fontId="4" fillId="4" borderId="5" xfId="0" applyFont="1" applyFill="1" applyBorder="1" applyAlignment="1">
      <alignment horizontal="center" vertical="center"/>
    </xf>
    <xf numFmtId="1" fontId="2" fillId="0" borderId="1" xfId="0" applyNumberFormat="1" applyFont="1" applyFill="1" applyBorder="1" applyAlignment="1" applyProtection="1">
      <alignment horizontal="center" vertical="center" wrapText="1"/>
      <protection hidden="1"/>
    </xf>
    <xf numFmtId="4" fontId="3" fillId="0" borderId="1" xfId="0" applyNumberFormat="1" applyFont="1" applyFill="1" applyBorder="1" applyAlignment="1" applyProtection="1">
      <alignment horizontal="right" vertical="center" wrapText="1"/>
      <protection hidden="1"/>
    </xf>
    <xf numFmtId="0" fontId="2" fillId="0" borderId="1" xfId="0" applyFont="1" applyFill="1" applyBorder="1"/>
    <xf numFmtId="4" fontId="3" fillId="0" borderId="1" xfId="0" applyNumberFormat="1" applyFont="1" applyFill="1" applyBorder="1" applyAlignment="1">
      <alignment horizontal="right" vertical="center"/>
    </xf>
    <xf numFmtId="0" fontId="2" fillId="0" borderId="0" xfId="0" applyFont="1" applyAlignment="1">
      <alignment horizontal="center" vertical="center"/>
    </xf>
    <xf numFmtId="0" fontId="2" fillId="0" borderId="0" xfId="0" applyFont="1" applyFill="1" applyAlignment="1">
      <alignment vertical="center"/>
    </xf>
    <xf numFmtId="0" fontId="2" fillId="0" borderId="1" xfId="0" applyFont="1" applyBorder="1"/>
    <xf numFmtId="0" fontId="2" fillId="0" borderId="1" xfId="0" applyFont="1" applyBorder="1" applyAlignment="1">
      <alignment horizontal="center"/>
    </xf>
    <xf numFmtId="4" fontId="2" fillId="0" borderId="1" xfId="0" applyNumberFormat="1" applyFont="1" applyFill="1" applyBorder="1" applyAlignment="1">
      <alignment horizontal="right" vertical="center"/>
    </xf>
    <xf numFmtId="0" fontId="27" fillId="0" borderId="0" xfId="0" applyFont="1" applyFill="1" applyAlignment="1">
      <alignment wrapText="1"/>
    </xf>
    <xf numFmtId="2" fontId="2" fillId="0" borderId="1" xfId="0" applyNumberFormat="1" applyFont="1" applyFill="1" applyBorder="1" applyAlignment="1" applyProtection="1">
      <alignment horizontal="center" vertical="center"/>
      <protection hidden="1"/>
    </xf>
    <xf numFmtId="1" fontId="2" fillId="0" borderId="0" xfId="0" applyNumberFormat="1" applyFont="1" applyFill="1" applyBorder="1" applyAlignment="1" applyProtection="1">
      <alignment horizontal="center" vertical="center"/>
      <protection hidden="1"/>
    </xf>
    <xf numFmtId="165" fontId="2" fillId="0" borderId="0" xfId="0" applyNumberFormat="1" applyFont="1" applyFill="1" applyBorder="1" applyAlignment="1" applyProtection="1">
      <alignment horizontal="center" vertical="center"/>
      <protection hidden="1"/>
    </xf>
    <xf numFmtId="1" fontId="2" fillId="0" borderId="0" xfId="0" applyNumberFormat="1" applyFont="1" applyFill="1" applyBorder="1" applyAlignment="1" applyProtection="1">
      <alignment horizontal="center" vertical="center" wrapText="1"/>
      <protection hidden="1"/>
    </xf>
    <xf numFmtId="3" fontId="3" fillId="0" borderId="0" xfId="0" applyNumberFormat="1" applyFont="1" applyFill="1" applyBorder="1" applyAlignment="1" applyProtection="1">
      <alignment horizontal="center" vertical="center" wrapText="1"/>
      <protection hidden="1"/>
    </xf>
    <xf numFmtId="1" fontId="2" fillId="0" borderId="0" xfId="0" applyNumberFormat="1" applyFont="1" applyFill="1" applyBorder="1" applyAlignment="1">
      <alignment horizontal="center" vertical="center" wrapText="1"/>
    </xf>
    <xf numFmtId="0" fontId="2" fillId="0" borderId="0" xfId="0" applyFont="1" applyFill="1" applyBorder="1" applyAlignment="1">
      <alignment horizontal="left" vertical="center"/>
    </xf>
    <xf numFmtId="0" fontId="0" fillId="0" borderId="0" xfId="0" applyAlignment="1">
      <alignment horizontal="center" vertical="center"/>
    </xf>
    <xf numFmtId="0" fontId="2" fillId="0" borderId="0" xfId="0" applyFont="1" applyAlignment="1">
      <alignment horizontal="center"/>
    </xf>
    <xf numFmtId="0" fontId="23" fillId="7" borderId="0" xfId="0" applyFont="1" applyFill="1" applyBorder="1" applyAlignment="1">
      <alignment horizontal="center" vertical="center"/>
    </xf>
    <xf numFmtId="0" fontId="2" fillId="0" borderId="0" xfId="0" applyFont="1" applyAlignment="1">
      <alignment vertical="center"/>
    </xf>
    <xf numFmtId="0" fontId="2" fillId="4" borderId="1" xfId="0" applyFont="1" applyFill="1" applyBorder="1" applyAlignment="1">
      <alignment horizontal="center" vertical="center"/>
    </xf>
    <xf numFmtId="0" fontId="6" fillId="0" borderId="0" xfId="0" applyFont="1" applyFill="1" applyAlignment="1">
      <alignment horizontal="center" vertical="center"/>
    </xf>
    <xf numFmtId="4" fontId="22" fillId="6" borderId="14" xfId="0" applyNumberFormat="1" applyFont="1" applyFill="1" applyBorder="1" applyAlignment="1">
      <alignment horizontal="right" vertical="center" wrapText="1"/>
    </xf>
    <xf numFmtId="4" fontId="22" fillId="6" borderId="8" xfId="0" applyNumberFormat="1" applyFont="1" applyFill="1" applyBorder="1" applyAlignment="1">
      <alignment horizontal="right" vertical="center" wrapText="1"/>
    </xf>
    <xf numFmtId="4" fontId="22" fillId="6" borderId="11" xfId="0" applyNumberFormat="1" applyFont="1" applyFill="1" applyBorder="1" applyAlignment="1">
      <alignment horizontal="right" vertical="center" wrapText="1"/>
    </xf>
    <xf numFmtId="4" fontId="22" fillId="6" borderId="32" xfId="0" applyNumberFormat="1" applyFont="1" applyFill="1" applyBorder="1" applyAlignment="1">
      <alignment horizontal="right" vertical="center" wrapText="1"/>
    </xf>
    <xf numFmtId="4" fontId="22" fillId="6" borderId="4" xfId="0" applyNumberFormat="1" applyFont="1" applyFill="1" applyBorder="1" applyAlignment="1">
      <alignment horizontal="right" vertical="center" wrapText="1"/>
    </xf>
    <xf numFmtId="4" fontId="22" fillId="6" borderId="1" xfId="0" applyNumberFormat="1" applyFont="1" applyFill="1" applyBorder="1" applyAlignment="1">
      <alignment horizontal="right" vertical="center" wrapText="1"/>
    </xf>
    <xf numFmtId="4" fontId="22" fillId="7" borderId="16" xfId="0" applyNumberFormat="1" applyFont="1" applyFill="1" applyBorder="1" applyAlignment="1">
      <alignment horizontal="right" vertical="center" wrapText="1"/>
    </xf>
    <xf numFmtId="4" fontId="22" fillId="7" borderId="9" xfId="0" applyNumberFormat="1" applyFont="1" applyFill="1" applyBorder="1" applyAlignment="1">
      <alignment horizontal="right" vertical="center" wrapText="1"/>
    </xf>
    <xf numFmtId="4" fontId="22" fillId="7" borderId="17" xfId="0" applyNumberFormat="1" applyFont="1" applyFill="1" applyBorder="1" applyAlignment="1">
      <alignment horizontal="right" vertical="center" wrapText="1"/>
    </xf>
    <xf numFmtId="4" fontId="22" fillId="7" borderId="30" xfId="0" applyNumberFormat="1" applyFont="1" applyFill="1" applyBorder="1" applyAlignment="1">
      <alignment horizontal="right" vertical="center" wrapText="1"/>
    </xf>
    <xf numFmtId="4" fontId="22" fillId="7" borderId="19" xfId="0" applyNumberFormat="1" applyFont="1" applyFill="1" applyBorder="1" applyAlignment="1">
      <alignment horizontal="right" vertical="center" wrapText="1"/>
    </xf>
    <xf numFmtId="4" fontId="22" fillId="7" borderId="12" xfId="0" applyNumberFormat="1" applyFont="1" applyFill="1" applyBorder="1" applyAlignment="1">
      <alignment horizontal="right" vertical="center" wrapText="1"/>
    </xf>
    <xf numFmtId="0" fontId="2" fillId="0" borderId="0" xfId="0" applyFont="1" applyAlignment="1"/>
    <xf numFmtId="2" fontId="2" fillId="0" borderId="1" xfId="0" applyNumberFormat="1" applyFont="1" applyBorder="1" applyAlignment="1">
      <alignment horizontal="right" vertical="center"/>
    </xf>
    <xf numFmtId="0" fontId="2" fillId="4" borderId="0" xfId="0" applyFont="1" applyFill="1" applyAlignment="1"/>
    <xf numFmtId="2" fontId="2" fillId="4" borderId="1" xfId="0" applyNumberFormat="1" applyFont="1" applyFill="1" applyBorder="1" applyAlignment="1">
      <alignment horizontal="right" vertical="center"/>
    </xf>
    <xf numFmtId="0" fontId="2" fillId="4" borderId="1" xfId="0" applyFont="1" applyFill="1" applyBorder="1" applyAlignment="1">
      <alignment horizontal="center"/>
    </xf>
    <xf numFmtId="0" fontId="4" fillId="4" borderId="0" xfId="0" applyFont="1" applyFill="1" applyAlignment="1"/>
    <xf numFmtId="0" fontId="4" fillId="0" borderId="0" xfId="0" applyFont="1" applyAlignment="1"/>
    <xf numFmtId="0" fontId="4" fillId="4" borderId="0" xfId="0" applyFont="1" applyFill="1"/>
    <xf numFmtId="0" fontId="4" fillId="0" borderId="0" xfId="0" applyFont="1"/>
    <xf numFmtId="2" fontId="2" fillId="0" borderId="1" xfId="0" applyNumberFormat="1" applyFont="1" applyFill="1" applyBorder="1" applyAlignment="1" applyProtection="1">
      <alignment horizontal="center" vertical="center" wrapText="1"/>
      <protection hidden="1"/>
    </xf>
    <xf numFmtId="2" fontId="3" fillId="0" borderId="1" xfId="0" applyNumberFormat="1" applyFont="1" applyFill="1" applyBorder="1" applyAlignment="1" applyProtection="1">
      <alignment horizontal="center" vertical="center" wrapText="1"/>
      <protection hidden="1"/>
    </xf>
    <xf numFmtId="0" fontId="0" fillId="0" borderId="0" xfId="0" applyFill="1" applyAlignment="1">
      <alignment vertical="center"/>
    </xf>
    <xf numFmtId="3" fontId="2" fillId="0" borderId="0" xfId="0" applyNumberFormat="1" applyFont="1" applyFill="1" applyBorder="1" applyAlignment="1" applyProtection="1">
      <alignment horizontal="center" vertical="center" wrapText="1"/>
      <protection hidden="1"/>
    </xf>
    <xf numFmtId="2" fontId="2" fillId="0" borderId="0" xfId="0" applyNumberFormat="1" applyFont="1" applyFill="1" applyBorder="1" applyAlignment="1" applyProtection="1">
      <alignment horizontal="left" vertical="center"/>
      <protection hidden="1"/>
    </xf>
    <xf numFmtId="167" fontId="2" fillId="0" borderId="0" xfId="0" applyNumberFormat="1" applyFont="1" applyFill="1" applyBorder="1" applyAlignment="1" applyProtection="1">
      <alignment horizontal="center" vertical="center"/>
      <protection hidden="1"/>
    </xf>
    <xf numFmtId="2" fontId="2" fillId="0" borderId="6" xfId="0" applyNumberFormat="1" applyFont="1" applyFill="1" applyBorder="1" applyAlignment="1" applyProtection="1">
      <alignment horizontal="left" vertical="center"/>
      <protection hidden="1"/>
    </xf>
    <xf numFmtId="1" fontId="2" fillId="0" borderId="6" xfId="0" applyNumberFormat="1" applyFont="1" applyFill="1" applyBorder="1" applyAlignment="1" applyProtection="1">
      <alignment horizontal="center" vertical="center"/>
      <protection hidden="1"/>
    </xf>
    <xf numFmtId="2" fontId="2" fillId="0" borderId="0" xfId="0" applyNumberFormat="1" applyFont="1" applyFill="1" applyBorder="1" applyAlignment="1">
      <alignment horizontal="left" vertical="center"/>
    </xf>
    <xf numFmtId="2" fontId="3" fillId="0" borderId="1" xfId="0" applyNumberFormat="1" applyFont="1" applyFill="1" applyBorder="1" applyAlignment="1">
      <alignment horizontal="left" vertical="center"/>
    </xf>
    <xf numFmtId="1" fontId="3" fillId="0" borderId="0" xfId="0" applyNumberFormat="1" applyFont="1" applyFill="1" applyBorder="1" applyAlignment="1" applyProtection="1">
      <alignment horizontal="center" vertical="center"/>
      <protection hidden="1"/>
    </xf>
    <xf numFmtId="165" fontId="2" fillId="0" borderId="0" xfId="0" applyNumberFormat="1" applyFont="1" applyFill="1" applyAlignment="1">
      <alignment horizontal="right" vertical="center"/>
    </xf>
    <xf numFmtId="2" fontId="2" fillId="0" borderId="0" xfId="0" applyNumberFormat="1" applyFont="1" applyFill="1" applyBorder="1" applyAlignment="1" applyProtection="1">
      <alignment horizontal="center" vertical="center" wrapText="1"/>
      <protection hidden="1"/>
    </xf>
    <xf numFmtId="4" fontId="3" fillId="0" borderId="1" xfId="0" applyNumberFormat="1" applyFont="1" applyFill="1" applyBorder="1"/>
    <xf numFmtId="165" fontId="2" fillId="0" borderId="0" xfId="0" applyNumberFormat="1" applyFont="1" applyFill="1" applyAlignment="1">
      <alignment horizontal="center" vertical="center"/>
    </xf>
    <xf numFmtId="165" fontId="2" fillId="0" borderId="1" xfId="0" applyNumberFormat="1" applyFont="1" applyFill="1" applyBorder="1" applyAlignment="1">
      <alignment horizontal="center" vertical="center"/>
    </xf>
    <xf numFmtId="165" fontId="2" fillId="0" borderId="0" xfId="0" applyNumberFormat="1" applyFont="1" applyFill="1" applyBorder="1" applyAlignment="1">
      <alignment horizontal="center" vertical="center"/>
    </xf>
    <xf numFmtId="0" fontId="2" fillId="0" borderId="0" xfId="0" applyFont="1" applyFill="1" applyAlignment="1">
      <alignment horizontal="left"/>
    </xf>
    <xf numFmtId="0" fontId="2" fillId="0" borderId="0" xfId="0" applyFont="1" applyFill="1" applyBorder="1" applyAlignment="1">
      <alignment horizontal="center" vertical="center"/>
    </xf>
    <xf numFmtId="0" fontId="2" fillId="0" borderId="1" xfId="0" applyFont="1" applyFill="1" applyBorder="1" applyAlignment="1">
      <alignment horizontal="center" vertical="center"/>
    </xf>
    <xf numFmtId="165" fontId="2" fillId="0" borderId="1" xfId="0" applyNumberFormat="1" applyFont="1" applyFill="1" applyBorder="1" applyAlignment="1">
      <alignment horizontal="center" vertical="center" wrapText="1"/>
    </xf>
    <xf numFmtId="2" fontId="2" fillId="0" borderId="0" xfId="0" applyNumberFormat="1" applyFont="1" applyFill="1" applyBorder="1" applyAlignment="1" applyProtection="1">
      <alignment horizontal="center" vertical="center"/>
      <protection hidden="1"/>
    </xf>
    <xf numFmtId="1"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3" fillId="0" borderId="0" xfId="0" applyFont="1" applyFill="1"/>
    <xf numFmtId="2" fontId="2" fillId="0" borderId="1" xfId="0" applyNumberFormat="1" applyFont="1" applyFill="1" applyBorder="1" applyAlignment="1" applyProtection="1">
      <alignment horizontal="left" vertical="center" wrapText="1"/>
      <protection hidden="1"/>
    </xf>
    <xf numFmtId="4" fontId="2" fillId="0" borderId="1" xfId="0" applyNumberFormat="1" applyFont="1" applyFill="1" applyBorder="1" applyAlignment="1" applyProtection="1">
      <alignment horizontal="right" vertical="center" wrapText="1"/>
      <protection hidden="1"/>
    </xf>
    <xf numFmtId="3" fontId="2" fillId="0" borderId="0" xfId="0" applyNumberFormat="1" applyFont="1" applyFill="1" applyBorder="1" applyAlignment="1">
      <alignment horizontal="center" vertical="center"/>
    </xf>
    <xf numFmtId="2" fontId="2" fillId="0" borderId="1" xfId="0" applyNumberFormat="1" applyFont="1" applyFill="1" applyBorder="1" applyAlignment="1">
      <alignment horizontal="right" vertical="center"/>
    </xf>
    <xf numFmtId="2" fontId="2" fillId="0" borderId="0" xfId="0" applyNumberFormat="1" applyFont="1" applyFill="1"/>
    <xf numFmtId="2" fontId="3" fillId="0" borderId="1" xfId="0" applyNumberFormat="1" applyFont="1" applyFill="1" applyBorder="1" applyAlignment="1" applyProtection="1">
      <alignment horizontal="left" vertical="center" wrapText="1"/>
      <protection hidden="1"/>
    </xf>
    <xf numFmtId="0" fontId="6" fillId="0" borderId="0" xfId="0" applyFont="1" applyProtection="1">
      <protection hidden="1"/>
    </xf>
    <xf numFmtId="0" fontId="28" fillId="0" borderId="0" xfId="0" applyFont="1" applyAlignment="1" applyProtection="1">
      <alignment horizontal="lef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left"/>
      <protection hidden="1"/>
    </xf>
    <xf numFmtId="0" fontId="6" fillId="9" borderId="1" xfId="0" applyFont="1" applyFill="1" applyBorder="1" applyAlignment="1" applyProtection="1">
      <alignment horizontal="center" vertical="center" wrapText="1"/>
      <protection hidden="1"/>
    </xf>
    <xf numFmtId="0" fontId="28" fillId="9" borderId="1" xfId="0" applyFont="1" applyFill="1" applyBorder="1" applyAlignment="1" applyProtection="1">
      <alignment horizontal="center" vertical="center" wrapText="1"/>
      <protection hidden="1"/>
    </xf>
    <xf numFmtId="0" fontId="6" fillId="9" borderId="2" xfId="0" applyFont="1" applyFill="1" applyBorder="1" applyAlignment="1" applyProtection="1">
      <alignment horizontal="center" vertical="center" wrapText="1"/>
      <protection hidden="1"/>
    </xf>
    <xf numFmtId="0" fontId="6" fillId="0" borderId="0" xfId="0" applyFont="1" applyAlignment="1" applyProtection="1">
      <alignment horizontal="center" vertical="center"/>
      <protection hidden="1"/>
    </xf>
    <xf numFmtId="0" fontId="4" fillId="0" borderId="0" xfId="0" applyFont="1" applyAlignment="1">
      <alignment horizontal="left" vertical="center"/>
    </xf>
    <xf numFmtId="0" fontId="4" fillId="0" borderId="1"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xf>
    <xf numFmtId="0" fontId="2" fillId="0" borderId="0" xfId="0" applyFont="1" applyFill="1" applyAlignment="1" applyProtection="1">
      <alignment horizontal="center" vertical="center"/>
      <protection hidden="1"/>
    </xf>
    <xf numFmtId="0" fontId="2" fillId="0" borderId="0" xfId="0" applyFont="1" applyFill="1" applyProtection="1">
      <protection hidden="1"/>
    </xf>
    <xf numFmtId="0" fontId="2" fillId="0" borderId="1" xfId="0" applyFont="1" applyFill="1" applyBorder="1" applyAlignment="1" applyProtection="1">
      <alignment horizontal="center" vertical="center" wrapText="1"/>
      <protection hidden="1"/>
    </xf>
    <xf numFmtId="0" fontId="2" fillId="0" borderId="1" xfId="0" applyFont="1" applyFill="1" applyBorder="1" applyAlignment="1" applyProtection="1">
      <alignment horizontal="right" vertical="center"/>
      <protection hidden="1"/>
    </xf>
    <xf numFmtId="0" fontId="2" fillId="0" borderId="1" xfId="0" applyFont="1" applyFill="1" applyBorder="1" applyAlignment="1" applyProtection="1">
      <alignment horizontal="center" vertical="center"/>
      <protection hidden="1"/>
    </xf>
    <xf numFmtId="0" fontId="2" fillId="0" borderId="1" xfId="0" applyFont="1" applyFill="1" applyBorder="1" applyAlignment="1" applyProtection="1">
      <alignment horizontal="left" vertical="center"/>
      <protection hidden="1"/>
    </xf>
    <xf numFmtId="0" fontId="2" fillId="0" borderId="1" xfId="0" applyFont="1" applyFill="1" applyBorder="1" applyAlignment="1" applyProtection="1">
      <alignment vertical="center"/>
      <protection hidden="1"/>
    </xf>
    <xf numFmtId="0" fontId="2" fillId="0" borderId="1" xfId="0" applyFont="1" applyFill="1" applyBorder="1" applyAlignment="1" applyProtection="1">
      <alignment horizontal="right"/>
      <protection hidden="1"/>
    </xf>
    <xf numFmtId="0" fontId="2" fillId="0" borderId="1" xfId="0" applyFont="1" applyFill="1" applyBorder="1" applyAlignment="1" applyProtection="1">
      <alignment horizontal="center"/>
      <protection hidden="1"/>
    </xf>
    <xf numFmtId="4" fontId="2" fillId="0" borderId="1" xfId="0" applyNumberFormat="1" applyFont="1" applyFill="1" applyBorder="1" applyAlignment="1" applyProtection="1">
      <alignment horizontal="center" vertical="center"/>
      <protection hidden="1"/>
    </xf>
    <xf numFmtId="165" fontId="2" fillId="0" borderId="1" xfId="0" applyNumberFormat="1" applyFont="1" applyFill="1" applyBorder="1" applyAlignment="1" applyProtection="1">
      <alignment horizontal="center" vertical="center" wrapText="1"/>
      <protection hidden="1"/>
    </xf>
    <xf numFmtId="4" fontId="2" fillId="0" borderId="1" xfId="0" applyNumberFormat="1" applyFont="1" applyFill="1" applyBorder="1" applyAlignment="1" applyProtection="1">
      <alignment horizontal="center" vertical="center" wrapText="1"/>
      <protection hidden="1"/>
    </xf>
    <xf numFmtId="4" fontId="2" fillId="0" borderId="1" xfId="0" applyNumberFormat="1" applyFont="1" applyFill="1" applyBorder="1" applyAlignment="1" applyProtection="1">
      <alignment horizontal="right"/>
      <protection hidden="1"/>
    </xf>
    <xf numFmtId="3" fontId="2" fillId="0" borderId="1" xfId="0" applyNumberFormat="1" applyFont="1" applyFill="1" applyBorder="1" applyAlignment="1" applyProtection="1">
      <alignment horizontal="center" vertical="center"/>
      <protection hidden="1"/>
    </xf>
    <xf numFmtId="4" fontId="2" fillId="0" borderId="1" xfId="0" applyNumberFormat="1" applyFont="1" applyFill="1" applyBorder="1" applyAlignment="1" applyProtection="1">
      <alignment horizontal="right" vertical="center"/>
      <protection hidden="1"/>
    </xf>
    <xf numFmtId="1" fontId="2" fillId="0" borderId="2" xfId="0" applyNumberFormat="1" applyFont="1" applyFill="1" applyBorder="1" applyAlignment="1" applyProtection="1">
      <alignment horizontal="center" vertical="center" wrapText="1"/>
      <protection hidden="1"/>
    </xf>
    <xf numFmtId="0" fontId="2" fillId="0" borderId="2" xfId="0" applyFont="1" applyFill="1" applyBorder="1" applyAlignment="1" applyProtection="1">
      <alignment horizontal="center"/>
      <protection hidden="1"/>
    </xf>
    <xf numFmtId="0" fontId="2" fillId="0" borderId="2" xfId="0" applyFont="1" applyFill="1" applyBorder="1" applyAlignment="1" applyProtection="1">
      <alignment horizontal="left" vertical="center"/>
      <protection hidden="1"/>
    </xf>
    <xf numFmtId="4" fontId="2" fillId="0" borderId="2" xfId="0" applyNumberFormat="1" applyFont="1" applyFill="1" applyBorder="1" applyAlignment="1" applyProtection="1">
      <alignment horizontal="right" vertical="center"/>
      <protection hidden="1"/>
    </xf>
    <xf numFmtId="0" fontId="2" fillId="0" borderId="1" xfId="0" applyFont="1" applyFill="1" applyBorder="1" applyProtection="1">
      <protection hidden="1"/>
    </xf>
    <xf numFmtId="4" fontId="2" fillId="0" borderId="0" xfId="0" applyNumberFormat="1" applyFont="1" applyFill="1" applyAlignment="1" applyProtection="1">
      <alignment horizontal="center" vertical="center"/>
      <protection hidden="1"/>
    </xf>
    <xf numFmtId="0" fontId="2" fillId="0" borderId="0" xfId="0" applyFont="1" applyFill="1" applyAlignment="1" applyProtection="1">
      <alignment horizontal="right"/>
      <protection hidden="1"/>
    </xf>
    <xf numFmtId="0" fontId="2" fillId="0" borderId="0" xfId="0" applyFont="1" applyFill="1" applyAlignment="1" applyProtection="1">
      <alignment horizontal="left" vertical="center"/>
      <protection hidden="1"/>
    </xf>
    <xf numFmtId="0" fontId="2" fillId="0" borderId="0" xfId="0" applyFont="1" applyFill="1" applyAlignment="1" applyProtection="1">
      <alignment horizontal="center"/>
      <protection hidden="1"/>
    </xf>
    <xf numFmtId="168" fontId="0" fillId="0" borderId="0" xfId="0" applyNumberFormat="1" applyAlignment="1" applyProtection="1">
      <alignment horizontal="right" indent="1"/>
      <protection hidden="1"/>
    </xf>
    <xf numFmtId="0" fontId="2" fillId="0" borderId="0" xfId="0" applyFont="1" applyProtection="1">
      <protection hidden="1"/>
    </xf>
    <xf numFmtId="2" fontId="2" fillId="0" borderId="0" xfId="0" applyNumberFormat="1" applyFont="1" applyProtection="1">
      <protection hidden="1"/>
    </xf>
    <xf numFmtId="2" fontId="0" fillId="0" borderId="0" xfId="0" applyNumberFormat="1" applyProtection="1">
      <protection hidden="1"/>
    </xf>
    <xf numFmtId="2" fontId="2" fillId="0" borderId="0" xfId="0" applyNumberFormat="1" applyFont="1" applyAlignment="1" applyProtection="1">
      <alignment horizontal="right"/>
      <protection hidden="1"/>
    </xf>
    <xf numFmtId="0" fontId="0" fillId="0" borderId="0" xfId="0" applyProtection="1">
      <protection hidden="1"/>
    </xf>
    <xf numFmtId="0" fontId="0" fillId="0" borderId="0" xfId="0" applyAlignment="1" applyProtection="1">
      <alignment horizontal="center"/>
      <protection hidden="1"/>
    </xf>
    <xf numFmtId="0" fontId="0" fillId="0" borderId="0" xfId="0" applyAlignment="1" applyProtection="1">
      <alignment horizontal="center" vertical="center"/>
      <protection hidden="1"/>
    </xf>
    <xf numFmtId="0" fontId="1" fillId="0" borderId="1" xfId="0" applyFont="1" applyBorder="1" applyProtection="1">
      <protection hidden="1"/>
    </xf>
    <xf numFmtId="0" fontId="0" fillId="0" borderId="1" xfId="0" applyBorder="1" applyProtection="1">
      <protection hidden="1"/>
    </xf>
    <xf numFmtId="0" fontId="2" fillId="0" borderId="0" xfId="0" applyFont="1" applyAlignment="1" applyProtection="1">
      <alignment horizontal="center"/>
      <protection hidden="1"/>
    </xf>
    <xf numFmtId="2" fontId="2" fillId="0" borderId="0" xfId="0" applyNumberFormat="1" applyFont="1" applyAlignment="1" applyProtection="1">
      <alignment horizontal="center"/>
      <protection hidden="1"/>
    </xf>
    <xf numFmtId="2" fontId="2" fillId="0" borderId="1" xfId="0" applyNumberFormat="1" applyFont="1" applyBorder="1" applyAlignment="1" applyProtection="1">
      <alignment horizontal="center" vertical="center"/>
      <protection hidden="1"/>
    </xf>
    <xf numFmtId="0" fontId="0" fillId="0" borderId="0" xfId="0" applyAlignment="1" applyProtection="1">
      <alignment horizontal="left"/>
      <protection hidden="1"/>
    </xf>
    <xf numFmtId="0" fontId="2" fillId="8" borderId="1" xfId="0" applyFont="1" applyFill="1" applyBorder="1" applyAlignment="1" applyProtection="1">
      <alignment horizontal="right" vertical="center" wrapText="1"/>
      <protection hidden="1"/>
    </xf>
    <xf numFmtId="2" fontId="2" fillId="8" borderId="1" xfId="0" applyNumberFormat="1" applyFont="1" applyFill="1" applyBorder="1" applyAlignment="1" applyProtection="1">
      <alignment horizontal="right" vertical="center"/>
      <protection hidden="1"/>
    </xf>
    <xf numFmtId="0" fontId="4" fillId="0" borderId="1" xfId="0" applyFont="1" applyBorder="1" applyAlignment="1" applyProtection="1">
      <alignment horizontal="center"/>
      <protection hidden="1"/>
    </xf>
    <xf numFmtId="0" fontId="1" fillId="0" borderId="1" xfId="0" applyFont="1" applyBorder="1" applyAlignment="1" applyProtection="1">
      <alignment horizontal="left" vertical="center"/>
      <protection hidden="1"/>
    </xf>
    <xf numFmtId="0" fontId="0" fillId="0" borderId="1" xfId="0" applyBorder="1" applyAlignment="1" applyProtection="1">
      <alignment horizontal="center" vertical="center"/>
      <protection hidden="1"/>
    </xf>
    <xf numFmtId="1" fontId="2" fillId="4" borderId="1" xfId="0" applyNumberFormat="1" applyFont="1" applyFill="1" applyBorder="1" applyAlignment="1" applyProtection="1">
      <alignment horizontal="center" vertical="center"/>
      <protection hidden="1"/>
    </xf>
    <xf numFmtId="0" fontId="2" fillId="4" borderId="1" xfId="0" applyFont="1" applyFill="1" applyBorder="1" applyAlignment="1" applyProtection="1">
      <alignment horizontal="center" vertical="center"/>
      <protection hidden="1"/>
    </xf>
    <xf numFmtId="165" fontId="2" fillId="4" borderId="1" xfId="0" applyNumberFormat="1" applyFont="1" applyFill="1" applyBorder="1" applyAlignment="1" applyProtection="1">
      <alignment horizontal="center" vertical="center"/>
      <protection hidden="1"/>
    </xf>
    <xf numFmtId="0" fontId="2" fillId="0" borderId="1" xfId="0" applyFont="1" applyBorder="1" applyAlignment="1" applyProtection="1">
      <alignment horizontal="left"/>
      <protection hidden="1"/>
    </xf>
    <xf numFmtId="4" fontId="2" fillId="0" borderId="1" xfId="0" applyNumberFormat="1" applyFont="1" applyBorder="1" applyProtection="1">
      <protection hidden="1"/>
    </xf>
    <xf numFmtId="4" fontId="2" fillId="0" borderId="1" xfId="0" applyNumberFormat="1" applyFont="1" applyBorder="1" applyAlignment="1" applyProtection="1">
      <alignment horizontal="right" vertical="center"/>
      <protection hidden="1"/>
    </xf>
    <xf numFmtId="0" fontId="2" fillId="0" borderId="1" xfId="0" applyFont="1" applyBorder="1" applyAlignment="1" applyProtection="1">
      <alignment horizontal="center" vertical="center"/>
      <protection hidden="1"/>
    </xf>
    <xf numFmtId="0" fontId="3" fillId="0" borderId="1" xfId="0" applyFont="1" applyFill="1" applyBorder="1" applyAlignment="1" applyProtection="1">
      <alignment horizontal="right" vertical="center"/>
      <protection hidden="1"/>
    </xf>
    <xf numFmtId="4" fontId="3" fillId="0" borderId="1" xfId="0" applyNumberFormat="1" applyFont="1" applyBorder="1" applyAlignment="1" applyProtection="1">
      <alignment horizontal="right" vertical="center"/>
      <protection hidden="1"/>
    </xf>
    <xf numFmtId="4" fontId="3" fillId="0" borderId="1" xfId="0" applyNumberFormat="1" applyFont="1" applyFill="1" applyBorder="1" applyAlignment="1" applyProtection="1">
      <alignment horizontal="right" vertical="center"/>
      <protection hidden="1"/>
    </xf>
    <xf numFmtId="2" fontId="0" fillId="0" borderId="1" xfId="0" applyNumberFormat="1" applyBorder="1" applyAlignment="1" applyProtection="1">
      <alignment horizontal="center" vertical="center"/>
      <protection hidden="1"/>
    </xf>
    <xf numFmtId="0" fontId="3" fillId="0" borderId="1" xfId="0" applyFont="1" applyFill="1" applyBorder="1" applyAlignment="1" applyProtection="1">
      <alignment horizontal="left" vertical="center"/>
      <protection hidden="1"/>
    </xf>
    <xf numFmtId="0" fontId="3" fillId="0" borderId="0" xfId="0" applyFont="1" applyBorder="1" applyProtection="1">
      <protection hidden="1"/>
    </xf>
    <xf numFmtId="165" fontId="3" fillId="0" borderId="0" xfId="0" applyNumberFormat="1" applyFont="1" applyBorder="1" applyProtection="1">
      <protection hidden="1"/>
    </xf>
    <xf numFmtId="1" fontId="3" fillId="0" borderId="0" xfId="0" applyNumberFormat="1" applyFont="1" applyBorder="1" applyProtection="1">
      <protection hidden="1"/>
    </xf>
    <xf numFmtId="2" fontId="3" fillId="0" borderId="0" xfId="0" applyNumberFormat="1" applyFont="1" applyBorder="1" applyProtection="1">
      <protection hidden="1"/>
    </xf>
    <xf numFmtId="0" fontId="3" fillId="0" borderId="0" xfId="0" applyFont="1" applyAlignment="1" applyProtection="1">
      <alignment horizontal="left"/>
      <protection hidden="1"/>
    </xf>
    <xf numFmtId="168" fontId="0" fillId="0" borderId="0" xfId="0" applyNumberFormat="1" applyFill="1" applyAlignment="1" applyProtection="1">
      <alignment horizontal="right" indent="1"/>
      <protection hidden="1"/>
    </xf>
    <xf numFmtId="2" fontId="3" fillId="0" borderId="0" xfId="0" applyNumberFormat="1" applyFont="1" applyFill="1" applyBorder="1" applyProtection="1">
      <protection hidden="1"/>
    </xf>
    <xf numFmtId="0" fontId="0" fillId="0" borderId="0" xfId="0" applyFill="1" applyProtection="1">
      <protection hidden="1"/>
    </xf>
    <xf numFmtId="0" fontId="0" fillId="0" borderId="0" xfId="0" applyFill="1" applyAlignment="1" applyProtection="1">
      <alignment horizontal="center" vertical="center"/>
      <protection hidden="1"/>
    </xf>
    <xf numFmtId="0" fontId="2" fillId="0" borderId="0" xfId="0" applyFont="1" applyAlignment="1" applyProtection="1">
      <alignment horizontal="left"/>
      <protection hidden="1"/>
    </xf>
    <xf numFmtId="2" fontId="2" fillId="0" borderId="0" xfId="0" applyNumberFormat="1" applyFont="1" applyAlignment="1" applyProtection="1">
      <alignment horizontal="left"/>
      <protection hidden="1"/>
    </xf>
    <xf numFmtId="0" fontId="2" fillId="0" borderId="6" xfId="0" applyFont="1" applyBorder="1" applyProtection="1">
      <protection hidden="1"/>
    </xf>
    <xf numFmtId="2" fontId="2" fillId="0" borderId="6" xfId="0" applyNumberFormat="1" applyFont="1" applyBorder="1" applyProtection="1">
      <protection hidden="1"/>
    </xf>
    <xf numFmtId="0" fontId="2" fillId="0" borderId="0" xfId="0" applyFont="1" applyFill="1" applyBorder="1" applyProtection="1">
      <protection hidden="1"/>
    </xf>
    <xf numFmtId="0" fontId="2" fillId="0" borderId="0" xfId="0" applyFont="1" applyFill="1" applyBorder="1" applyAlignment="1" applyProtection="1">
      <alignment horizontal="center"/>
      <protection hidden="1"/>
    </xf>
    <xf numFmtId="4" fontId="2" fillId="8" borderId="1" xfId="0" applyNumberFormat="1" applyFont="1" applyFill="1" applyBorder="1" applyAlignment="1" applyProtection="1">
      <alignment horizontal="right" vertical="center"/>
      <protection hidden="1"/>
    </xf>
    <xf numFmtId="166" fontId="2" fillId="0" borderId="1" xfId="0" applyNumberFormat="1" applyFont="1" applyBorder="1" applyAlignment="1" applyProtection="1">
      <alignment horizontal="center"/>
      <protection hidden="1"/>
    </xf>
    <xf numFmtId="168" fontId="0" fillId="2" borderId="0" xfId="0" applyNumberFormat="1" applyFill="1" applyAlignment="1" applyProtection="1">
      <alignment horizontal="right" indent="1"/>
      <protection hidden="1"/>
    </xf>
    <xf numFmtId="0" fontId="2" fillId="8" borderId="20" xfId="0" applyFont="1" applyFill="1" applyBorder="1" applyAlignment="1" applyProtection="1">
      <alignment horizontal="center" vertical="center" wrapText="1"/>
      <protection hidden="1"/>
    </xf>
    <xf numFmtId="0" fontId="2" fillId="8" borderId="21" xfId="0" applyFont="1" applyFill="1" applyBorder="1" applyAlignment="1" applyProtection="1">
      <alignment horizontal="center" vertical="center" wrapText="1"/>
      <protection hidden="1"/>
    </xf>
    <xf numFmtId="0" fontId="2" fillId="8" borderId="22" xfId="0" applyFont="1" applyFill="1" applyBorder="1" applyAlignment="1" applyProtection="1">
      <alignment horizontal="center" vertical="center" wrapText="1"/>
      <protection hidden="1"/>
    </xf>
    <xf numFmtId="0" fontId="2" fillId="8" borderId="23" xfId="0" applyFont="1" applyFill="1" applyBorder="1" applyAlignment="1" applyProtection="1">
      <alignment horizontal="center" vertical="center" wrapText="1"/>
      <protection hidden="1"/>
    </xf>
    <xf numFmtId="0" fontId="2" fillId="8" borderId="0" xfId="0" applyFont="1" applyFill="1" applyBorder="1" applyAlignment="1" applyProtection="1">
      <alignment horizontal="center" vertical="center" wrapText="1"/>
      <protection hidden="1"/>
    </xf>
    <xf numFmtId="0" fontId="2" fillId="8" borderId="24" xfId="0" applyFont="1" applyFill="1" applyBorder="1" applyAlignment="1" applyProtection="1">
      <alignment horizontal="center" vertical="center" wrapText="1"/>
      <protection hidden="1"/>
    </xf>
    <xf numFmtId="0" fontId="2" fillId="8" borderId="25" xfId="0" applyFont="1" applyFill="1" applyBorder="1" applyAlignment="1" applyProtection="1">
      <alignment horizontal="center" vertical="center" wrapText="1"/>
      <protection hidden="1"/>
    </xf>
    <xf numFmtId="0" fontId="2" fillId="8" borderId="6" xfId="0" applyFont="1" applyFill="1" applyBorder="1" applyAlignment="1" applyProtection="1">
      <alignment horizontal="center" vertical="center" wrapText="1"/>
      <protection hidden="1"/>
    </xf>
    <xf numFmtId="0" fontId="2" fillId="8" borderId="26" xfId="0" applyFont="1" applyFill="1" applyBorder="1" applyAlignment="1" applyProtection="1">
      <alignment horizontal="center" vertical="center" wrapText="1"/>
      <protection hidden="1"/>
    </xf>
    <xf numFmtId="0" fontId="3" fillId="0" borderId="0" xfId="0" applyFont="1" applyAlignment="1" applyProtection="1">
      <alignment horizontal="left"/>
      <protection hidden="1"/>
    </xf>
    <xf numFmtId="0" fontId="2" fillId="0" borderId="0" xfId="0" applyFont="1" applyFill="1" applyAlignment="1" applyProtection="1">
      <alignment horizontal="left"/>
      <protection hidden="1"/>
    </xf>
    <xf numFmtId="0" fontId="2" fillId="0" borderId="0" xfId="0" applyFont="1" applyAlignment="1" applyProtection="1">
      <alignment horizontal="left"/>
      <protection hidden="1"/>
    </xf>
    <xf numFmtId="2" fontId="2" fillId="0" borderId="21" xfId="0" applyNumberFormat="1" applyFont="1" applyBorder="1" applyAlignment="1" applyProtection="1">
      <alignment horizontal="center"/>
      <protection hidden="1"/>
    </xf>
    <xf numFmtId="0" fontId="2" fillId="0" borderId="0" xfId="0" applyFont="1" applyAlignment="1" applyProtection="1">
      <alignment horizontal="center"/>
      <protection hidden="1"/>
    </xf>
    <xf numFmtId="2" fontId="2" fillId="0" borderId="0" xfId="0" applyNumberFormat="1" applyFont="1" applyAlignment="1" applyProtection="1">
      <alignment horizontal="center"/>
      <protection hidden="1"/>
    </xf>
    <xf numFmtId="0" fontId="2" fillId="0" borderId="2"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protection hidden="1"/>
    </xf>
    <xf numFmtId="0" fontId="2" fillId="0" borderId="4" xfId="0" applyFont="1" applyBorder="1" applyAlignment="1" applyProtection="1">
      <alignment horizontal="center" vertical="center"/>
      <protection hidden="1"/>
    </xf>
    <xf numFmtId="0" fontId="2" fillId="0" borderId="2" xfId="0" applyFont="1" applyFill="1" applyBorder="1" applyAlignment="1" applyProtection="1">
      <alignment horizontal="center" vertical="center" wrapText="1"/>
      <protection hidden="1"/>
    </xf>
    <xf numFmtId="0" fontId="2" fillId="0" borderId="4" xfId="0" applyFont="1" applyFill="1" applyBorder="1" applyAlignment="1" applyProtection="1">
      <alignment horizontal="center" vertical="center" wrapText="1"/>
      <protection hidden="1"/>
    </xf>
    <xf numFmtId="2" fontId="2" fillId="0" borderId="27" xfId="0" applyNumberFormat="1" applyFont="1" applyBorder="1" applyAlignment="1" applyProtection="1">
      <alignment horizontal="center"/>
      <protection hidden="1"/>
    </xf>
    <xf numFmtId="2" fontId="2" fillId="0" borderId="33" xfId="0" applyNumberFormat="1" applyFont="1" applyBorder="1" applyAlignment="1" applyProtection="1">
      <alignment horizontal="center"/>
      <protection hidden="1"/>
    </xf>
    <xf numFmtId="2" fontId="2" fillId="0" borderId="3" xfId="0" applyNumberFormat="1" applyFont="1" applyBorder="1" applyAlignment="1" applyProtection="1">
      <alignment horizontal="center"/>
      <protection hidden="1"/>
    </xf>
    <xf numFmtId="2" fontId="2" fillId="0" borderId="2" xfId="0" applyNumberFormat="1" applyFont="1" applyBorder="1" applyAlignment="1" applyProtection="1">
      <alignment horizontal="center" vertical="top"/>
      <protection hidden="1"/>
    </xf>
    <xf numFmtId="2" fontId="2" fillId="0" borderId="4" xfId="0" applyNumberFormat="1" applyFont="1" applyBorder="1" applyAlignment="1" applyProtection="1">
      <alignment horizontal="center" vertical="top"/>
      <protection hidden="1"/>
    </xf>
    <xf numFmtId="2" fontId="2" fillId="0" borderId="2" xfId="0" applyNumberFormat="1" applyFont="1" applyBorder="1" applyAlignment="1" applyProtection="1">
      <alignment horizontal="center" vertical="top" wrapText="1"/>
      <protection hidden="1"/>
    </xf>
    <xf numFmtId="2" fontId="2" fillId="0" borderId="4" xfId="0" applyNumberFormat="1" applyFont="1" applyBorder="1" applyAlignment="1" applyProtection="1">
      <alignment horizontal="center" vertical="top" wrapText="1"/>
      <protection hidden="1"/>
    </xf>
    <xf numFmtId="0" fontId="2" fillId="0" borderId="1" xfId="0" applyFont="1" applyBorder="1" applyAlignment="1" applyProtection="1">
      <alignment horizontal="center" vertical="center" wrapText="1"/>
      <protection hidden="1"/>
    </xf>
    <xf numFmtId="0" fontId="2" fillId="0" borderId="1" xfId="0" applyFont="1" applyFill="1" applyBorder="1" applyAlignment="1" applyProtection="1">
      <alignment horizontal="center" vertical="center" wrapText="1"/>
      <protection hidden="1"/>
    </xf>
    <xf numFmtId="2" fontId="2" fillId="0" borderId="1" xfId="0" applyNumberFormat="1" applyFont="1" applyBorder="1" applyAlignment="1" applyProtection="1">
      <alignment horizontal="center"/>
      <protection hidden="1"/>
    </xf>
    <xf numFmtId="2" fontId="2" fillId="0" borderId="1" xfId="0" applyNumberFormat="1" applyFont="1" applyBorder="1" applyAlignment="1" applyProtection="1">
      <alignment horizontal="center" vertical="top"/>
      <protection hidden="1"/>
    </xf>
    <xf numFmtId="0" fontId="26" fillId="3" borderId="0" xfId="0" applyFont="1" applyFill="1" applyAlignment="1" applyProtection="1">
      <alignment horizontal="center" vertical="center" wrapText="1"/>
      <protection hidden="1"/>
    </xf>
    <xf numFmtId="0" fontId="23" fillId="7" borderId="0" xfId="0" applyFont="1" applyFill="1" applyBorder="1" applyAlignment="1">
      <alignment horizontal="center" vertical="center"/>
    </xf>
    <xf numFmtId="4" fontId="11" fillId="7" borderId="0" xfId="0" applyNumberFormat="1" applyFont="1" applyFill="1" applyAlignment="1">
      <alignment horizontal="center"/>
    </xf>
    <xf numFmtId="4" fontId="8" fillId="7" borderId="0" xfId="0" applyNumberFormat="1" applyFont="1" applyFill="1" applyBorder="1" applyAlignment="1">
      <alignment horizontal="center"/>
    </xf>
    <xf numFmtId="4" fontId="16" fillId="7" borderId="21" xfId="0" applyNumberFormat="1" applyFont="1" applyFill="1" applyBorder="1" applyAlignment="1">
      <alignment horizontal="center" vertical="center" wrapText="1"/>
    </xf>
    <xf numFmtId="4" fontId="16" fillId="7" borderId="22" xfId="0" applyNumberFormat="1" applyFont="1" applyFill="1" applyBorder="1" applyAlignment="1">
      <alignment horizontal="center" vertical="center" wrapText="1"/>
    </xf>
    <xf numFmtId="4" fontId="16" fillId="7" borderId="6" xfId="0" applyNumberFormat="1" applyFont="1" applyFill="1" applyBorder="1" applyAlignment="1">
      <alignment horizontal="center" vertical="center" wrapText="1"/>
    </xf>
    <xf numFmtId="4" fontId="16" fillId="7" borderId="26" xfId="0" applyNumberFormat="1" applyFont="1" applyFill="1" applyBorder="1" applyAlignment="1">
      <alignment horizontal="center" vertical="center" wrapText="1"/>
    </xf>
    <xf numFmtId="2" fontId="8" fillId="7" borderId="2" xfId="0" applyNumberFormat="1" applyFont="1" applyFill="1" applyBorder="1" applyAlignment="1">
      <alignment horizontal="center" vertical="center"/>
    </xf>
    <xf numFmtId="2" fontId="8" fillId="7" borderId="4" xfId="0" applyNumberFormat="1" applyFont="1" applyFill="1" applyBorder="1" applyAlignment="1">
      <alignment horizontal="center" vertical="center"/>
    </xf>
    <xf numFmtId="0" fontId="20" fillId="7" borderId="13" xfId="0" applyFont="1" applyFill="1" applyBorder="1" applyAlignment="1">
      <alignment horizontal="center" vertical="center"/>
    </xf>
    <xf numFmtId="0" fontId="20" fillId="7" borderId="15" xfId="0" applyFont="1" applyFill="1" applyBorder="1" applyAlignment="1">
      <alignment horizontal="center" vertical="center"/>
    </xf>
    <xf numFmtId="0" fontId="20" fillId="7" borderId="28" xfId="0" applyFont="1" applyFill="1" applyBorder="1" applyAlignment="1">
      <alignment horizontal="center" vertical="center" wrapText="1"/>
    </xf>
    <xf numFmtId="0" fontId="20" fillId="7" borderId="29" xfId="0" applyFont="1" applyFill="1" applyBorder="1" applyAlignment="1">
      <alignment horizontal="center" vertical="center" wrapText="1"/>
    </xf>
    <xf numFmtId="0" fontId="21" fillId="7" borderId="13" xfId="0" applyFont="1" applyFill="1" applyBorder="1" applyAlignment="1">
      <alignment horizontal="left" vertical="center" wrapText="1"/>
    </xf>
    <xf numFmtId="0" fontId="21" fillId="7" borderId="14" xfId="0" applyFont="1" applyFill="1" applyBorder="1" applyAlignment="1">
      <alignment horizontal="left" vertical="center" wrapText="1"/>
    </xf>
    <xf numFmtId="0" fontId="25" fillId="7" borderId="0" xfId="0" applyFont="1" applyFill="1" applyBorder="1" applyAlignment="1">
      <alignment horizontal="center" vertical="center" textRotation="90" wrapText="1"/>
    </xf>
    <xf numFmtId="0" fontId="21" fillId="7" borderId="7" xfId="0" applyFont="1" applyFill="1" applyBorder="1" applyAlignment="1">
      <alignment horizontal="left" vertical="center" wrapText="1"/>
    </xf>
    <xf numFmtId="0" fontId="21" fillId="7" borderId="8" xfId="0" applyFont="1" applyFill="1" applyBorder="1" applyAlignment="1">
      <alignment horizontal="left" vertical="center" wrapText="1"/>
    </xf>
    <xf numFmtId="0" fontId="21" fillId="7" borderId="10" xfId="0" applyFont="1" applyFill="1" applyBorder="1" applyAlignment="1">
      <alignment horizontal="left" vertical="center" wrapText="1"/>
    </xf>
    <xf numFmtId="0" fontId="21" fillId="7" borderId="11" xfId="0" applyFont="1" applyFill="1" applyBorder="1" applyAlignment="1">
      <alignment horizontal="left" vertical="center" wrapText="1"/>
    </xf>
    <xf numFmtId="0" fontId="21" fillId="7" borderId="31" xfId="0" applyFont="1" applyFill="1" applyBorder="1" applyAlignment="1">
      <alignment horizontal="left" vertical="center" wrapText="1"/>
    </xf>
    <xf numFmtId="0" fontId="21" fillId="7" borderId="32" xfId="0" applyFont="1" applyFill="1" applyBorder="1" applyAlignment="1">
      <alignment horizontal="left" vertical="center" wrapText="1"/>
    </xf>
    <xf numFmtId="0" fontId="21" fillId="7" borderId="18" xfId="0" applyFont="1" applyFill="1" applyBorder="1" applyAlignment="1">
      <alignment horizontal="left" vertical="center" wrapText="1"/>
    </xf>
    <xf numFmtId="0" fontId="21" fillId="7" borderId="1" xfId="0" applyFont="1" applyFill="1" applyBorder="1" applyAlignment="1">
      <alignment horizontal="left" vertical="center" wrapText="1"/>
    </xf>
    <xf numFmtId="0" fontId="7" fillId="7" borderId="0" xfId="0" applyFont="1" applyFill="1" applyAlignment="1">
      <alignment horizontal="center" wrapText="1"/>
    </xf>
    <xf numFmtId="0" fontId="8" fillId="7" borderId="0" xfId="0" applyFont="1" applyFill="1" applyAlignment="1">
      <alignment horizontal="center" vertical="center" wrapText="1"/>
    </xf>
    <xf numFmtId="0" fontId="12" fillId="7" borderId="2" xfId="0" applyFont="1" applyFill="1" applyBorder="1" applyAlignment="1">
      <alignment horizontal="center" vertical="center"/>
    </xf>
    <xf numFmtId="0" fontId="12" fillId="7" borderId="5" xfId="0" applyFont="1" applyFill="1" applyBorder="1" applyAlignment="1">
      <alignment horizontal="center" vertical="center"/>
    </xf>
    <xf numFmtId="0" fontId="12" fillId="7" borderId="4" xfId="0" applyFont="1" applyFill="1" applyBorder="1" applyAlignment="1">
      <alignment horizontal="center" vertical="center"/>
    </xf>
    <xf numFmtId="0" fontId="13" fillId="6" borderId="27"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1" xfId="0" applyFont="1" applyFill="1" applyBorder="1" applyAlignment="1">
      <alignment horizontal="center" vertical="center" wrapText="1"/>
    </xf>
    <xf numFmtId="1" fontId="2" fillId="0" borderId="0" xfId="0" applyNumberFormat="1" applyFont="1" applyFill="1" applyBorder="1" applyAlignment="1" applyProtection="1">
      <alignment horizontal="left" vertical="center" wrapText="1"/>
      <protection hidden="1"/>
    </xf>
    <xf numFmtId="0" fontId="2" fillId="0" borderId="0" xfId="0" applyFont="1" applyFill="1" applyAlignment="1" applyProtection="1">
      <alignment horizontal="left" vertical="center" wrapText="1"/>
      <protection hidden="1"/>
    </xf>
    <xf numFmtId="2" fontId="2" fillId="0" borderId="0" xfId="0" applyNumberFormat="1" applyFont="1" applyFill="1" applyBorder="1" applyAlignment="1" applyProtection="1">
      <alignment horizontal="center" vertical="center"/>
      <protection hidden="1"/>
    </xf>
    <xf numFmtId="1" fontId="2" fillId="0" borderId="0" xfId="0" applyNumberFormat="1" applyFont="1" applyFill="1" applyBorder="1" applyAlignment="1" applyProtection="1">
      <alignment horizontal="right" vertical="center"/>
      <protection hidden="1"/>
    </xf>
    <xf numFmtId="0" fontId="2" fillId="0" borderId="0" xfId="0" applyFont="1" applyFill="1" applyAlignment="1" applyProtection="1">
      <alignment horizontal="right" vertical="center"/>
      <protection hidden="1"/>
    </xf>
    <xf numFmtId="165" fontId="2" fillId="0" borderId="1" xfId="1" applyNumberFormat="1" applyFont="1" applyFill="1" applyBorder="1" applyAlignment="1" applyProtection="1">
      <alignment horizontal="center" vertical="center" wrapText="1"/>
      <protection hidden="1"/>
    </xf>
    <xf numFmtId="1"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Border="1" applyAlignment="1">
      <alignment horizontal="center" vertical="center"/>
    </xf>
    <xf numFmtId="0" fontId="28" fillId="9" borderId="27" xfId="0" applyFont="1" applyFill="1" applyBorder="1" applyAlignment="1" applyProtection="1">
      <alignment horizontal="center" vertical="center" wrapText="1"/>
      <protection hidden="1"/>
    </xf>
    <xf numFmtId="0" fontId="28" fillId="9" borderId="33" xfId="0" applyFont="1" applyFill="1" applyBorder="1" applyAlignment="1" applyProtection="1">
      <alignment horizontal="center" vertical="center" wrapText="1"/>
      <protection hidden="1"/>
    </xf>
    <xf numFmtId="0" fontId="28" fillId="9" borderId="3" xfId="0" applyFont="1" applyFill="1" applyBorder="1" applyAlignment="1" applyProtection="1">
      <alignment horizontal="center" vertical="center" wrapText="1"/>
      <protection hidden="1"/>
    </xf>
    <xf numFmtId="0" fontId="6" fillId="9" borderId="1" xfId="0" applyFont="1" applyFill="1" applyBorder="1" applyAlignment="1" applyProtection="1">
      <alignment horizontal="center" vertical="center" wrapText="1"/>
      <protection hidden="1"/>
    </xf>
    <xf numFmtId="0" fontId="28" fillId="9" borderId="1" xfId="0" applyFont="1" applyFill="1" applyBorder="1" applyAlignment="1" applyProtection="1">
      <alignment horizontal="center" vertical="center" wrapText="1"/>
      <protection hidden="1"/>
    </xf>
    <xf numFmtId="0" fontId="28" fillId="9" borderId="20" xfId="0" applyFont="1" applyFill="1" applyBorder="1" applyAlignment="1" applyProtection="1">
      <alignment horizontal="justify" vertical="center" wrapText="1"/>
      <protection hidden="1"/>
    </xf>
    <xf numFmtId="0" fontId="28" fillId="9" borderId="21" xfId="0" applyFont="1" applyFill="1" applyBorder="1" applyAlignment="1" applyProtection="1">
      <alignment horizontal="justify" vertical="center" wrapText="1"/>
      <protection hidden="1"/>
    </xf>
    <xf numFmtId="0" fontId="28" fillId="9" borderId="22" xfId="0" applyFont="1" applyFill="1" applyBorder="1" applyAlignment="1" applyProtection="1">
      <alignment horizontal="justify" vertical="center" wrapText="1"/>
      <protection hidden="1"/>
    </xf>
    <xf numFmtId="0" fontId="28" fillId="9" borderId="23" xfId="0" applyFont="1" applyFill="1" applyBorder="1" applyAlignment="1" applyProtection="1">
      <alignment horizontal="justify" vertical="center" wrapText="1"/>
      <protection hidden="1"/>
    </xf>
    <xf numFmtId="0" fontId="28" fillId="9" borderId="0" xfId="0" applyFont="1" applyFill="1" applyBorder="1" applyAlignment="1" applyProtection="1">
      <alignment horizontal="justify" vertical="center" wrapText="1"/>
      <protection hidden="1"/>
    </xf>
    <xf numFmtId="0" fontId="28" fillId="9" borderId="24" xfId="0" applyFont="1" applyFill="1" applyBorder="1" applyAlignment="1" applyProtection="1">
      <alignment horizontal="justify" vertical="center" wrapText="1"/>
      <protection hidden="1"/>
    </xf>
    <xf numFmtId="0" fontId="28" fillId="9" borderId="25" xfId="0" applyFont="1" applyFill="1" applyBorder="1" applyAlignment="1" applyProtection="1">
      <alignment horizontal="justify" vertical="center" wrapText="1"/>
      <protection hidden="1"/>
    </xf>
    <xf numFmtId="0" fontId="28" fillId="9" borderId="6" xfId="0" applyFont="1" applyFill="1" applyBorder="1" applyAlignment="1" applyProtection="1">
      <alignment horizontal="justify" vertical="center" wrapText="1"/>
      <protection hidden="1"/>
    </xf>
    <xf numFmtId="0" fontId="28" fillId="9" borderId="26" xfId="0" applyFont="1" applyFill="1" applyBorder="1" applyAlignment="1" applyProtection="1">
      <alignment horizontal="justify" vertical="center" wrapText="1"/>
      <protection hidden="1"/>
    </xf>
    <xf numFmtId="0" fontId="28" fillId="0" borderId="0" xfId="0" applyFont="1" applyAlignment="1" applyProtection="1">
      <alignment horizontal="center" vertical="center"/>
      <protection hidden="1"/>
    </xf>
    <xf numFmtId="0" fontId="28" fillId="0" borderId="0" xfId="0" applyFont="1" applyAlignment="1" applyProtection="1">
      <alignment horizontal="justify" vertical="center" wrapText="1"/>
      <protection hidden="1"/>
    </xf>
    <xf numFmtId="0" fontId="28" fillId="0" borderId="0" xfId="0" applyFont="1" applyAlignment="1" applyProtection="1">
      <alignment horizontal="left" vertical="center"/>
      <protection hidden="1"/>
    </xf>
    <xf numFmtId="3" fontId="3" fillId="0" borderId="1" xfId="0" applyNumberFormat="1" applyFont="1" applyFill="1" applyBorder="1" applyAlignment="1" applyProtection="1">
      <alignment horizontal="right" vertical="center" wrapText="1"/>
      <protection hidden="1"/>
    </xf>
  </cellXfs>
  <cellStyles count="2">
    <cellStyle name="Обычный" xfId="0" builtinId="0"/>
    <cellStyle name="Обычный 2" xfId="1"/>
  </cellStyles>
  <dxfs count="7">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1;&#1072;&#1080;&#1096;&#1077;&#1074;&#1086;%20&#1072;&#1091;&#1082;&#1094;&#1080;&#1086;&#1085;/&#1056;&#1040;&#1057;&#1063;&#1045;&#1058;%20&#1085;&#1072;&#1095;&#1072;&#1083;&#1100;&#1085;&#1086;&#1081;%20&#1094;&#1077;&#1085;&#1099;%20&#1051;&#1086;&#1090;&#1086;&#10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чет стоимости по Методике"/>
    </sheetNames>
    <sheetDataSet>
      <sheetData sheetId="0">
        <row r="1">
          <cell r="K1" t="str">
            <v>Сплошная</v>
          </cell>
        </row>
        <row r="2">
          <cell r="K2" t="str">
            <v>Выборочная</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AQ3080"/>
  <sheetViews>
    <sheetView zoomScale="85" zoomScaleNormal="85" zoomScaleSheetLayoutView="85" workbookViewId="0">
      <selection activeCell="H251" sqref="H251"/>
    </sheetView>
  </sheetViews>
  <sheetFormatPr defaultRowHeight="12.75" outlineLevelCol="1" x14ac:dyDescent="0.2"/>
  <cols>
    <col min="1" max="1" width="15.85546875" style="224" customWidth="1"/>
    <col min="2" max="2" width="21.28515625" style="229" customWidth="1"/>
    <col min="3" max="3" width="16.5703125" style="229" customWidth="1"/>
    <col min="4" max="4" width="9.28515625" style="229" customWidth="1"/>
    <col min="5" max="6" width="9.140625" style="229"/>
    <col min="7" max="7" width="10.7109375" style="229" customWidth="1"/>
    <col min="8" max="8" width="15" style="229" customWidth="1"/>
    <col min="9" max="13" width="11.140625" style="227" bestFit="1" customWidth="1"/>
    <col min="14" max="14" width="12" style="227" customWidth="1"/>
    <col min="15" max="15" width="9.140625" style="229" hidden="1" customWidth="1" outlineLevel="1"/>
    <col min="16" max="16" width="13.7109375" style="230" hidden="1" customWidth="1" outlineLevel="1"/>
    <col min="17" max="21" width="9.140625" style="229" hidden="1" customWidth="1" outlineLevel="1"/>
    <col min="22" max="22" width="2.42578125" style="229" hidden="1" customWidth="1" outlineLevel="1"/>
    <col min="23" max="23" width="2.5703125" style="229" hidden="1" customWidth="1" outlineLevel="1"/>
    <col min="24" max="28" width="9.140625" style="229" hidden="1" customWidth="1" outlineLevel="1"/>
    <col min="29" max="29" width="2.42578125" style="229" hidden="1" customWidth="1" outlineLevel="1"/>
    <col min="30" max="40" width="9.140625" style="229" hidden="1" customWidth="1" outlineLevel="1"/>
    <col min="41" max="41" width="9.140625" style="229" collapsed="1"/>
    <col min="42" max="43" width="0" style="231" hidden="1" customWidth="1"/>
    <col min="44" max="16384" width="9.140625" style="229"/>
  </cols>
  <sheetData>
    <row r="2" spans="2:40" x14ac:dyDescent="0.2">
      <c r="B2" s="225"/>
      <c r="C2" s="225"/>
      <c r="D2" s="225"/>
      <c r="E2" s="225"/>
      <c r="F2" s="225"/>
      <c r="G2" s="225"/>
      <c r="H2" s="201"/>
      <c r="I2" s="226"/>
      <c r="J2" s="226"/>
      <c r="K2" s="226"/>
      <c r="M2" s="226"/>
      <c r="N2" s="228" t="s">
        <v>455</v>
      </c>
    </row>
    <row r="3" spans="2:40" x14ac:dyDescent="0.2">
      <c r="B3" s="225"/>
      <c r="C3" s="225"/>
      <c r="D3" s="225"/>
      <c r="E3" s="225"/>
      <c r="F3" s="225"/>
      <c r="G3" s="225"/>
      <c r="H3" s="201"/>
      <c r="I3" s="226"/>
      <c r="J3" s="226"/>
      <c r="K3" s="226"/>
      <c r="M3" s="226"/>
      <c r="N3" s="228" t="s">
        <v>456</v>
      </c>
      <c r="Y3" s="229">
        <v>1.51</v>
      </c>
      <c r="AE3" s="229">
        <v>1.49</v>
      </c>
      <c r="AJ3" s="232" t="s">
        <v>2039</v>
      </c>
      <c r="AK3" s="233"/>
      <c r="AL3" s="233"/>
      <c r="AM3" s="233"/>
      <c r="AN3" s="233"/>
    </row>
    <row r="4" spans="2:40" x14ac:dyDescent="0.2">
      <c r="B4" s="225"/>
      <c r="C4" s="225"/>
      <c r="D4" s="225"/>
      <c r="E4" s="225"/>
      <c r="F4" s="225"/>
      <c r="G4" s="225"/>
      <c r="H4" s="201"/>
      <c r="I4" s="226"/>
      <c r="J4" s="226"/>
      <c r="K4" s="226"/>
      <c r="M4" s="226"/>
      <c r="N4" s="228" t="s">
        <v>457</v>
      </c>
      <c r="P4" s="305" t="s">
        <v>527</v>
      </c>
      <c r="Q4" s="305"/>
      <c r="R4" s="305"/>
      <c r="S4" s="305"/>
      <c r="T4" s="305"/>
      <c r="U4" s="305"/>
      <c r="X4" s="233" t="s">
        <v>17</v>
      </c>
      <c r="Y4" s="233">
        <v>114.43</v>
      </c>
      <c r="Z4" s="233">
        <v>81.540000000000006</v>
      </c>
      <c r="AA4" s="233">
        <v>41.31</v>
      </c>
      <c r="AB4" s="233">
        <v>6.52</v>
      </c>
      <c r="AD4" s="229" t="s">
        <v>17</v>
      </c>
      <c r="AE4" s="229">
        <v>112.91</v>
      </c>
      <c r="AF4" s="229">
        <v>80.459999999999994</v>
      </c>
      <c r="AG4" s="229">
        <v>40.770000000000003</v>
      </c>
      <c r="AH4" s="229">
        <v>6.44</v>
      </c>
      <c r="AJ4" s="233" t="s">
        <v>17</v>
      </c>
      <c r="AK4" s="233">
        <v>75.78</v>
      </c>
      <c r="AL4" s="233">
        <v>54</v>
      </c>
      <c r="AM4" s="233">
        <v>27.36</v>
      </c>
      <c r="AN4" s="233">
        <v>4.32</v>
      </c>
    </row>
    <row r="5" spans="2:40" x14ac:dyDescent="0.2">
      <c r="B5" s="225"/>
      <c r="C5" s="225"/>
      <c r="D5" s="225"/>
      <c r="E5" s="225"/>
      <c r="F5" s="225"/>
      <c r="G5" s="225"/>
      <c r="H5" s="201"/>
      <c r="I5" s="226"/>
      <c r="J5" s="226"/>
      <c r="K5" s="226"/>
      <c r="L5" s="226"/>
      <c r="M5" s="226"/>
      <c r="N5" s="226"/>
      <c r="P5" s="305"/>
      <c r="Q5" s="305"/>
      <c r="R5" s="305"/>
      <c r="S5" s="305"/>
      <c r="T5" s="305"/>
      <c r="U5" s="305"/>
      <c r="X5" s="233" t="s">
        <v>372</v>
      </c>
      <c r="Y5" s="233">
        <v>67.95</v>
      </c>
      <c r="Z5" s="233">
        <v>49.47</v>
      </c>
      <c r="AA5" s="233">
        <v>25.28</v>
      </c>
      <c r="AB5" s="233">
        <v>1.36</v>
      </c>
      <c r="AD5" s="229" t="s">
        <v>372</v>
      </c>
      <c r="AE5" s="229">
        <v>67.05</v>
      </c>
      <c r="AF5" s="229">
        <v>48.81</v>
      </c>
      <c r="AG5" s="229">
        <v>24.94</v>
      </c>
      <c r="AH5" s="229">
        <v>1.34</v>
      </c>
      <c r="AJ5" s="233" t="s">
        <v>372</v>
      </c>
      <c r="AK5" s="233">
        <v>45</v>
      </c>
      <c r="AL5" s="233">
        <v>32.76</v>
      </c>
      <c r="AM5" s="233">
        <v>16.739999999999998</v>
      </c>
      <c r="AN5" s="233">
        <v>0.9</v>
      </c>
    </row>
    <row r="6" spans="2:40" x14ac:dyDescent="0.2">
      <c r="B6" s="225"/>
      <c r="C6" s="286" t="s">
        <v>458</v>
      </c>
      <c r="D6" s="286"/>
      <c r="E6" s="286"/>
      <c r="F6" s="286"/>
      <c r="G6" s="286"/>
      <c r="H6" s="286"/>
      <c r="I6" s="286"/>
      <c r="J6" s="286"/>
      <c r="K6" s="286"/>
      <c r="L6" s="286"/>
      <c r="M6" s="226"/>
      <c r="N6" s="226"/>
      <c r="P6" s="305"/>
      <c r="Q6" s="305"/>
      <c r="R6" s="305"/>
      <c r="S6" s="305"/>
      <c r="T6" s="305"/>
      <c r="U6" s="305"/>
      <c r="X6" s="233" t="s">
        <v>25</v>
      </c>
      <c r="Y6" s="233">
        <v>855.9</v>
      </c>
      <c r="Z6" s="233">
        <v>611.54999999999995</v>
      </c>
      <c r="AA6" s="233">
        <v>307.68</v>
      </c>
      <c r="AB6" s="233">
        <v>26.64</v>
      </c>
      <c r="AD6" s="229" t="s">
        <v>178</v>
      </c>
      <c r="AE6" s="229">
        <v>844.56</v>
      </c>
      <c r="AF6" s="229">
        <v>603.45000000000005</v>
      </c>
      <c r="AG6" s="229">
        <v>303.60000000000002</v>
      </c>
      <c r="AH6" s="229">
        <v>26.28</v>
      </c>
      <c r="AJ6" s="233" t="s">
        <v>25</v>
      </c>
      <c r="AK6" s="233">
        <v>566.82000000000005</v>
      </c>
      <c r="AL6" s="233">
        <v>405</v>
      </c>
      <c r="AM6" s="233">
        <v>203.76</v>
      </c>
      <c r="AN6" s="233">
        <v>17.64</v>
      </c>
    </row>
    <row r="7" spans="2:40" x14ac:dyDescent="0.2">
      <c r="B7" s="225"/>
      <c r="C7" s="286" t="s">
        <v>459</v>
      </c>
      <c r="D7" s="286"/>
      <c r="E7" s="286"/>
      <c r="F7" s="286"/>
      <c r="G7" s="286"/>
      <c r="H7" s="286"/>
      <c r="I7" s="286"/>
      <c r="J7" s="286"/>
      <c r="K7" s="286"/>
      <c r="L7" s="286"/>
      <c r="M7" s="226"/>
      <c r="N7" s="226"/>
      <c r="P7" s="305"/>
      <c r="Q7" s="305"/>
      <c r="R7" s="305"/>
      <c r="S7" s="305"/>
      <c r="T7" s="305"/>
      <c r="U7" s="305"/>
      <c r="X7" s="233" t="s">
        <v>208</v>
      </c>
      <c r="Y7" s="233">
        <v>206.02</v>
      </c>
      <c r="Z7" s="233">
        <v>146.77000000000001</v>
      </c>
      <c r="AA7" s="233">
        <v>73.66</v>
      </c>
      <c r="AB7" s="233">
        <v>6.25</v>
      </c>
      <c r="AD7" s="229" t="s">
        <v>208</v>
      </c>
      <c r="AE7" s="229">
        <v>203.3</v>
      </c>
      <c r="AF7" s="229">
        <v>144.83000000000001</v>
      </c>
      <c r="AG7" s="229">
        <v>72.680000000000007</v>
      </c>
      <c r="AH7" s="229">
        <v>6.17</v>
      </c>
      <c r="AJ7" s="233" t="s">
        <v>208</v>
      </c>
      <c r="AK7" s="233">
        <v>136.44</v>
      </c>
      <c r="AL7" s="233">
        <v>97.2</v>
      </c>
      <c r="AM7" s="233">
        <v>48.78</v>
      </c>
      <c r="AN7" s="233">
        <v>4.1399999999999997</v>
      </c>
    </row>
    <row r="8" spans="2:40" x14ac:dyDescent="0.2">
      <c r="B8" s="225" t="s">
        <v>460</v>
      </c>
      <c r="C8" s="234"/>
      <c r="D8" s="234"/>
      <c r="E8" s="234"/>
      <c r="F8" s="234"/>
      <c r="G8" s="234"/>
      <c r="H8" s="234"/>
      <c r="I8" s="235"/>
      <c r="J8" s="235"/>
      <c r="K8" s="235"/>
      <c r="L8" s="287" t="s">
        <v>461</v>
      </c>
      <c r="M8" s="287"/>
      <c r="N8" s="287"/>
      <c r="P8" s="305"/>
      <c r="Q8" s="305"/>
      <c r="R8" s="305"/>
      <c r="S8" s="305"/>
      <c r="T8" s="305"/>
      <c r="U8" s="305"/>
      <c r="X8" s="233" t="s">
        <v>268</v>
      </c>
      <c r="Y8" s="233">
        <v>855.9</v>
      </c>
      <c r="Z8" s="233">
        <v>611.54999999999995</v>
      </c>
      <c r="AA8" s="233">
        <v>307.68</v>
      </c>
      <c r="AB8" s="233">
        <v>26.64</v>
      </c>
      <c r="AD8" s="229" t="s">
        <v>268</v>
      </c>
      <c r="AE8" s="229">
        <v>844.56</v>
      </c>
      <c r="AF8" s="229">
        <v>603.45000000000005</v>
      </c>
      <c r="AG8" s="229">
        <v>303.60000000000002</v>
      </c>
      <c r="AH8" s="229">
        <v>26.28</v>
      </c>
      <c r="AJ8" s="233" t="s">
        <v>268</v>
      </c>
      <c r="AK8" s="233">
        <v>566.82000000000005</v>
      </c>
      <c r="AL8" s="233">
        <v>405</v>
      </c>
      <c r="AM8" s="233">
        <v>203.76</v>
      </c>
      <c r="AN8" s="233">
        <v>17.64</v>
      </c>
    </row>
    <row r="9" spans="2:40" x14ac:dyDescent="0.2">
      <c r="B9" s="225"/>
      <c r="C9" s="234"/>
      <c r="D9" s="234"/>
      <c r="E9" s="234"/>
      <c r="F9" s="234"/>
      <c r="G9" s="234"/>
      <c r="H9" s="234"/>
      <c r="I9" s="235"/>
      <c r="J9" s="235"/>
      <c r="K9" s="235"/>
      <c r="L9" s="235"/>
      <c r="M9" s="235"/>
      <c r="N9" s="235"/>
      <c r="P9" s="305"/>
      <c r="Q9" s="305"/>
      <c r="R9" s="305"/>
      <c r="S9" s="305"/>
      <c r="T9" s="305"/>
      <c r="U9" s="305"/>
      <c r="X9" s="233" t="s">
        <v>19</v>
      </c>
      <c r="Y9" s="233">
        <v>67.95</v>
      </c>
      <c r="Z9" s="233">
        <v>49.47</v>
      </c>
      <c r="AA9" s="233">
        <v>25.28</v>
      </c>
      <c r="AB9" s="233">
        <v>1.36</v>
      </c>
      <c r="AD9" s="229" t="s">
        <v>19</v>
      </c>
      <c r="AE9" s="229">
        <v>67.05</v>
      </c>
      <c r="AF9" s="229">
        <v>48.81</v>
      </c>
      <c r="AG9" s="229">
        <v>24.94</v>
      </c>
      <c r="AH9" s="229">
        <v>1.34</v>
      </c>
      <c r="AJ9" s="233" t="s">
        <v>19</v>
      </c>
      <c r="AK9" s="233">
        <v>45</v>
      </c>
      <c r="AL9" s="233">
        <v>32.76</v>
      </c>
      <c r="AM9" s="233">
        <v>16.739999999999998</v>
      </c>
      <c r="AN9" s="233">
        <v>0.9</v>
      </c>
    </row>
    <row r="10" spans="2:40" x14ac:dyDescent="0.2">
      <c r="B10" s="225" t="s">
        <v>2038</v>
      </c>
      <c r="C10" s="234"/>
      <c r="D10" s="234"/>
      <c r="E10" s="234"/>
      <c r="F10" s="234"/>
      <c r="G10" s="234"/>
      <c r="H10" s="234"/>
      <c r="I10" s="235"/>
      <c r="J10" s="235"/>
      <c r="K10" s="235"/>
      <c r="L10" s="235"/>
      <c r="M10" s="235"/>
      <c r="N10" s="235"/>
      <c r="P10" s="305"/>
      <c r="Q10" s="305"/>
      <c r="R10" s="305"/>
      <c r="S10" s="305"/>
      <c r="T10" s="305"/>
      <c r="U10" s="305"/>
      <c r="X10" s="233" t="s">
        <v>201</v>
      </c>
      <c r="Y10" s="233">
        <v>182.38</v>
      </c>
      <c r="Z10" s="233">
        <v>130.19</v>
      </c>
      <c r="AA10" s="233">
        <v>64.959999999999994</v>
      </c>
      <c r="AB10" s="233">
        <v>6.25</v>
      </c>
      <c r="AD10" s="229" t="s">
        <v>201</v>
      </c>
      <c r="AE10" s="229">
        <v>179.96</v>
      </c>
      <c r="AF10" s="229">
        <v>128.47</v>
      </c>
      <c r="AG10" s="229">
        <v>64.099999999999994</v>
      </c>
      <c r="AH10" s="229">
        <v>6.17</v>
      </c>
      <c r="AJ10" s="233" t="s">
        <v>201</v>
      </c>
      <c r="AK10" s="233">
        <v>120.78</v>
      </c>
      <c r="AL10" s="233">
        <v>86.22</v>
      </c>
      <c r="AM10" s="233">
        <v>43.02</v>
      </c>
      <c r="AN10" s="233">
        <v>4.1399999999999997</v>
      </c>
    </row>
    <row r="11" spans="2:40" x14ac:dyDescent="0.2">
      <c r="B11" s="225" t="s">
        <v>462</v>
      </c>
      <c r="C11" s="234"/>
      <c r="D11" s="234"/>
      <c r="E11" s="234"/>
      <c r="F11" s="234"/>
      <c r="G11" s="234"/>
      <c r="H11" s="234"/>
      <c r="I11" s="235"/>
      <c r="J11" s="235"/>
      <c r="K11" s="235"/>
      <c r="L11" s="235"/>
      <c r="M11" s="235"/>
      <c r="N11" s="235"/>
      <c r="P11" s="305"/>
      <c r="Q11" s="305"/>
      <c r="R11" s="305"/>
      <c r="S11" s="305"/>
      <c r="T11" s="305"/>
      <c r="U11" s="305"/>
      <c r="X11" s="233" t="s">
        <v>40</v>
      </c>
      <c r="Y11" s="233">
        <v>67.95</v>
      </c>
      <c r="Z11" s="233">
        <v>49.47</v>
      </c>
      <c r="AA11" s="233">
        <v>25.28</v>
      </c>
      <c r="AB11" s="233">
        <v>1.36</v>
      </c>
      <c r="AD11" s="229" t="s">
        <v>40</v>
      </c>
      <c r="AE11" s="229">
        <v>67.05</v>
      </c>
      <c r="AF11" s="229">
        <v>48.81</v>
      </c>
      <c r="AG11" s="229">
        <v>24.94</v>
      </c>
      <c r="AH11" s="229">
        <v>1.34</v>
      </c>
      <c r="AJ11" s="233" t="s">
        <v>40</v>
      </c>
      <c r="AK11" s="233">
        <v>45</v>
      </c>
      <c r="AL11" s="233">
        <v>32.76</v>
      </c>
      <c r="AM11" s="233">
        <v>16.739999999999998</v>
      </c>
      <c r="AN11" s="233">
        <v>0.9</v>
      </c>
    </row>
    <row r="12" spans="2:40" x14ac:dyDescent="0.2">
      <c r="B12" s="225" t="s">
        <v>2037</v>
      </c>
      <c r="C12" s="234"/>
      <c r="D12" s="234"/>
      <c r="E12" s="234"/>
      <c r="F12" s="234"/>
      <c r="G12" s="234"/>
      <c r="H12" s="234"/>
      <c r="I12" s="235"/>
      <c r="J12" s="235"/>
      <c r="K12" s="235"/>
      <c r="L12" s="235"/>
      <c r="M12" s="235"/>
      <c r="N12" s="235"/>
      <c r="X12" s="233" t="s">
        <v>18</v>
      </c>
      <c r="Y12" s="233">
        <v>21.74</v>
      </c>
      <c r="Z12" s="233">
        <v>16.579999999999998</v>
      </c>
      <c r="AA12" s="233">
        <v>8.43</v>
      </c>
      <c r="AB12" s="233">
        <v>0.54</v>
      </c>
      <c r="AD12" s="229" t="s">
        <v>18</v>
      </c>
      <c r="AE12" s="229">
        <v>21.46</v>
      </c>
      <c r="AF12" s="229">
        <v>16.36</v>
      </c>
      <c r="AG12" s="229">
        <v>8.31</v>
      </c>
      <c r="AH12" s="229">
        <v>0.54</v>
      </c>
      <c r="AJ12" s="233" t="s">
        <v>18</v>
      </c>
      <c r="AK12" s="233">
        <v>14.4</v>
      </c>
      <c r="AL12" s="233">
        <v>10.98</v>
      </c>
      <c r="AM12" s="233">
        <v>5.58</v>
      </c>
      <c r="AN12" s="233">
        <v>0.36</v>
      </c>
    </row>
    <row r="13" spans="2:40" x14ac:dyDescent="0.2">
      <c r="B13" s="225" t="s">
        <v>2052</v>
      </c>
      <c r="C13" s="234"/>
      <c r="D13" s="234"/>
      <c r="E13" s="234"/>
      <c r="F13" s="234"/>
      <c r="G13" s="234"/>
      <c r="H13" s="234"/>
      <c r="I13" s="235"/>
      <c r="J13" s="235"/>
      <c r="K13" s="235"/>
      <c r="L13" s="235"/>
      <c r="M13" s="235"/>
      <c r="N13" s="235"/>
      <c r="X13" s="233" t="s">
        <v>223</v>
      </c>
      <c r="Y13" s="233">
        <v>227.77</v>
      </c>
      <c r="Z13" s="233">
        <v>162.81</v>
      </c>
      <c r="AA13" s="233">
        <v>81.540000000000006</v>
      </c>
      <c r="AB13" s="233">
        <v>6.25</v>
      </c>
      <c r="AD13" s="229" t="s">
        <v>223</v>
      </c>
      <c r="AE13" s="229">
        <v>224.75</v>
      </c>
      <c r="AF13" s="229">
        <v>160.65</v>
      </c>
      <c r="AG13" s="229">
        <v>80.459999999999994</v>
      </c>
      <c r="AH13" s="229">
        <v>6.17</v>
      </c>
      <c r="AJ13" s="233" t="s">
        <v>223</v>
      </c>
      <c r="AK13" s="233">
        <v>150.84</v>
      </c>
      <c r="AL13" s="233">
        <v>107.82</v>
      </c>
      <c r="AM13" s="233">
        <v>54</v>
      </c>
      <c r="AN13" s="233">
        <v>4.1399999999999997</v>
      </c>
    </row>
    <row r="14" spans="2:40" x14ac:dyDescent="0.2">
      <c r="B14" s="225"/>
      <c r="C14" s="225"/>
      <c r="D14" s="225"/>
      <c r="E14" s="225"/>
      <c r="F14" s="225"/>
      <c r="G14" s="225"/>
      <c r="H14" s="201"/>
      <c r="I14" s="226"/>
      <c r="J14" s="226"/>
      <c r="K14" s="226"/>
      <c r="L14" s="226"/>
      <c r="M14" s="226"/>
      <c r="N14" s="226"/>
    </row>
    <row r="15" spans="2:40" ht="13.15" customHeight="1" x14ac:dyDescent="0.2">
      <c r="B15" s="288" t="s">
        <v>106</v>
      </c>
      <c r="C15" s="290" t="s">
        <v>463</v>
      </c>
      <c r="D15" s="301" t="s">
        <v>464</v>
      </c>
      <c r="E15" s="301" t="s">
        <v>465</v>
      </c>
      <c r="F15" s="301" t="s">
        <v>490</v>
      </c>
      <c r="G15" s="301" t="s">
        <v>466</v>
      </c>
      <c r="H15" s="302" t="s">
        <v>8</v>
      </c>
      <c r="I15" s="303" t="s">
        <v>467</v>
      </c>
      <c r="J15" s="303"/>
      <c r="K15" s="303"/>
      <c r="L15" s="303"/>
      <c r="M15" s="304" t="s">
        <v>468</v>
      </c>
      <c r="N15" s="299" t="s">
        <v>469</v>
      </c>
    </row>
    <row r="16" spans="2:40" ht="24.6" customHeight="1" x14ac:dyDescent="0.2">
      <c r="B16" s="289"/>
      <c r="C16" s="291"/>
      <c r="D16" s="301"/>
      <c r="E16" s="301"/>
      <c r="F16" s="301"/>
      <c r="G16" s="301"/>
      <c r="H16" s="302"/>
      <c r="I16" s="236" t="s">
        <v>470</v>
      </c>
      <c r="J16" s="236" t="s">
        <v>471</v>
      </c>
      <c r="K16" s="236" t="s">
        <v>472</v>
      </c>
      <c r="L16" s="236" t="s">
        <v>473</v>
      </c>
      <c r="M16" s="304"/>
      <c r="N16" s="300"/>
      <c r="P16" s="237" t="s">
        <v>526</v>
      </c>
    </row>
    <row r="17" spans="1:43" ht="13.15" customHeight="1" x14ac:dyDescent="0.2">
      <c r="A17" s="224" t="str">
        <f>CONCATENATE("Лот"," ",A18)</f>
        <v>Лот 1</v>
      </c>
      <c r="B17" s="273" t="s">
        <v>2087</v>
      </c>
      <c r="C17" s="274"/>
      <c r="D17" s="274"/>
      <c r="E17" s="274"/>
      <c r="F17" s="274"/>
      <c r="G17" s="275"/>
      <c r="H17" s="238" t="s">
        <v>17</v>
      </c>
      <c r="I17" s="239">
        <f t="shared" ref="I17:I22" ca="1" si="0">ROUND(VLOOKUP($H17,$AJ$4:$AN$13,2,0)*$Q$19*1.51,2)</f>
        <v>120.15</v>
      </c>
      <c r="J17" s="239">
        <f t="shared" ref="J17:J22" ca="1" si="1">ROUND(VLOOKUP($H17,$AJ$4:$AN$13,3,0)*$Q$19*1.51,2)</f>
        <v>85.62</v>
      </c>
      <c r="K17" s="239">
        <f t="shared" ref="K17:K22" ca="1" si="2">ROUND(VLOOKUP($H17,$AJ$4:$AN$13,4,0)*$Q$19*1.51,2)</f>
        <v>43.38</v>
      </c>
      <c r="L17" s="239"/>
      <c r="M17" s="239">
        <f t="shared" ref="M17:M22" ca="1" si="3">ROUND(VLOOKUP($H17,$AJ$4:$AN$13,5,0)*$Q$19*1.51,2)</f>
        <v>6.85</v>
      </c>
      <c r="N17" s="239"/>
    </row>
    <row r="18" spans="1:43" x14ac:dyDescent="0.2">
      <c r="A18" s="224">
        <v>1</v>
      </c>
      <c r="B18" s="276"/>
      <c r="C18" s="277"/>
      <c r="D18" s="277"/>
      <c r="E18" s="277"/>
      <c r="F18" s="277"/>
      <c r="G18" s="278"/>
      <c r="H18" s="238" t="s">
        <v>25</v>
      </c>
      <c r="I18" s="239">
        <f t="shared" ca="1" si="0"/>
        <v>898.69</v>
      </c>
      <c r="J18" s="239">
        <f t="shared" ca="1" si="1"/>
        <v>642.13</v>
      </c>
      <c r="K18" s="239">
        <f t="shared" ca="1" si="2"/>
        <v>323.06</v>
      </c>
      <c r="L18" s="239"/>
      <c r="M18" s="239">
        <f t="shared" ca="1" si="3"/>
        <v>27.97</v>
      </c>
      <c r="N18" s="239"/>
      <c r="Q18" s="240" t="s">
        <v>2045</v>
      </c>
      <c r="R18" s="240" t="s">
        <v>2046</v>
      </c>
    </row>
    <row r="19" spans="1:43" x14ac:dyDescent="0.2">
      <c r="B19" s="276"/>
      <c r="C19" s="277"/>
      <c r="D19" s="277"/>
      <c r="E19" s="277"/>
      <c r="F19" s="277"/>
      <c r="G19" s="278"/>
      <c r="H19" s="238" t="s">
        <v>19</v>
      </c>
      <c r="I19" s="239">
        <f t="shared" ca="1" si="0"/>
        <v>71.349999999999994</v>
      </c>
      <c r="J19" s="239">
        <f t="shared" ca="1" si="1"/>
        <v>51.94</v>
      </c>
      <c r="K19" s="239">
        <f t="shared" ca="1" si="2"/>
        <v>26.54</v>
      </c>
      <c r="L19" s="239"/>
      <c r="M19" s="239">
        <f t="shared" ca="1" si="3"/>
        <v>1.43</v>
      </c>
      <c r="N19" s="239"/>
      <c r="Q19" s="123">
        <f ca="1">IFERROR(IF(R19="","",IF(OR(R19&lt;100,R19=100),0.9,IF(OR(AND(R19&gt;100,R19&lt;150),R19=150),1,IF(R19&gt;150,1.05,"")))),"0")</f>
        <v>1.05</v>
      </c>
      <c r="R19" s="123">
        <f ca="1">N35/G23</f>
        <v>261.87700000000001</v>
      </c>
    </row>
    <row r="20" spans="1:43" x14ac:dyDescent="0.2">
      <c r="B20" s="276"/>
      <c r="C20" s="277"/>
      <c r="D20" s="277"/>
      <c r="E20" s="277"/>
      <c r="F20" s="277"/>
      <c r="G20" s="278"/>
      <c r="H20" s="238" t="s">
        <v>268</v>
      </c>
      <c r="I20" s="239">
        <f t="shared" ca="1" si="0"/>
        <v>898.69</v>
      </c>
      <c r="J20" s="239">
        <f t="shared" ca="1" si="1"/>
        <v>642.13</v>
      </c>
      <c r="K20" s="239">
        <f t="shared" ca="1" si="2"/>
        <v>323.06</v>
      </c>
      <c r="L20" s="239"/>
      <c r="M20" s="239">
        <f t="shared" ca="1" si="3"/>
        <v>27.97</v>
      </c>
      <c r="N20" s="239"/>
    </row>
    <row r="21" spans="1:43" x14ac:dyDescent="0.2">
      <c r="B21" s="276"/>
      <c r="C21" s="277"/>
      <c r="D21" s="277"/>
      <c r="E21" s="277"/>
      <c r="F21" s="277"/>
      <c r="G21" s="278"/>
      <c r="H21" s="238" t="s">
        <v>40</v>
      </c>
      <c r="I21" s="239">
        <f t="shared" ca="1" si="0"/>
        <v>71.349999999999994</v>
      </c>
      <c r="J21" s="239">
        <f t="shared" ca="1" si="1"/>
        <v>51.94</v>
      </c>
      <c r="K21" s="239">
        <f t="shared" ca="1" si="2"/>
        <v>26.54</v>
      </c>
      <c r="L21" s="239"/>
      <c r="M21" s="239">
        <f t="shared" ca="1" si="3"/>
        <v>1.43</v>
      </c>
      <c r="N21" s="239"/>
    </row>
    <row r="22" spans="1:43" x14ac:dyDescent="0.2">
      <c r="B22" s="279"/>
      <c r="C22" s="280"/>
      <c r="D22" s="280"/>
      <c r="E22" s="280"/>
      <c r="F22" s="280"/>
      <c r="G22" s="281"/>
      <c r="H22" s="238" t="s">
        <v>18</v>
      </c>
      <c r="I22" s="239">
        <f t="shared" ca="1" si="0"/>
        <v>22.83</v>
      </c>
      <c r="J22" s="239">
        <f t="shared" ca="1" si="1"/>
        <v>17.41</v>
      </c>
      <c r="K22" s="239">
        <f t="shared" ca="1" si="2"/>
        <v>8.85</v>
      </c>
      <c r="L22" s="239"/>
      <c r="M22" s="239">
        <f t="shared" ca="1" si="3"/>
        <v>0.56999999999999995</v>
      </c>
      <c r="N22" s="239"/>
      <c r="AP22" s="241" t="s">
        <v>2053</v>
      </c>
      <c r="AQ22" s="242"/>
    </row>
    <row r="23" spans="1:43" x14ac:dyDescent="0.2">
      <c r="A23" s="224">
        <v>5</v>
      </c>
      <c r="B23" s="243" t="str">
        <f>ЛОТЫ!L5</f>
        <v>Вишнево-Полянское</v>
      </c>
      <c r="C23" s="244" t="s">
        <v>474</v>
      </c>
      <c r="D23" s="243">
        <f>ЛОТЫ!M5</f>
        <v>8</v>
      </c>
      <c r="E23" s="243">
        <f>ЛОТЫ!N5</f>
        <v>15</v>
      </c>
      <c r="F23" s="243">
        <f>ЛОТЫ!O5</f>
        <v>1</v>
      </c>
      <c r="G23" s="245">
        <f>ЛОТЫ!P5</f>
        <v>10</v>
      </c>
      <c r="H23" s="246" t="s">
        <v>17</v>
      </c>
      <c r="I23" s="247">
        <f>IFERROR(INDEX('Ведомость расчета мин. платы'!$J$10:$AE$214,MATCH(CONCATENATE(РАСЧЕТ!B23,"/",РАСЧЕТ!D23,"/",РАСЧЕТ!E23,"/",F23,"/",H23),'Ведомость расчета мин. платы'!$AE$10:$AE$214,0),2),"")</f>
        <v>75.7</v>
      </c>
      <c r="J23" s="247">
        <f>IFERROR(INDEX('Ведомость расчета мин. платы'!$J$10:$AE$214,MATCH(CONCATENATE(РАСЧЕТ!B23,"/",РАСЧЕТ!D23,"/",РАСЧЕТ!E23,"/",F23,"/",H23),'Ведомость расчета мин. платы'!$AE$10:$AE$214,0),3),"")</f>
        <v>68.099999999999994</v>
      </c>
      <c r="K23" s="247">
        <f>IFERROR(INDEX('Ведомость расчета мин. платы'!$J$10:$AE$214,MATCH(CONCATENATE(РАСЧЕТ!B23,"/",РАСЧЕТ!D23,"/",РАСЧЕТ!E23,"/",F23,"/",H23),'Ведомость расчета мин. платы'!$AE$10:$AE$214,0),4),"")</f>
        <v>1.8</v>
      </c>
      <c r="L23" s="248">
        <f t="shared" ref="L23:L35" si="4">IFERROR(SUM(I23:K23),"")</f>
        <v>145.60000000000002</v>
      </c>
      <c r="M23" s="214">
        <f>IFERROR(INDEX('Ведомость расчета мин. платы'!$J$10:$AE$214,MATCH(CONCATENATE(РАСЧЕТ!B23,"/",РАСЧЕТ!D23,"/",РАСЧЕТ!E23,"/",F23,"/",H23),'Ведомость расчета мин. платы'!$AE$10:$AE$214,0),6),"")</f>
        <v>103.9</v>
      </c>
      <c r="N23" s="214">
        <f t="shared" ref="N23:N35" si="5">IFERROR(SUM(L23:M23),"")</f>
        <v>249.50000000000003</v>
      </c>
      <c r="O23" s="229">
        <f>IF(H23="стоимость","",1)</f>
        <v>1</v>
      </c>
      <c r="P23" s="230">
        <f>IF(A23&gt;0,1,0)</f>
        <v>1</v>
      </c>
      <c r="AP23" s="242"/>
      <c r="AQ23" s="242"/>
    </row>
    <row r="24" spans="1:43" x14ac:dyDescent="0.2">
      <c r="B24" s="249"/>
      <c r="C24" s="249"/>
      <c r="D24" s="249"/>
      <c r="E24" s="249"/>
      <c r="F24" s="249"/>
      <c r="G24" s="249"/>
      <c r="H24" s="250" t="s">
        <v>475</v>
      </c>
      <c r="I24" s="251">
        <f ca="1">IFERROR(ROUND(I23*I17,2),"")</f>
        <v>9095.36</v>
      </c>
      <c r="J24" s="251">
        <f t="shared" ref="J24:M24" ca="1" si="6">IFERROR(ROUND(J23*J17,2),"")</f>
        <v>5830.72</v>
      </c>
      <c r="K24" s="251">
        <f t="shared" ca="1" si="6"/>
        <v>78.08</v>
      </c>
      <c r="L24" s="251">
        <f t="shared" ca="1" si="4"/>
        <v>15004.160000000002</v>
      </c>
      <c r="M24" s="251">
        <f t="shared" ca="1" si="6"/>
        <v>711.72</v>
      </c>
      <c r="N24" s="252">
        <f t="shared" ca="1" si="5"/>
        <v>15715.880000000001</v>
      </c>
      <c r="O24" s="229" t="str">
        <f t="shared" ref="O24:O34" si="7">IF(H24="стоимость","",1)</f>
        <v/>
      </c>
      <c r="P24" s="230">
        <f t="shared" ref="P24:P92" si="8">IF(A24&gt;0,1,0)</f>
        <v>0</v>
      </c>
      <c r="AP24" s="242">
        <f>SUMIFS('Ведомость расчета мин. платы'!$S$10:$S$209,'Ведомость расчета мин. платы'!$AE$10:$AE$209,CONCATENATE($B$23,"/",$D$23,"/",$E$23,"/",$F$23,"/",$H$23))</f>
        <v>15715.88</v>
      </c>
      <c r="AQ24" s="253">
        <f t="shared" ref="AQ24" ca="1" si="9">AP24-N24</f>
        <v>0</v>
      </c>
    </row>
    <row r="25" spans="1:43" x14ac:dyDescent="0.2">
      <c r="B25" s="249"/>
      <c r="C25" s="249"/>
      <c r="D25" s="249"/>
      <c r="E25" s="249"/>
      <c r="F25" s="249"/>
      <c r="G25" s="249"/>
      <c r="H25" s="246" t="s">
        <v>25</v>
      </c>
      <c r="I25" s="247" t="str">
        <f>IFERROR(INDEX('Ведомость расчета мин. платы'!$J$10:$AE$214,MATCH(CONCATENATE(РАСЧЕТ!B23,"/",РАСЧЕТ!D23,"/",РАСЧЕТ!E23,"/",F23,"/",H25),'Ведомость расчета мин. платы'!$AE$10:$AE$214,0),2),"")</f>
        <v/>
      </c>
      <c r="J25" s="247" t="str">
        <f>IFERROR(INDEX('Ведомость расчета мин. платы'!$J$10:$AE$214,MATCH(CONCATENATE(РАСЧЕТ!B23,"/",РАСЧЕТ!D23,"/",РАСЧЕТ!E23,"/",F23,"/",H25),'Ведомость расчета мин. платы'!$AE$10:$AE$214,0),3),"")</f>
        <v/>
      </c>
      <c r="K25" s="247" t="str">
        <f>IFERROR(INDEX('Ведомость расчета мин. платы'!$J$10:$AE$214,MATCH(CONCATENATE(РАСЧЕТ!B23,"/",РАСЧЕТ!D23,"/",РАСЧЕТ!E23,"/",F23,"/",H25),'Ведомость расчета мин. платы'!$AE$10:$AE$214,0),4),"")</f>
        <v/>
      </c>
      <c r="L25" s="248">
        <f t="shared" si="4"/>
        <v>0</v>
      </c>
      <c r="M25" s="214" t="str">
        <f>IFERROR(INDEX('Ведомость расчета мин. платы'!$J$10:$AE$214,MATCH(CONCATENATE(РАСЧЕТ!B23,"/",РАСЧЕТ!D23,"/",РАСЧЕТ!E23,"/",F23,"/",H25),'Ведомость расчета мин. платы'!$AE$10:$AE$214,0),6),"")</f>
        <v/>
      </c>
      <c r="N25" s="214">
        <f t="shared" si="5"/>
        <v>0</v>
      </c>
      <c r="O25" s="229">
        <f t="shared" si="7"/>
        <v>1</v>
      </c>
      <c r="P25" s="230">
        <f t="shared" si="8"/>
        <v>0</v>
      </c>
      <c r="AP25" s="242"/>
      <c r="AQ25" s="253"/>
    </row>
    <row r="26" spans="1:43" x14ac:dyDescent="0.2">
      <c r="B26" s="249"/>
      <c r="C26" s="249"/>
      <c r="D26" s="249"/>
      <c r="E26" s="249"/>
      <c r="F26" s="249"/>
      <c r="G26" s="249"/>
      <c r="H26" s="250" t="s">
        <v>475</v>
      </c>
      <c r="I26" s="251" t="str">
        <f ca="1">IFERROR(ROUND(I25*I18,2),"")</f>
        <v/>
      </c>
      <c r="J26" s="251" t="str">
        <f t="shared" ref="J26:M26" ca="1" si="10">IFERROR(ROUND(J25*J18,2),"")</f>
        <v/>
      </c>
      <c r="K26" s="251" t="str">
        <f t="shared" ca="1" si="10"/>
        <v/>
      </c>
      <c r="L26" s="251">
        <f t="shared" ca="1" si="4"/>
        <v>0</v>
      </c>
      <c r="M26" s="251" t="str">
        <f t="shared" ca="1" si="10"/>
        <v/>
      </c>
      <c r="N26" s="252">
        <f t="shared" ca="1" si="5"/>
        <v>0</v>
      </c>
      <c r="O26" s="229" t="str">
        <f t="shared" si="7"/>
        <v/>
      </c>
      <c r="P26" s="230">
        <f t="shared" si="8"/>
        <v>0</v>
      </c>
      <c r="AP26" s="242">
        <f>SUMIFS('Ведомость расчета мин. платы'!$S$10:$S$209,'Ведомость расчета мин. платы'!$AE$10:$AE$209,CONCATENATE(B23,"/",D23,"/",E23,"/",F23,"/",H25))</f>
        <v>0</v>
      </c>
      <c r="AQ26" s="253">
        <f t="shared" ref="AQ26" ca="1" si="11">AP26-N26</f>
        <v>0</v>
      </c>
    </row>
    <row r="27" spans="1:43" x14ac:dyDescent="0.2">
      <c r="B27" s="249"/>
      <c r="C27" s="249"/>
      <c r="D27" s="249"/>
      <c r="E27" s="249"/>
      <c r="F27" s="249"/>
      <c r="G27" s="249"/>
      <c r="H27" s="205" t="s">
        <v>19</v>
      </c>
      <c r="I27" s="248">
        <f>IFERROR(INDEX('Ведомость расчета мин. платы'!$J$10:$AE$214,MATCH(CONCATENATE(РАСЧЕТ!B23,"/",РАСЧЕТ!D23,"/",РАСЧЕТ!E23,"/",F23,"/",H27),'Ведомость расчета мин. платы'!$AE$10:$AE$214,0),2),"")</f>
        <v>23.45</v>
      </c>
      <c r="J27" s="248">
        <f>IFERROR(INDEX('Ведомость расчета мин. платы'!$J$10:$AE$214,MATCH(CONCATENATE(РАСЧЕТ!B23,"/",РАСЧЕТ!D23,"/",РАСЧЕТ!E23,"/",F23,"/",H27),'Ведомость расчета мин. платы'!$AE$10:$AE$214,0),3),"")</f>
        <v>74.849999999999994</v>
      </c>
      <c r="K27" s="248">
        <f>IFERROR(INDEX('Ведомость расчета мин. платы'!$J$10:$AE$214,MATCH(CONCATENATE(РАСЧЕТ!B23,"/",РАСЧЕТ!D23,"/",РАСЧЕТ!E23,"/",F23,"/",H27),'Ведомость расчета мин. платы'!$AE$10:$AE$214,0),4),"")</f>
        <v>8.68</v>
      </c>
      <c r="L27" s="248">
        <f t="shared" si="4"/>
        <v>106.97999999999999</v>
      </c>
      <c r="M27" s="248">
        <f>IFERROR(INDEX('Ведомость расчета мин. платы'!$J$10:$AE$214,MATCH(CONCATENATE(РАСЧЕТ!B23,"/",РАСЧЕТ!D23,"/",РАСЧЕТ!E23,"/",F23,"/",H27),'Ведомость расчета мин. платы'!$AE$10:$AE$214,0),6),"")</f>
        <v>147.19</v>
      </c>
      <c r="N27" s="214">
        <f t="shared" si="5"/>
        <v>254.17</v>
      </c>
      <c r="O27" s="229">
        <f t="shared" si="7"/>
        <v>1</v>
      </c>
      <c r="P27" s="230">
        <f t="shared" si="8"/>
        <v>0</v>
      </c>
      <c r="AP27" s="242"/>
      <c r="AQ27" s="253"/>
    </row>
    <row r="28" spans="1:43" x14ac:dyDescent="0.2">
      <c r="B28" s="249"/>
      <c r="C28" s="249"/>
      <c r="D28" s="249"/>
      <c r="E28" s="249"/>
      <c r="F28" s="249"/>
      <c r="G28" s="249"/>
      <c r="H28" s="250" t="s">
        <v>475</v>
      </c>
      <c r="I28" s="251">
        <f ca="1">IFERROR(ROUND(I27*I19,2),"")</f>
        <v>1673.16</v>
      </c>
      <c r="J28" s="251">
        <f t="shared" ref="J28:M28" ca="1" si="12">IFERROR(ROUND(J27*J19,2),"")</f>
        <v>3887.71</v>
      </c>
      <c r="K28" s="251">
        <f t="shared" ca="1" si="12"/>
        <v>230.37</v>
      </c>
      <c r="L28" s="251">
        <f t="shared" ca="1" si="4"/>
        <v>5791.24</v>
      </c>
      <c r="M28" s="251">
        <f t="shared" ca="1" si="12"/>
        <v>210.48</v>
      </c>
      <c r="N28" s="252">
        <f t="shared" ca="1" si="5"/>
        <v>6001.7199999999993</v>
      </c>
      <c r="O28" s="229" t="str">
        <f t="shared" si="7"/>
        <v/>
      </c>
      <c r="P28" s="230">
        <f t="shared" si="8"/>
        <v>0</v>
      </c>
      <c r="AP28" s="242">
        <f>SUMIFS('Ведомость расчета мин. платы'!$S$10:$S$209,'Ведомость расчета мин. платы'!$AE$10:$AE$209,CONCATENATE(B23,"/",D23,"/",E23,"/",F23,"/",H27))</f>
        <v>6001.72</v>
      </c>
      <c r="AQ28" s="253">
        <f t="shared" ref="AQ28" ca="1" si="13">AP28-N28</f>
        <v>0</v>
      </c>
    </row>
    <row r="29" spans="1:43" x14ac:dyDescent="0.2">
      <c r="B29" s="249"/>
      <c r="C29" s="249"/>
      <c r="D29" s="249"/>
      <c r="E29" s="249"/>
      <c r="F29" s="249"/>
      <c r="G29" s="249"/>
      <c r="H29" s="205" t="s">
        <v>268</v>
      </c>
      <c r="I29" s="248" t="str">
        <f>IFERROR(INDEX('Ведомость расчета мин. платы'!$J$10:$AE$214,MATCH(CONCATENATE(РАСЧЕТ!B23,"/",РАСЧЕТ!D23,"/",РАСЧЕТ!E23,"/",F23,"/",H29),'Ведомость расчета мин. платы'!$AE$10:$AE$214,0),2),"")</f>
        <v/>
      </c>
      <c r="J29" s="248" t="str">
        <f>IFERROR(INDEX('Ведомость расчета мин. платы'!$J$10:$AE$214,MATCH(CONCATENATE(РАСЧЕТ!B23,"/",РАСЧЕТ!D23,"/",РАСЧЕТ!E23,"/",F23,"/",H29),'Ведомость расчета мин. платы'!$AE$10:$AE$214,0),3),"")</f>
        <v/>
      </c>
      <c r="K29" s="248" t="str">
        <f>IFERROR(INDEX('Ведомость расчета мин. платы'!$J$10:$AE$214,MATCH(CONCATENATE(РАСЧЕТ!B23,"/",РАСЧЕТ!D23,"/",РАСЧЕТ!E23,"/",F23,"/",H29),'Ведомость расчета мин. платы'!$AE$10:$AE$214,0),4),"")</f>
        <v/>
      </c>
      <c r="L29" s="248">
        <f t="shared" si="4"/>
        <v>0</v>
      </c>
      <c r="M29" s="248" t="str">
        <f>IFERROR(INDEX('Ведомость расчета мин. платы'!$J$10:$AE$214,MATCH(CONCATENATE(РАСЧЕТ!B23,"/",РАСЧЕТ!D23,"/",РАСЧЕТ!E23,"/",F23,"/",H29),'Ведомость расчета мин. платы'!$AE$10:$AE$214,0),6),"")</f>
        <v/>
      </c>
      <c r="N29" s="214">
        <f t="shared" si="5"/>
        <v>0</v>
      </c>
      <c r="O29" s="229">
        <f t="shared" si="7"/>
        <v>1</v>
      </c>
      <c r="AP29" s="242"/>
      <c r="AQ29" s="253"/>
    </row>
    <row r="30" spans="1:43" x14ac:dyDescent="0.2">
      <c r="B30" s="249"/>
      <c r="C30" s="249"/>
      <c r="D30" s="249"/>
      <c r="E30" s="249"/>
      <c r="F30" s="249"/>
      <c r="G30" s="249"/>
      <c r="H30" s="250" t="s">
        <v>475</v>
      </c>
      <c r="I30" s="251" t="str">
        <f ca="1">IFERROR(ROUND(I29*I22,2),"")</f>
        <v/>
      </c>
      <c r="J30" s="251" t="str">
        <f ca="1">IFERROR(ROUND(J29*J20,2),"")</f>
        <v/>
      </c>
      <c r="K30" s="251" t="str">
        <f ca="1">IFERROR(ROUND(K29*K20,2),"")</f>
        <v/>
      </c>
      <c r="L30" s="251">
        <f t="shared" ca="1" si="4"/>
        <v>0</v>
      </c>
      <c r="M30" s="251" t="str">
        <f ca="1">IFERROR(ROUND(M29*M20,2),"")</f>
        <v/>
      </c>
      <c r="N30" s="252">
        <f t="shared" ca="1" si="5"/>
        <v>0</v>
      </c>
      <c r="O30" s="229" t="str">
        <f t="shared" si="7"/>
        <v/>
      </c>
      <c r="AP30" s="242">
        <f>SUMIFS('Ведомость расчета мин. платы'!$S$10:$S$209,'Ведомость расчета мин. платы'!$AE$10:$AE$209,CONCATENATE(B23,"/",D23,"/",E23,"/",F23,"/",H29))</f>
        <v>0</v>
      </c>
      <c r="AQ30" s="253">
        <f t="shared" ref="AQ30" ca="1" si="14">AP30-N30</f>
        <v>0</v>
      </c>
    </row>
    <row r="31" spans="1:43" x14ac:dyDescent="0.2">
      <c r="B31" s="249"/>
      <c r="C31" s="249"/>
      <c r="D31" s="249"/>
      <c r="E31" s="249"/>
      <c r="F31" s="249"/>
      <c r="G31" s="249"/>
      <c r="H31" s="205" t="s">
        <v>40</v>
      </c>
      <c r="I31" s="248" t="str">
        <f>IFERROR(INDEX('Ведомость расчета мин. платы'!$J$10:$AE$214,MATCH(CONCATENATE(РАСЧЕТ!B23,"/",РАСЧЕТ!D23,"/",РАСЧЕТ!E23,"/",F23,"/",H31),'Ведомость расчета мин. платы'!$AE$10:$AE$214,0),2),"")</f>
        <v/>
      </c>
      <c r="J31" s="248" t="str">
        <f>IFERROR(INDEX('Ведомость расчета мин. платы'!$J$10:$AE$214,MATCH(CONCATENATE(РАСЧЕТ!B23,"/",РАСЧЕТ!D23,"/",РАСЧЕТ!E23,"/",F23,"/",H31),'Ведомость расчета мин. платы'!$AE$10:$AE$214,0),3),"")</f>
        <v/>
      </c>
      <c r="K31" s="248" t="str">
        <f>IFERROR(INDEX('Ведомость расчета мин. платы'!$J$10:$AE$214,MATCH(CONCATENATE(РАСЧЕТ!B23,"/",РАСЧЕТ!D23,"/",РАСЧЕТ!E23,"/",F23,"/",H31),'Ведомость расчета мин. платы'!$AE$10:$AE$214,0),4),"")</f>
        <v/>
      </c>
      <c r="L31" s="248">
        <f t="shared" si="4"/>
        <v>0</v>
      </c>
      <c r="M31" s="248" t="str">
        <f>IFERROR(INDEX('Ведомость расчета мин. платы'!$J$10:$AE$214,MATCH(CONCATENATE(РАСЧЕТ!B23,"/",РАСЧЕТ!D23,"/",РАСЧЕТ!E23,"/",F23,"/",H31),'Ведомость расчета мин. платы'!$AE$10:$AE$214,0),6),"")</f>
        <v/>
      </c>
      <c r="N31" s="214">
        <f t="shared" si="5"/>
        <v>0</v>
      </c>
      <c r="O31" s="229">
        <f t="shared" si="7"/>
        <v>1</v>
      </c>
      <c r="P31" s="230">
        <f t="shared" si="8"/>
        <v>0</v>
      </c>
      <c r="AP31" s="242"/>
      <c r="AQ31" s="253"/>
    </row>
    <row r="32" spans="1:43" x14ac:dyDescent="0.2">
      <c r="B32" s="249"/>
      <c r="C32" s="249"/>
      <c r="D32" s="249"/>
      <c r="E32" s="249"/>
      <c r="F32" s="249"/>
      <c r="G32" s="249"/>
      <c r="H32" s="250" t="s">
        <v>475</v>
      </c>
      <c r="I32" s="251" t="str">
        <f ca="1">IFERROR(ROUND(I31*I21,2),"")</f>
        <v/>
      </c>
      <c r="J32" s="251" t="str">
        <f t="shared" ref="J32:M32" ca="1" si="15">IFERROR(ROUND(J31*J21,2),"")</f>
        <v/>
      </c>
      <c r="K32" s="251" t="str">
        <f t="shared" ca="1" si="15"/>
        <v/>
      </c>
      <c r="L32" s="251">
        <f t="shared" ca="1" si="4"/>
        <v>0</v>
      </c>
      <c r="M32" s="251" t="str">
        <f t="shared" ca="1" si="15"/>
        <v/>
      </c>
      <c r="N32" s="252">
        <f t="shared" ca="1" si="5"/>
        <v>0</v>
      </c>
      <c r="O32" s="229" t="str">
        <f t="shared" si="7"/>
        <v/>
      </c>
      <c r="P32" s="230">
        <f t="shared" si="8"/>
        <v>0</v>
      </c>
      <c r="AP32" s="242">
        <f>SUMIFS('Ведомость расчета мин. платы'!$S$10:$S$209,'Ведомость расчета мин. платы'!$AE$10:$AE$209,CONCATENATE(B23,"/",D23,"/",E23,"/",F23,"/",H31))</f>
        <v>0</v>
      </c>
      <c r="AQ32" s="253">
        <f t="shared" ref="AQ32" ca="1" si="16">AP32-N32</f>
        <v>0</v>
      </c>
    </row>
    <row r="33" spans="1:43" x14ac:dyDescent="0.2">
      <c r="B33" s="249"/>
      <c r="C33" s="249"/>
      <c r="D33" s="249"/>
      <c r="E33" s="249"/>
      <c r="F33" s="249"/>
      <c r="G33" s="249"/>
      <c r="H33" s="205" t="s">
        <v>18</v>
      </c>
      <c r="I33" s="248">
        <f>IFERROR(INDEX('Ведомость расчета мин. платы'!$J$10:$AE$214,MATCH(CONCATENATE(РАСЧЕТ!B23,"/",РАСЧЕТ!D23,"/",РАСЧЕТ!E23,"/",F23,"/",H33),'Ведомость расчета мин. платы'!$AE$10:$AE$214,0),2),"")</f>
        <v>882.9</v>
      </c>
      <c r="J33" s="248">
        <f>IFERROR(INDEX('Ведомость расчета мин. платы'!$J$10:$AE$214,MATCH(CONCATENATE(РАСЧЕТ!B23,"/",РАСЧЕТ!D23,"/",РАСЧЕТ!E23,"/",F23,"/",H33),'Ведомость расчета мин. платы'!$AE$10:$AE$214,0),3),"")</f>
        <v>372.8</v>
      </c>
      <c r="K33" s="248">
        <f>IFERROR(INDEX('Ведомость расчета мин. платы'!$J$10:$AE$214,MATCH(CONCATENATE(РАСЧЕТ!B23,"/",РАСЧЕТ!D23,"/",РАСЧЕТ!E23,"/",F23,"/",H33),'Ведомость расчета мин. платы'!$AE$10:$AE$214,0),4),"")</f>
        <v>13.8</v>
      </c>
      <c r="L33" s="248">
        <f t="shared" si="4"/>
        <v>1269.5</v>
      </c>
      <c r="M33" s="248">
        <f>IFERROR(INDEX('Ведомость расчета мин. платы'!$J$10:$AE$214,MATCH(CONCATENATE(РАСЧЕТ!B23,"/",РАСЧЕТ!D23,"/",РАСЧЕТ!E23,"/",F23,"/",H33),'Ведомость расчета мин. платы'!$AE$10:$AE$214,0),6),"")</f>
        <v>845.6</v>
      </c>
      <c r="N33" s="214">
        <f t="shared" si="5"/>
        <v>2115.1</v>
      </c>
      <c r="O33" s="229">
        <f t="shared" si="7"/>
        <v>1</v>
      </c>
      <c r="P33" s="230">
        <f t="shared" si="8"/>
        <v>0</v>
      </c>
      <c r="AP33" s="242"/>
      <c r="AQ33" s="253"/>
    </row>
    <row r="34" spans="1:43" x14ac:dyDescent="0.2">
      <c r="B34" s="249"/>
      <c r="C34" s="249"/>
      <c r="D34" s="249"/>
      <c r="E34" s="249"/>
      <c r="F34" s="249"/>
      <c r="G34" s="249"/>
      <c r="H34" s="250" t="s">
        <v>475</v>
      </c>
      <c r="I34" s="251">
        <f ca="1">IFERROR(ROUND(I33*I22,2),"")</f>
        <v>20156.61</v>
      </c>
      <c r="J34" s="251">
        <f t="shared" ref="J34:K34" ca="1" si="17">IFERROR(ROUND(J33*J22,2),"")</f>
        <v>6490.45</v>
      </c>
      <c r="K34" s="251">
        <f t="shared" ca="1" si="17"/>
        <v>122.13</v>
      </c>
      <c r="L34" s="251">
        <f t="shared" ca="1" si="4"/>
        <v>26769.190000000002</v>
      </c>
      <c r="M34" s="251">
        <v>482</v>
      </c>
      <c r="N34" s="252">
        <f t="shared" ca="1" si="5"/>
        <v>27251.190000000002</v>
      </c>
      <c r="O34" s="229" t="str">
        <f t="shared" si="7"/>
        <v/>
      </c>
      <c r="P34" s="230">
        <f t="shared" si="8"/>
        <v>0</v>
      </c>
      <c r="AP34" s="242">
        <f>SUMIFS('Ведомость расчета мин. платы'!$S$10:$S$209,'Ведомость расчета мин. платы'!$AE$10:$AE$209,CONCATENATE(B23,"/",D23,"/",E23,"/",F23,"/",H33))</f>
        <v>27251.19</v>
      </c>
      <c r="AQ34" s="253">
        <f t="shared" ref="AQ34" ca="1" si="18">AP34-N34</f>
        <v>0</v>
      </c>
    </row>
    <row r="35" spans="1:43" x14ac:dyDescent="0.2">
      <c r="B35" s="249"/>
      <c r="C35" s="249"/>
      <c r="D35" s="249"/>
      <c r="E35" s="249"/>
      <c r="F35" s="249"/>
      <c r="G35" s="249"/>
      <c r="H35" s="254" t="s">
        <v>476</v>
      </c>
      <c r="I35" s="251">
        <f ca="1">SUMIF($O23:$O36,1,I23:I34)</f>
        <v>982.05</v>
      </c>
      <c r="J35" s="251">
        <f ca="1">SUMIF($O23:$O36,1,J23:J34)</f>
        <v>515.75</v>
      </c>
      <c r="K35" s="251">
        <f ca="1">SUMIF($O23:$O36,1,K23:K34)</f>
        <v>24.28</v>
      </c>
      <c r="L35" s="251">
        <f t="shared" ca="1" si="4"/>
        <v>1522.08</v>
      </c>
      <c r="M35" s="251">
        <f ca="1">SUMIF($O23:$O36,1,M23:M34)</f>
        <v>1096.69</v>
      </c>
      <c r="N35" s="252">
        <f t="shared" ca="1" si="5"/>
        <v>2618.77</v>
      </c>
      <c r="P35" s="230">
        <f t="shared" si="8"/>
        <v>0</v>
      </c>
      <c r="AP35" s="242"/>
      <c r="AQ35" s="253"/>
    </row>
    <row r="36" spans="1:43" x14ac:dyDescent="0.2">
      <c r="B36" s="249"/>
      <c r="C36" s="249"/>
      <c r="D36" s="249"/>
      <c r="E36" s="249"/>
      <c r="F36" s="249"/>
      <c r="G36" s="249"/>
      <c r="H36" s="254" t="s">
        <v>491</v>
      </c>
      <c r="I36" s="251">
        <f ca="1">SUMIF(H23:H34,"стоимость",I23:I34)</f>
        <v>30925.13</v>
      </c>
      <c r="J36" s="251">
        <f ca="1">SUMIF(H23:H34,"стоимость",J23:J34)</f>
        <v>16208.880000000001</v>
      </c>
      <c r="K36" s="251">
        <f ca="1">SUMIF(H23:H34,"стоимость",K23:K34)</f>
        <v>430.58</v>
      </c>
      <c r="L36" s="251">
        <f ca="1">IFERROR(SUM(I36:K36),"")</f>
        <v>47564.590000000004</v>
      </c>
      <c r="M36" s="251">
        <f ca="1">SUMIF(H23:H34,"стоимость",M23:M34)</f>
        <v>1404.2</v>
      </c>
      <c r="N36" s="252">
        <f ca="1">IFERROR(SUM(L36:M36),"")</f>
        <v>48968.79</v>
      </c>
      <c r="P36" s="230">
        <f t="shared" si="8"/>
        <v>0</v>
      </c>
      <c r="AP36" s="242">
        <f>SUMIFS('Ведомость расчета мин. платы'!$S$10:$S$209,'Ведомость расчета мин. платы'!$J$10:$J$209,"Итого",'Ведомость расчета мин. платы'!$AC$10:$AC$209,CONCATENATE(B23,"/",D23,"/",E23,"/",F23))</f>
        <v>48968.789999999994</v>
      </c>
      <c r="AQ36" s="253">
        <f ca="1">AP36-N36</f>
        <v>0</v>
      </c>
    </row>
    <row r="37" spans="1:43" x14ac:dyDescent="0.2">
      <c r="B37" s="255"/>
      <c r="C37" s="255"/>
      <c r="D37" s="255"/>
      <c r="E37" s="255"/>
      <c r="F37" s="255"/>
      <c r="G37" s="256"/>
      <c r="H37" s="257"/>
      <c r="I37" s="258"/>
      <c r="J37" s="258"/>
      <c r="K37" s="258"/>
      <c r="L37" s="258"/>
      <c r="M37" s="258"/>
      <c r="N37" s="258"/>
      <c r="P37" s="230">
        <f t="shared" si="8"/>
        <v>0</v>
      </c>
    </row>
    <row r="38" spans="1:43" x14ac:dyDescent="0.2">
      <c r="B38" s="282" t="s">
        <v>477</v>
      </c>
      <c r="C38" s="282"/>
      <c r="D38" s="282"/>
      <c r="E38" s="282"/>
      <c r="F38" s="259"/>
      <c r="G38" s="225"/>
      <c r="H38" s="201"/>
      <c r="I38" s="226"/>
      <c r="J38" s="258"/>
      <c r="K38" s="258"/>
      <c r="L38" s="258"/>
      <c r="M38" s="258"/>
      <c r="N38" s="258"/>
      <c r="P38" s="230">
        <f t="shared" si="8"/>
        <v>0</v>
      </c>
    </row>
    <row r="39" spans="1:43" s="262" customFormat="1" x14ac:dyDescent="0.2">
      <c r="A39" s="260"/>
      <c r="B39" s="283" t="s">
        <v>525</v>
      </c>
      <c r="C39" s="283"/>
      <c r="D39" s="283"/>
      <c r="E39" s="283"/>
      <c r="F39" s="283"/>
      <c r="G39" s="283"/>
      <c r="H39" s="283"/>
      <c r="I39" s="283"/>
      <c r="J39" s="261"/>
      <c r="K39" s="261"/>
      <c r="L39" s="261"/>
      <c r="M39" s="261"/>
      <c r="N39" s="261"/>
      <c r="P39" s="230">
        <f t="shared" si="8"/>
        <v>0</v>
      </c>
      <c r="AP39" s="263"/>
      <c r="AQ39" s="263"/>
    </row>
    <row r="40" spans="1:43" x14ac:dyDescent="0.2">
      <c r="B40" s="284" t="s">
        <v>478</v>
      </c>
      <c r="C40" s="284"/>
      <c r="D40" s="284"/>
      <c r="E40" s="284"/>
      <c r="F40" s="284"/>
      <c r="G40" s="284"/>
      <c r="H40" s="284"/>
      <c r="I40" s="284"/>
      <c r="J40" s="258"/>
      <c r="K40" s="258"/>
      <c r="L40" s="258"/>
      <c r="M40" s="258"/>
      <c r="N40" s="258"/>
      <c r="P40" s="230">
        <f t="shared" si="8"/>
        <v>0</v>
      </c>
    </row>
    <row r="41" spans="1:43" x14ac:dyDescent="0.2">
      <c r="B41" s="284" t="s">
        <v>479</v>
      </c>
      <c r="C41" s="284"/>
      <c r="D41" s="284"/>
      <c r="E41" s="284"/>
      <c r="F41" s="284"/>
      <c r="G41" s="284"/>
      <c r="H41" s="284"/>
      <c r="I41" s="284"/>
      <c r="J41" s="258"/>
      <c r="K41" s="258"/>
      <c r="L41" s="258"/>
      <c r="M41" s="258"/>
      <c r="N41" s="258"/>
      <c r="P41" s="230">
        <f t="shared" si="8"/>
        <v>0</v>
      </c>
    </row>
    <row r="42" spans="1:43" x14ac:dyDescent="0.2">
      <c r="B42" s="284" t="s">
        <v>480</v>
      </c>
      <c r="C42" s="284"/>
      <c r="D42" s="284"/>
      <c r="E42" s="284"/>
      <c r="F42" s="284"/>
      <c r="G42" s="284"/>
      <c r="H42" s="284"/>
      <c r="I42" s="284"/>
      <c r="J42" s="258"/>
      <c r="K42" s="258"/>
      <c r="L42" s="258"/>
      <c r="M42" s="258"/>
      <c r="N42" s="258"/>
      <c r="P42" s="230">
        <f t="shared" si="8"/>
        <v>0</v>
      </c>
    </row>
    <row r="43" spans="1:43" x14ac:dyDescent="0.2">
      <c r="B43" s="284" t="s">
        <v>481</v>
      </c>
      <c r="C43" s="284"/>
      <c r="D43" s="284"/>
      <c r="E43" s="284"/>
      <c r="F43" s="284"/>
      <c r="G43" s="284"/>
      <c r="H43" s="284"/>
      <c r="I43" s="284"/>
      <c r="J43" s="226"/>
      <c r="K43" s="226"/>
      <c r="L43" s="226"/>
      <c r="M43" s="226"/>
      <c r="N43" s="226"/>
      <c r="P43" s="230">
        <f t="shared" si="8"/>
        <v>0</v>
      </c>
    </row>
    <row r="44" spans="1:43" x14ac:dyDescent="0.2">
      <c r="B44" s="284" t="s">
        <v>482</v>
      </c>
      <c r="C44" s="284"/>
      <c r="D44" s="284"/>
      <c r="E44" s="284"/>
      <c r="F44" s="284"/>
      <c r="G44" s="284"/>
      <c r="H44" s="284"/>
      <c r="I44" s="284"/>
      <c r="J44" s="226"/>
      <c r="K44" s="226"/>
      <c r="L44" s="226"/>
      <c r="M44" s="226"/>
      <c r="N44" s="226"/>
      <c r="P44" s="230">
        <f t="shared" si="8"/>
        <v>0</v>
      </c>
    </row>
    <row r="45" spans="1:43" x14ac:dyDescent="0.2">
      <c r="B45" s="284" t="s">
        <v>483</v>
      </c>
      <c r="C45" s="284"/>
      <c r="D45" s="284"/>
      <c r="E45" s="284"/>
      <c r="F45" s="284"/>
      <c r="G45" s="284"/>
      <c r="H45" s="284"/>
      <c r="I45" s="284"/>
      <c r="J45" s="226"/>
      <c r="K45" s="226"/>
      <c r="L45" s="226"/>
      <c r="M45" s="226"/>
      <c r="N45" s="226"/>
      <c r="P45" s="230">
        <f t="shared" si="8"/>
        <v>0</v>
      </c>
    </row>
    <row r="46" spans="1:43" x14ac:dyDescent="0.2">
      <c r="B46" s="284" t="s">
        <v>484</v>
      </c>
      <c r="C46" s="284"/>
      <c r="D46" s="284"/>
      <c r="E46" s="284"/>
      <c r="F46" s="284"/>
      <c r="G46" s="284"/>
      <c r="H46" s="284"/>
      <c r="I46" s="284"/>
      <c r="J46" s="226"/>
      <c r="K46" s="226"/>
      <c r="L46" s="226"/>
      <c r="M46" s="226"/>
      <c r="N46" s="226"/>
      <c r="P46" s="230">
        <f t="shared" si="8"/>
        <v>0</v>
      </c>
    </row>
    <row r="47" spans="1:43" x14ac:dyDescent="0.2">
      <c r="B47" s="264"/>
      <c r="C47" s="264"/>
      <c r="D47" s="264"/>
      <c r="E47" s="264"/>
      <c r="F47" s="264"/>
      <c r="G47" s="264"/>
      <c r="H47" s="264"/>
      <c r="I47" s="265"/>
      <c r="J47" s="226"/>
      <c r="K47" s="226"/>
      <c r="L47" s="226"/>
      <c r="M47" s="226"/>
      <c r="N47" s="226"/>
      <c r="P47" s="230">
        <f t="shared" si="8"/>
        <v>0</v>
      </c>
    </row>
    <row r="48" spans="1:43" x14ac:dyDescent="0.2">
      <c r="B48" s="225" t="s">
        <v>485</v>
      </c>
      <c r="C48" s="225"/>
      <c r="D48" s="225"/>
      <c r="E48" s="225"/>
      <c r="F48" s="225"/>
      <c r="G48" s="225"/>
      <c r="H48" s="201"/>
      <c r="I48" s="226"/>
      <c r="J48" s="226" t="s">
        <v>486</v>
      </c>
      <c r="K48" s="226"/>
      <c r="L48" s="226"/>
      <c r="M48" s="226"/>
      <c r="N48" s="226"/>
      <c r="P48" s="230">
        <f t="shared" si="8"/>
        <v>0</v>
      </c>
    </row>
    <row r="49" spans="2:16" x14ac:dyDescent="0.2">
      <c r="B49" s="266" t="s">
        <v>524</v>
      </c>
      <c r="C49" s="266"/>
      <c r="D49" s="225"/>
      <c r="E49" s="225"/>
      <c r="F49" s="225"/>
      <c r="G49" s="225"/>
      <c r="H49" s="201"/>
      <c r="I49" s="226"/>
      <c r="J49" s="267"/>
      <c r="K49" s="267"/>
      <c r="L49" s="267"/>
      <c r="M49" s="226"/>
      <c r="N49" s="226"/>
      <c r="P49" s="230">
        <f t="shared" si="8"/>
        <v>0</v>
      </c>
    </row>
    <row r="50" spans="2:16" x14ac:dyDescent="0.2">
      <c r="B50" s="268" t="s">
        <v>487</v>
      </c>
      <c r="C50" s="225"/>
      <c r="D50" s="225"/>
      <c r="E50" s="225"/>
      <c r="F50" s="225"/>
      <c r="G50" s="225"/>
      <c r="H50" s="201"/>
      <c r="I50" s="226"/>
      <c r="J50" s="226" t="s">
        <v>487</v>
      </c>
      <c r="K50" s="226"/>
      <c r="L50" s="226"/>
      <c r="M50" s="226"/>
      <c r="N50" s="226"/>
      <c r="P50" s="230">
        <f t="shared" si="8"/>
        <v>0</v>
      </c>
    </row>
    <row r="51" spans="2:16" x14ac:dyDescent="0.2">
      <c r="B51" s="225"/>
      <c r="C51" s="225"/>
      <c r="D51" s="225"/>
      <c r="E51" s="225"/>
      <c r="F51" s="225"/>
      <c r="G51" s="225"/>
      <c r="H51" s="201"/>
      <c r="I51" s="226"/>
      <c r="J51" s="226"/>
      <c r="K51" s="226"/>
      <c r="L51" s="226"/>
      <c r="M51" s="226"/>
      <c r="N51" s="226"/>
      <c r="P51" s="230">
        <f t="shared" si="8"/>
        <v>0</v>
      </c>
    </row>
    <row r="52" spans="2:16" x14ac:dyDescent="0.2">
      <c r="B52" s="266"/>
      <c r="C52" s="266"/>
      <c r="D52" s="225"/>
      <c r="E52" s="225"/>
      <c r="F52" s="225"/>
      <c r="G52" s="225"/>
      <c r="H52" s="201"/>
      <c r="I52" s="226"/>
      <c r="J52" s="267"/>
      <c r="K52" s="267"/>
      <c r="L52" s="267"/>
      <c r="M52" s="226"/>
      <c r="N52" s="226"/>
      <c r="P52" s="230">
        <f t="shared" si="8"/>
        <v>0</v>
      </c>
    </row>
    <row r="53" spans="2:16" x14ac:dyDescent="0.2">
      <c r="B53" s="269" t="s">
        <v>488</v>
      </c>
      <c r="C53" s="225"/>
      <c r="D53" s="225"/>
      <c r="E53" s="225"/>
      <c r="F53" s="225"/>
      <c r="G53" s="225"/>
      <c r="H53" s="201"/>
      <c r="I53" s="226"/>
      <c r="J53" s="285" t="s">
        <v>488</v>
      </c>
      <c r="K53" s="285"/>
      <c r="L53" s="285"/>
      <c r="M53" s="226"/>
      <c r="N53" s="226"/>
      <c r="P53" s="230">
        <f t="shared" si="8"/>
        <v>0</v>
      </c>
    </row>
    <row r="54" spans="2:16" x14ac:dyDescent="0.2">
      <c r="B54" s="225"/>
      <c r="C54" s="225"/>
      <c r="D54" s="225"/>
      <c r="E54" s="225"/>
      <c r="F54" s="225"/>
      <c r="G54" s="225"/>
      <c r="H54" s="201"/>
      <c r="I54" s="226"/>
      <c r="J54" s="226"/>
      <c r="K54" s="226"/>
      <c r="L54" s="226"/>
      <c r="M54" s="226"/>
      <c r="N54" s="226"/>
      <c r="P54" s="230">
        <f t="shared" si="8"/>
        <v>0</v>
      </c>
    </row>
    <row r="55" spans="2:16" x14ac:dyDescent="0.2">
      <c r="B55" s="264" t="s">
        <v>489</v>
      </c>
      <c r="C55" s="225"/>
      <c r="D55" s="225"/>
      <c r="E55" s="225"/>
      <c r="F55" s="225"/>
      <c r="G55" s="225"/>
      <c r="H55" s="201"/>
      <c r="I55" s="226"/>
      <c r="J55" s="226" t="s">
        <v>489</v>
      </c>
      <c r="K55" s="226"/>
      <c r="L55" s="226"/>
      <c r="M55" s="226"/>
      <c r="N55" s="226"/>
      <c r="P55" s="230">
        <f t="shared" si="8"/>
        <v>0</v>
      </c>
    </row>
    <row r="56" spans="2:16" x14ac:dyDescent="0.2">
      <c r="P56" s="230">
        <f t="shared" si="8"/>
        <v>0</v>
      </c>
    </row>
    <row r="57" spans="2:16" x14ac:dyDescent="0.2">
      <c r="B57" s="225"/>
      <c r="C57" s="225"/>
      <c r="D57" s="225"/>
      <c r="E57" s="225"/>
      <c r="F57" s="225"/>
      <c r="G57" s="225"/>
      <c r="H57" s="201"/>
      <c r="I57" s="226"/>
      <c r="J57" s="226"/>
      <c r="K57" s="226"/>
      <c r="M57" s="226"/>
      <c r="N57" s="228" t="s">
        <v>455</v>
      </c>
      <c r="P57" s="230">
        <f t="shared" si="8"/>
        <v>0</v>
      </c>
    </row>
    <row r="58" spans="2:16" x14ac:dyDescent="0.2">
      <c r="B58" s="225"/>
      <c r="C58" s="225"/>
      <c r="D58" s="225"/>
      <c r="E58" s="225"/>
      <c r="F58" s="225"/>
      <c r="G58" s="225"/>
      <c r="H58" s="201"/>
      <c r="I58" s="226"/>
      <c r="J58" s="226"/>
      <c r="K58" s="226"/>
      <c r="M58" s="226"/>
      <c r="N58" s="228" t="s">
        <v>456</v>
      </c>
      <c r="P58" s="230">
        <f t="shared" si="8"/>
        <v>0</v>
      </c>
    </row>
    <row r="59" spans="2:16" x14ac:dyDescent="0.2">
      <c r="B59" s="225"/>
      <c r="C59" s="225"/>
      <c r="D59" s="225"/>
      <c r="E59" s="225"/>
      <c r="F59" s="225"/>
      <c r="G59" s="225"/>
      <c r="H59" s="201"/>
      <c r="I59" s="226"/>
      <c r="J59" s="226"/>
      <c r="K59" s="226"/>
      <c r="M59" s="226"/>
      <c r="N59" s="228" t="s">
        <v>457</v>
      </c>
      <c r="P59" s="230">
        <f t="shared" si="8"/>
        <v>0</v>
      </c>
    </row>
    <row r="60" spans="2:16" x14ac:dyDescent="0.2">
      <c r="B60" s="225"/>
      <c r="C60" s="225"/>
      <c r="D60" s="225"/>
      <c r="E60" s="225"/>
      <c r="F60" s="225"/>
      <c r="G60" s="225"/>
      <c r="H60" s="201"/>
      <c r="I60" s="226"/>
      <c r="J60" s="226"/>
      <c r="K60" s="226"/>
      <c r="L60" s="226"/>
      <c r="M60" s="226"/>
      <c r="N60" s="226"/>
      <c r="P60" s="230">
        <f t="shared" si="8"/>
        <v>0</v>
      </c>
    </row>
    <row r="61" spans="2:16" x14ac:dyDescent="0.2">
      <c r="B61" s="225"/>
      <c r="C61" s="286" t="s">
        <v>458</v>
      </c>
      <c r="D61" s="286"/>
      <c r="E61" s="286"/>
      <c r="F61" s="286"/>
      <c r="G61" s="286"/>
      <c r="H61" s="286"/>
      <c r="I61" s="286"/>
      <c r="J61" s="286"/>
      <c r="K61" s="286"/>
      <c r="L61" s="286"/>
      <c r="M61" s="226"/>
      <c r="N61" s="226"/>
      <c r="P61" s="230">
        <f t="shared" si="8"/>
        <v>0</v>
      </c>
    </row>
    <row r="62" spans="2:16" x14ac:dyDescent="0.2">
      <c r="B62" s="225"/>
      <c r="C62" s="286" t="s">
        <v>459</v>
      </c>
      <c r="D62" s="286"/>
      <c r="E62" s="286"/>
      <c r="F62" s="286"/>
      <c r="G62" s="286"/>
      <c r="H62" s="286"/>
      <c r="I62" s="286"/>
      <c r="J62" s="286"/>
      <c r="K62" s="286"/>
      <c r="L62" s="286"/>
      <c r="M62" s="226"/>
      <c r="N62" s="226"/>
      <c r="P62" s="230">
        <f t="shared" si="8"/>
        <v>0</v>
      </c>
    </row>
    <row r="63" spans="2:16" x14ac:dyDescent="0.2">
      <c r="B63" s="225" t="s">
        <v>460</v>
      </c>
      <c r="C63" s="234"/>
      <c r="D63" s="234"/>
      <c r="E63" s="234"/>
      <c r="F63" s="234"/>
      <c r="G63" s="234"/>
      <c r="H63" s="234"/>
      <c r="I63" s="235"/>
      <c r="J63" s="235"/>
      <c r="K63" s="235"/>
      <c r="L63" s="287" t="s">
        <v>461</v>
      </c>
      <c r="M63" s="287"/>
      <c r="N63" s="287"/>
      <c r="P63" s="230">
        <f t="shared" si="8"/>
        <v>0</v>
      </c>
    </row>
    <row r="64" spans="2:16" x14ac:dyDescent="0.2">
      <c r="B64" s="225"/>
      <c r="C64" s="234"/>
      <c r="D64" s="234"/>
      <c r="E64" s="234"/>
      <c r="F64" s="234"/>
      <c r="G64" s="234"/>
      <c r="H64" s="234"/>
      <c r="I64" s="235"/>
      <c r="J64" s="235"/>
      <c r="K64" s="235"/>
      <c r="L64" s="235"/>
      <c r="M64" s="235"/>
      <c r="N64" s="235"/>
      <c r="P64" s="230">
        <f t="shared" si="8"/>
        <v>0</v>
      </c>
    </row>
    <row r="65" spans="1:43" x14ac:dyDescent="0.2">
      <c r="B65" s="225" t="s">
        <v>2038</v>
      </c>
      <c r="C65" s="234"/>
      <c r="D65" s="234"/>
      <c r="E65" s="234"/>
      <c r="F65" s="234"/>
      <c r="G65" s="234"/>
      <c r="H65" s="234"/>
      <c r="I65" s="235"/>
      <c r="J65" s="235"/>
      <c r="K65" s="235"/>
      <c r="L65" s="235"/>
      <c r="M65" s="235"/>
      <c r="N65" s="235"/>
      <c r="P65" s="230">
        <f t="shared" si="8"/>
        <v>0</v>
      </c>
    </row>
    <row r="66" spans="1:43" x14ac:dyDescent="0.2">
      <c r="B66" s="225" t="s">
        <v>462</v>
      </c>
      <c r="C66" s="234"/>
      <c r="D66" s="234"/>
      <c r="E66" s="234"/>
      <c r="F66" s="234"/>
      <c r="G66" s="234"/>
      <c r="H66" s="234"/>
      <c r="I66" s="235"/>
      <c r="J66" s="235"/>
      <c r="K66" s="235"/>
      <c r="L66" s="235"/>
      <c r="M66" s="235"/>
      <c r="N66" s="235"/>
      <c r="P66" s="230">
        <f t="shared" si="8"/>
        <v>0</v>
      </c>
    </row>
    <row r="67" spans="1:43" x14ac:dyDescent="0.2">
      <c r="B67" s="225" t="s">
        <v>2037</v>
      </c>
      <c r="C67" s="234"/>
      <c r="D67" s="234"/>
      <c r="E67" s="234"/>
      <c r="F67" s="234"/>
      <c r="G67" s="234"/>
      <c r="H67" s="234"/>
      <c r="I67" s="235"/>
      <c r="J67" s="235"/>
      <c r="K67" s="235"/>
      <c r="L67" s="235"/>
      <c r="M67" s="235"/>
      <c r="N67" s="235"/>
      <c r="P67" s="230">
        <f t="shared" si="8"/>
        <v>0</v>
      </c>
    </row>
    <row r="68" spans="1:43" x14ac:dyDescent="0.2">
      <c r="B68" s="225" t="s">
        <v>2052</v>
      </c>
      <c r="C68" s="234"/>
      <c r="D68" s="234"/>
      <c r="E68" s="234"/>
      <c r="F68" s="234"/>
      <c r="G68" s="234"/>
      <c r="H68" s="234"/>
      <c r="I68" s="235"/>
      <c r="J68" s="235"/>
      <c r="K68" s="235"/>
      <c r="L68" s="235"/>
      <c r="M68" s="235"/>
      <c r="N68" s="235"/>
      <c r="P68" s="230">
        <f t="shared" si="8"/>
        <v>0</v>
      </c>
    </row>
    <row r="69" spans="1:43" x14ac:dyDescent="0.2">
      <c r="B69" s="225"/>
      <c r="C69" s="225"/>
      <c r="D69" s="225"/>
      <c r="E69" s="225"/>
      <c r="F69" s="225"/>
      <c r="G69" s="225"/>
      <c r="H69" s="201"/>
      <c r="I69" s="226"/>
      <c r="J69" s="226"/>
      <c r="K69" s="226"/>
      <c r="L69" s="226"/>
      <c r="M69" s="226"/>
      <c r="N69" s="226"/>
      <c r="P69" s="230">
        <f t="shared" si="8"/>
        <v>0</v>
      </c>
    </row>
    <row r="70" spans="1:43" ht="13.15" customHeight="1" x14ac:dyDescent="0.2">
      <c r="B70" s="288" t="s">
        <v>106</v>
      </c>
      <c r="C70" s="290" t="s">
        <v>463</v>
      </c>
      <c r="D70" s="288" t="s">
        <v>464</v>
      </c>
      <c r="E70" s="288" t="s">
        <v>465</v>
      </c>
      <c r="F70" s="288" t="s">
        <v>490</v>
      </c>
      <c r="G70" s="288" t="s">
        <v>466</v>
      </c>
      <c r="H70" s="292" t="s">
        <v>8</v>
      </c>
      <c r="I70" s="294" t="s">
        <v>467</v>
      </c>
      <c r="J70" s="295"/>
      <c r="K70" s="295"/>
      <c r="L70" s="296"/>
      <c r="M70" s="297" t="s">
        <v>468</v>
      </c>
      <c r="N70" s="299" t="s">
        <v>469</v>
      </c>
      <c r="P70" s="230">
        <f t="shared" si="8"/>
        <v>0</v>
      </c>
    </row>
    <row r="71" spans="1:43" x14ac:dyDescent="0.2">
      <c r="B71" s="289"/>
      <c r="C71" s="291"/>
      <c r="D71" s="289"/>
      <c r="E71" s="289"/>
      <c r="F71" s="289"/>
      <c r="G71" s="289"/>
      <c r="H71" s="293"/>
      <c r="I71" s="236" t="s">
        <v>470</v>
      </c>
      <c r="J71" s="236" t="s">
        <v>471</v>
      </c>
      <c r="K71" s="236" t="s">
        <v>472</v>
      </c>
      <c r="L71" s="236" t="s">
        <v>473</v>
      </c>
      <c r="M71" s="298"/>
      <c r="N71" s="300"/>
      <c r="P71" s="230">
        <f t="shared" si="8"/>
        <v>0</v>
      </c>
    </row>
    <row r="72" spans="1:43" x14ac:dyDescent="0.2">
      <c r="A72" s="224" t="str">
        <f>CONCATENATE("Лот"," ",A73)</f>
        <v>Лот 2</v>
      </c>
      <c r="B72" s="273" t="s">
        <v>2087</v>
      </c>
      <c r="C72" s="274"/>
      <c r="D72" s="274"/>
      <c r="E72" s="274"/>
      <c r="F72" s="274"/>
      <c r="G72" s="275"/>
      <c r="H72" s="238" t="s">
        <v>17</v>
      </c>
      <c r="I72" s="270">
        <f ca="1">ROUND(VLOOKUP($H72,$AJ$4:$AN$13,2,0)*$Q74*1.51,2)</f>
        <v>120.15</v>
      </c>
      <c r="J72" s="270">
        <f ca="1">ROUND(VLOOKUP($H72,$AJ$4:$AN$13,3,0)*$Q74*1.51,2)</f>
        <v>85.62</v>
      </c>
      <c r="K72" s="270">
        <f ca="1">ROUND(VLOOKUP($H72,$AJ$4:$AN$13,4,0)*$Q74*1.51,2)</f>
        <v>43.38</v>
      </c>
      <c r="L72" s="270"/>
      <c r="M72" s="270">
        <f ca="1">ROUND(VLOOKUP($H72,$AJ$4:$AN$13,5,0)*$Q74*1.51,2)</f>
        <v>6.85</v>
      </c>
      <c r="N72" s="270"/>
      <c r="P72" s="230">
        <f t="shared" si="8"/>
        <v>1</v>
      </c>
    </row>
    <row r="73" spans="1:43" x14ac:dyDescent="0.2">
      <c r="A73" s="224">
        <f>A18+1</f>
        <v>2</v>
      </c>
      <c r="B73" s="276"/>
      <c r="C73" s="277"/>
      <c r="D73" s="277"/>
      <c r="E73" s="277"/>
      <c r="F73" s="277"/>
      <c r="G73" s="278"/>
      <c r="H73" s="238" t="s">
        <v>25</v>
      </c>
      <c r="I73" s="270">
        <f ca="1">ROUND(VLOOKUP($H73,$AJ$4:$AN$13,2,0)*$Q74*1.51,2)</f>
        <v>898.69</v>
      </c>
      <c r="J73" s="270">
        <f ca="1">ROUND(VLOOKUP($H73,$AJ$4:$AN$13,3,0)*$Q74*1.51,2)</f>
        <v>642.13</v>
      </c>
      <c r="K73" s="270">
        <f ca="1">ROUND(VLOOKUP($H73,$AJ$4:$AN$13,4,0)*$Q74*1.51,2)</f>
        <v>323.06</v>
      </c>
      <c r="L73" s="270"/>
      <c r="M73" s="270">
        <f ca="1">ROUND(VLOOKUP($H73,$AJ$4:$AN$13,5,0)*$Q74*1.51,2)</f>
        <v>27.97</v>
      </c>
      <c r="N73" s="270"/>
      <c r="P73" s="230">
        <f t="shared" si="8"/>
        <v>1</v>
      </c>
      <c r="Q73" s="240" t="s">
        <v>2045</v>
      </c>
      <c r="R73" s="240" t="s">
        <v>2046</v>
      </c>
    </row>
    <row r="74" spans="1:43" x14ac:dyDescent="0.2">
      <c r="B74" s="276"/>
      <c r="C74" s="277"/>
      <c r="D74" s="277"/>
      <c r="E74" s="277"/>
      <c r="F74" s="277"/>
      <c r="G74" s="278"/>
      <c r="H74" s="238" t="s">
        <v>19</v>
      </c>
      <c r="I74" s="270">
        <f ca="1">ROUND(VLOOKUP($H74,$AJ$4:$AN$13,2,0)*$Q74*1.51,2)</f>
        <v>71.349999999999994</v>
      </c>
      <c r="J74" s="270">
        <f ca="1">ROUND(VLOOKUP($H74,$AJ$4:$AN$13,3,0)*$Q74*1.51,2)</f>
        <v>51.94</v>
      </c>
      <c r="K74" s="270">
        <f ca="1">ROUND(VLOOKUP($H74,$AJ$4:$AN$13,4,0)*$Q74*1.51,2)</f>
        <v>26.54</v>
      </c>
      <c r="L74" s="270"/>
      <c r="M74" s="270">
        <f ca="1">ROUND(VLOOKUP($H74,$AJ$4:$AN$13,5,0)*$Q74*1.51,2)</f>
        <v>1.43</v>
      </c>
      <c r="N74" s="270"/>
      <c r="P74" s="230">
        <f t="shared" si="8"/>
        <v>0</v>
      </c>
      <c r="Q74" s="123">
        <f ca="1">IFERROR(IF(R74="","",IF(OR(R74&lt;100,R74=100),0.9,IF(OR(AND(R74&gt;100,R74&lt;150),R74=150),1,IF(R74&gt;150,1.05,"")))),"0")</f>
        <v>1.05</v>
      </c>
      <c r="R74" s="123">
        <f ca="1">N90/G78</f>
        <v>269.42027027027029</v>
      </c>
    </row>
    <row r="75" spans="1:43" x14ac:dyDescent="0.2">
      <c r="B75" s="276"/>
      <c r="C75" s="277"/>
      <c r="D75" s="277"/>
      <c r="E75" s="277"/>
      <c r="F75" s="277"/>
      <c r="G75" s="278"/>
      <c r="H75" s="238" t="s">
        <v>268</v>
      </c>
      <c r="I75" s="270">
        <f ca="1">ROUND(VLOOKUP($H75,$AJ$4:$AN$13,2,0)*$Q74*1.51,2)</f>
        <v>898.69</v>
      </c>
      <c r="J75" s="270">
        <f ca="1">ROUND(VLOOKUP($H75,$AJ$4:$AN$13,3,0)*$Q74*1.51,2)</f>
        <v>642.13</v>
      </c>
      <c r="K75" s="270">
        <f ca="1">ROUND(VLOOKUP($H75,$AJ$4:$AN$13,4,0)*$Q74*1.51,2)</f>
        <v>323.06</v>
      </c>
      <c r="L75" s="270"/>
      <c r="M75" s="270">
        <f ca="1">ROUND(VLOOKUP($H75,$AJ$4:$AN$13,5,0)*$Q74*1.51,2)</f>
        <v>27.97</v>
      </c>
      <c r="N75" s="270"/>
    </row>
    <row r="76" spans="1:43" x14ac:dyDescent="0.2">
      <c r="B76" s="276"/>
      <c r="C76" s="277"/>
      <c r="D76" s="277"/>
      <c r="E76" s="277"/>
      <c r="F76" s="277"/>
      <c r="G76" s="278"/>
      <c r="H76" s="238" t="s">
        <v>40</v>
      </c>
      <c r="I76" s="270">
        <f ca="1">ROUND(VLOOKUP($H76,$AJ$4:$AN$13,2,0)*$Q74*1.51,2)</f>
        <v>71.349999999999994</v>
      </c>
      <c r="J76" s="270">
        <f ca="1">ROUND(VLOOKUP($H76,$AJ$4:$AN$13,3,0)*$Q74*1.51,2)</f>
        <v>51.94</v>
      </c>
      <c r="K76" s="270">
        <f ca="1">ROUND(VLOOKUP($H76,$AJ$4:$AN$13,4,0)*$Q74*1.51,2)</f>
        <v>26.54</v>
      </c>
      <c r="L76" s="270"/>
      <c r="M76" s="270">
        <f ca="1">ROUND(VLOOKUP($H76,$AJ$4:$AN$13,5,0)*$Q74*1.51,2)</f>
        <v>1.43</v>
      </c>
      <c r="N76" s="270"/>
      <c r="P76" s="230">
        <f t="shared" si="8"/>
        <v>0</v>
      </c>
    </row>
    <row r="77" spans="1:43" x14ac:dyDescent="0.2">
      <c r="B77" s="279"/>
      <c r="C77" s="280"/>
      <c r="D77" s="280"/>
      <c r="E77" s="280"/>
      <c r="F77" s="280"/>
      <c r="G77" s="281"/>
      <c r="H77" s="238" t="s">
        <v>18</v>
      </c>
      <c r="I77" s="270">
        <f ca="1">ROUND(VLOOKUP($H77,$AJ$4:$AN$13,2,0)*$Q74*1.51,2)</f>
        <v>22.83</v>
      </c>
      <c r="J77" s="270">
        <f ca="1">ROUND(VLOOKUP($H77,$AJ$4:$AN$13,3,0)*$Q74*1.51,2)</f>
        <v>17.41</v>
      </c>
      <c r="K77" s="270">
        <f ca="1">ROUND(VLOOKUP($H77,$AJ$4:$AN$13,4,0)*$Q74*1.51,2)</f>
        <v>8.85</v>
      </c>
      <c r="L77" s="270"/>
      <c r="M77" s="270">
        <f ca="1">ROUND(VLOOKUP($H77,$AJ$4:$AN$13,5,0)*$Q74*1.51*1,2)</f>
        <v>0.56999999999999995</v>
      </c>
      <c r="N77" s="270"/>
      <c r="P77" s="230">
        <f t="shared" si="8"/>
        <v>0</v>
      </c>
      <c r="AP77" s="241" t="s">
        <v>2053</v>
      </c>
      <c r="AQ77" s="242"/>
    </row>
    <row r="78" spans="1:43" x14ac:dyDescent="0.2">
      <c r="A78" s="224">
        <v>37</v>
      </c>
      <c r="B78" s="243" t="str">
        <f ca="1">OFFSET(ЛОТЫ!$L$5,37,0,1,1)</f>
        <v>Вишнево-Полянское</v>
      </c>
      <c r="C78" s="244" t="s">
        <v>474</v>
      </c>
      <c r="D78" s="243">
        <f ca="1">OFFSET(ЛОТЫ!$M$5,A78,0,1,1)</f>
        <v>8</v>
      </c>
      <c r="E78" s="243">
        <f ca="1">OFFSET(ЛОТЫ!$N$5,A78,0,1,1)</f>
        <v>15</v>
      </c>
      <c r="F78" s="243">
        <f ca="1">OFFSET(ЛОТЫ!$O$5,A78,0,1,1)</f>
        <v>2</v>
      </c>
      <c r="G78" s="271">
        <f ca="1">IFERROR(INDEX('Ведомость расчета мин. платы'!$G$10:$AC$214,MATCH(CONCATENATE(B78,"/",D78,"/",E78,"/",F78),'Ведомость расчета мин. платы'!$AC$10:$AC$214,0),1),"")</f>
        <v>7.4</v>
      </c>
      <c r="H78" s="246" t="s">
        <v>17</v>
      </c>
      <c r="I78" s="247">
        <f ca="1">IFERROR(INDEX('Ведомость расчета мин. платы'!$J$10:$AE$214,MATCH(CONCATENATE(РАСЧЕТ!B78,"/",РАСЧЕТ!D78,"/",РАСЧЕТ!E78,"/",F78,"/",H78),'Ведомость расчета мин. платы'!$AE$10:$AE$214,0),2),"")</f>
        <v>59.89</v>
      </c>
      <c r="J78" s="247">
        <f ca="1">IFERROR(INDEX('Ведомость расчета мин. платы'!$J$10:$AE$214,MATCH(CONCATENATE(РАСЧЕТ!B78,"/",РАСЧЕТ!D78,"/",РАСЧЕТ!E78,"/",F78,"/",H78),'Ведомость расчета мин. платы'!$AE$10:$AE$214,0),3),"")</f>
        <v>49.63</v>
      </c>
      <c r="K78" s="247">
        <f ca="1">IFERROR(INDEX('Ведомость расчета мин. платы'!$J$10:$AE$214,MATCH(CONCATENATE(РАСЧЕТ!B78,"/",РАСЧЕТ!D78,"/",РАСЧЕТ!E78,"/",F78,"/",H78),'Ведомость расчета мин. платы'!$AE$10:$AE$214,0),4),"")</f>
        <v>0</v>
      </c>
      <c r="L78" s="248">
        <f t="shared" ref="L78:L90" ca="1" si="19">IFERROR(SUM(I78:K78),"")</f>
        <v>109.52000000000001</v>
      </c>
      <c r="M78" s="214">
        <f ca="1">IFERROR(INDEX('Ведомость расчета мин. платы'!$J$10:$AE$214,MATCH(CONCATENATE(РАСЧЕТ!B78,"/",РАСЧЕТ!D78,"/",РАСЧЕТ!E78,"/",F78,"/",H78),'Ведомость расчета мин. платы'!$AE$10:$AE$214,0),6),"")</f>
        <v>87.32</v>
      </c>
      <c r="N78" s="214">
        <f t="shared" ref="N78:N90" ca="1" si="20">IFERROR(SUM(L78:M78),"")</f>
        <v>196.84</v>
      </c>
      <c r="O78" s="229">
        <f>IF(H78="стоимость","",1)</f>
        <v>1</v>
      </c>
      <c r="P78" s="230">
        <f t="shared" si="8"/>
        <v>1</v>
      </c>
      <c r="AP78" s="242"/>
      <c r="AQ78" s="242"/>
    </row>
    <row r="79" spans="1:43" x14ac:dyDescent="0.2">
      <c r="B79" s="249"/>
      <c r="C79" s="249"/>
      <c r="D79" s="249"/>
      <c r="E79" s="249"/>
      <c r="F79" s="249"/>
      <c r="G79" s="249"/>
      <c r="H79" s="250" t="s">
        <v>475</v>
      </c>
      <c r="I79" s="251">
        <f ca="1">IFERROR(ROUND(I78*I72,2),"")</f>
        <v>7195.78</v>
      </c>
      <c r="J79" s="251">
        <f t="shared" ref="J79" ca="1" si="21">IFERROR(ROUND(J78*J72,2),"")</f>
        <v>4249.32</v>
      </c>
      <c r="K79" s="251">
        <f t="shared" ref="K79" ca="1" si="22">IFERROR(ROUND(K78*K72,2),"")</f>
        <v>0</v>
      </c>
      <c r="L79" s="251">
        <f t="shared" ca="1" si="19"/>
        <v>11445.099999999999</v>
      </c>
      <c r="M79" s="251">
        <v>598.15</v>
      </c>
      <c r="N79" s="252">
        <f t="shared" ca="1" si="20"/>
        <v>12043.249999999998</v>
      </c>
      <c r="O79" s="229" t="str">
        <f t="shared" ref="O79:O89" si="23">IF(H79="стоимость","",1)</f>
        <v/>
      </c>
      <c r="P79" s="230">
        <f t="shared" si="8"/>
        <v>0</v>
      </c>
      <c r="AP79" s="242">
        <f ca="1">SUMIFS('Ведомость расчета мин. платы'!$S$10:$S$209,'Ведомость расчета мин. платы'!$AE$10:$AE$209,CONCATENATE(B78,"/",D78,"/",E78,"/",F78,"/",H78))</f>
        <v>12043.25</v>
      </c>
      <c r="AQ79" s="253">
        <f t="shared" ref="AQ79:AQ89" ca="1" si="24">AP79-N79</f>
        <v>0</v>
      </c>
    </row>
    <row r="80" spans="1:43" x14ac:dyDescent="0.2">
      <c r="B80" s="249"/>
      <c r="C80" s="249"/>
      <c r="D80" s="249"/>
      <c r="E80" s="249"/>
      <c r="F80" s="249"/>
      <c r="G80" s="249"/>
      <c r="H80" s="246" t="s">
        <v>25</v>
      </c>
      <c r="I80" s="247" t="str">
        <f ca="1">IFERROR(INDEX('Ведомость расчета мин. платы'!$J$10:$AE$214,MATCH(CONCATENATE(РАСЧЕТ!B78,"/",РАСЧЕТ!D78,"/",РАСЧЕТ!E78,"/",F78,"/",H80),'Ведомость расчета мин. платы'!$AE$10:$AE$214,0),2),"")</f>
        <v/>
      </c>
      <c r="J80" s="247" t="str">
        <f ca="1">IFERROR(INDEX('Ведомость расчета мин. платы'!$J$10:$AE$214,MATCH(CONCATENATE(РАСЧЕТ!B78,"/",РАСЧЕТ!D78,"/",РАСЧЕТ!E78,"/",F78,"/",H80),'Ведомость расчета мин. платы'!$AE$10:$AE$214,0),3),"")</f>
        <v/>
      </c>
      <c r="K80" s="247" t="str">
        <f ca="1">IFERROR(INDEX('Ведомость расчета мин. платы'!$J$10:$AE$214,MATCH(CONCATENATE(РАСЧЕТ!B78,"/",РАСЧЕТ!D78,"/",РАСЧЕТ!E78,"/",F78,"/",H80),'Ведомость расчета мин. платы'!$AE$10:$AE$214,0),4),"")</f>
        <v/>
      </c>
      <c r="L80" s="248">
        <f t="shared" ca="1" si="19"/>
        <v>0</v>
      </c>
      <c r="M80" s="214" t="str">
        <f ca="1">IFERROR(INDEX('Ведомость расчета мин. платы'!$J$10:$AE$214,MATCH(CONCATENATE(РАСЧЕТ!B78,"/",РАСЧЕТ!D78,"/",РАСЧЕТ!E78,"/",F78,"/",H80),'Ведомость расчета мин. платы'!$AE$10:$AE$214,0),6),"")</f>
        <v/>
      </c>
      <c r="N80" s="214">
        <f t="shared" ca="1" si="20"/>
        <v>0</v>
      </c>
      <c r="O80" s="229">
        <f t="shared" si="23"/>
        <v>1</v>
      </c>
      <c r="P80" s="230">
        <f t="shared" si="8"/>
        <v>0</v>
      </c>
      <c r="AP80" s="242"/>
      <c r="AQ80" s="253"/>
    </row>
    <row r="81" spans="2:43" x14ac:dyDescent="0.2">
      <c r="B81" s="249"/>
      <c r="C81" s="249"/>
      <c r="D81" s="249"/>
      <c r="E81" s="249"/>
      <c r="F81" s="249"/>
      <c r="G81" s="249"/>
      <c r="H81" s="250" t="s">
        <v>475</v>
      </c>
      <c r="I81" s="251" t="str">
        <f ca="1">IFERROR(ROUND(I80*I73,2),"")</f>
        <v/>
      </c>
      <c r="J81" s="251" t="str">
        <f t="shared" ref="J81" ca="1" si="25">IFERROR(ROUND(J80*J73,2),"")</f>
        <v/>
      </c>
      <c r="K81" s="251" t="str">
        <f t="shared" ref="K81" ca="1" si="26">IFERROR(ROUND(K80*K73,2),"")</f>
        <v/>
      </c>
      <c r="L81" s="251">
        <f t="shared" ca="1" si="19"/>
        <v>0</v>
      </c>
      <c r="M81" s="251" t="str">
        <f t="shared" ref="M81" ca="1" si="27">IFERROR(ROUND(M80*M73,2),"")</f>
        <v/>
      </c>
      <c r="N81" s="252">
        <f t="shared" ca="1" si="20"/>
        <v>0</v>
      </c>
      <c r="O81" s="229" t="str">
        <f t="shared" si="23"/>
        <v/>
      </c>
      <c r="P81" s="230">
        <f t="shared" si="8"/>
        <v>0</v>
      </c>
      <c r="AP81" s="242">
        <f ca="1">SUMIFS('Ведомость расчета мин. платы'!$S$10:$S$209,'Ведомость расчета мин. платы'!$AE$10:$AE$209,CONCATENATE(B78,"/",D78,"/",E78,"/",F78,"/",H80))</f>
        <v>0</v>
      </c>
      <c r="AQ81" s="253">
        <f t="shared" ca="1" si="24"/>
        <v>0</v>
      </c>
    </row>
    <row r="82" spans="2:43" x14ac:dyDescent="0.2">
      <c r="B82" s="249"/>
      <c r="C82" s="249"/>
      <c r="D82" s="249"/>
      <c r="E82" s="249"/>
      <c r="F82" s="249"/>
      <c r="G82" s="249"/>
      <c r="H82" s="205" t="s">
        <v>19</v>
      </c>
      <c r="I82" s="248">
        <f ca="1">IFERROR(INDEX('Ведомость расчета мин. платы'!$J$10:$AE$214,MATCH(CONCATENATE(РАСЧЕТ!B78,"/",РАСЧЕТ!D78,"/",РАСЧЕТ!E78,"/",F78,"/",H82),'Ведомость расчета мин. платы'!$AE$10:$AE$214,0),2),"")</f>
        <v>14.8</v>
      </c>
      <c r="J82" s="248">
        <f ca="1">IFERROR(INDEX('Ведомость расчета мин. платы'!$J$10:$AE$214,MATCH(CONCATENATE(РАСЧЕТ!B78,"/",РАСЧЕТ!D78,"/",РАСЧЕТ!E78,"/",F78,"/",H82),'Ведомость расчета мин. платы'!$AE$10:$AE$214,0),3),"")</f>
        <v>60.49</v>
      </c>
      <c r="K82" s="248">
        <f ca="1">IFERROR(INDEX('Ведомость расчета мин. платы'!$J$10:$AE$214,MATCH(CONCATENATE(РАСЧЕТ!B78,"/",РАСЧЕТ!D78,"/",РАСЧЕТ!E78,"/",F78,"/",H82),'Ведомость расчета мин. платы'!$AE$10:$AE$214,0),4),"")</f>
        <v>7.93</v>
      </c>
      <c r="L82" s="248">
        <f t="shared" ca="1" si="19"/>
        <v>83.22</v>
      </c>
      <c r="M82" s="248">
        <f ca="1">IFERROR(INDEX('Ведомость расчета мин. платы'!$J$10:$AE$214,MATCH(CONCATENATE(РАСЧЕТ!B78,"/",РАСЧЕТ!D78,"/",РАСЧЕТ!E78,"/",F78,"/",H82),'Ведомость расчета мин. платы'!$AE$10:$AE$214,0),6),"")</f>
        <v>110.9</v>
      </c>
      <c r="N82" s="214">
        <f t="shared" ca="1" si="20"/>
        <v>194.12</v>
      </c>
      <c r="O82" s="229">
        <f t="shared" si="23"/>
        <v>1</v>
      </c>
      <c r="P82" s="230">
        <f t="shared" si="8"/>
        <v>0</v>
      </c>
      <c r="AP82" s="242"/>
      <c r="AQ82" s="253"/>
    </row>
    <row r="83" spans="2:43" x14ac:dyDescent="0.2">
      <c r="B83" s="249"/>
      <c r="C83" s="249"/>
      <c r="D83" s="249"/>
      <c r="E83" s="249"/>
      <c r="F83" s="249"/>
      <c r="G83" s="249"/>
      <c r="H83" s="250" t="s">
        <v>475</v>
      </c>
      <c r="I83" s="251">
        <f ca="1">IFERROR(ROUND(I82*I74,2),"")</f>
        <v>1055.98</v>
      </c>
      <c r="J83" s="251">
        <f t="shared" ref="J83" ca="1" si="28">IFERROR(ROUND(J82*J74,2),"")</f>
        <v>3141.85</v>
      </c>
      <c r="K83" s="251">
        <f t="shared" ref="K83" ca="1" si="29">IFERROR(ROUND(K82*K74,2),"")</f>
        <v>210.46</v>
      </c>
      <c r="L83" s="251">
        <f t="shared" ca="1" si="19"/>
        <v>4408.29</v>
      </c>
      <c r="M83" s="251">
        <f t="shared" ref="M83" ca="1" si="30">IFERROR(ROUND(M82*M74,2),"")</f>
        <v>158.59</v>
      </c>
      <c r="N83" s="252">
        <f t="shared" ca="1" si="20"/>
        <v>4566.88</v>
      </c>
      <c r="O83" s="229" t="str">
        <f t="shared" si="23"/>
        <v/>
      </c>
      <c r="P83" s="230">
        <f t="shared" si="8"/>
        <v>0</v>
      </c>
      <c r="AP83" s="242">
        <f ca="1">SUMIFS('Ведомость расчета мин. платы'!$S$10:$S$209,'Ведомость расчета мин. платы'!$AE$10:$AE$209,CONCATENATE(B78,"/",D78,"/",E78,"/",F78,"/",H82))</f>
        <v>4566.88</v>
      </c>
      <c r="AQ83" s="253">
        <f t="shared" ca="1" si="24"/>
        <v>0</v>
      </c>
    </row>
    <row r="84" spans="2:43" x14ac:dyDescent="0.2">
      <c r="B84" s="249"/>
      <c r="C84" s="249"/>
      <c r="D84" s="249"/>
      <c r="E84" s="249"/>
      <c r="F84" s="249"/>
      <c r="G84" s="249"/>
      <c r="H84" s="205" t="s">
        <v>268</v>
      </c>
      <c r="I84" s="248" t="str">
        <f ca="1">IFERROR(INDEX('Ведомость расчета мин. платы'!$J$10:$AE$214,MATCH(CONCATENATE(РАСЧЕТ!B78,"/",РАСЧЕТ!D78,"/",РАСЧЕТ!E78,"/",F78,"/",H84),'Ведомость расчета мин. платы'!$AE$10:$AE$214,0),2),"")</f>
        <v/>
      </c>
      <c r="J84" s="248" t="str">
        <f ca="1">IFERROR(INDEX('Ведомость расчета мин. платы'!$J$10:$AE$214,MATCH(CONCATENATE(РАСЧЕТ!B78,"/",РАСЧЕТ!D78,"/",РАСЧЕТ!E78,"/",F78,"/",H84),'Ведомость расчета мин. платы'!$AE$10:$AE$214,0),3),"")</f>
        <v/>
      </c>
      <c r="K84" s="248" t="str">
        <f ca="1">IFERROR(INDEX('Ведомость расчета мин. платы'!$J$10:$AE$214,MATCH(CONCATENATE(РАСЧЕТ!B78,"/",РАСЧЕТ!D78,"/",РАСЧЕТ!E78,"/",F78,"/",H84),'Ведомость расчета мин. платы'!$AE$10:$AE$214,0),4),"")</f>
        <v/>
      </c>
      <c r="L84" s="248">
        <f t="shared" ca="1" si="19"/>
        <v>0</v>
      </c>
      <c r="M84" s="248" t="str">
        <f ca="1">IFERROR(INDEX('Ведомость расчета мин. платы'!$J$10:$AE$214,MATCH(CONCATENATE(РАСЧЕТ!B78,"/",РАСЧЕТ!D78,"/",РАСЧЕТ!E78,"/",F78,"/",H84),'Ведомость расчета мин. платы'!$AE$10:$AE$214,0),6),"")</f>
        <v/>
      </c>
      <c r="N84" s="214">
        <f t="shared" ca="1" si="20"/>
        <v>0</v>
      </c>
      <c r="O84" s="229">
        <f t="shared" si="23"/>
        <v>1</v>
      </c>
      <c r="P84" s="230">
        <f t="shared" si="8"/>
        <v>0</v>
      </c>
      <c r="AP84" s="242"/>
      <c r="AQ84" s="253"/>
    </row>
    <row r="85" spans="2:43" x14ac:dyDescent="0.2">
      <c r="B85" s="249"/>
      <c r="C85" s="249"/>
      <c r="D85" s="249"/>
      <c r="E85" s="249"/>
      <c r="F85" s="249"/>
      <c r="G85" s="249"/>
      <c r="H85" s="250" t="s">
        <v>475</v>
      </c>
      <c r="I85" s="251" t="str">
        <f ca="1">IFERROR(ROUND(I84*I77,2),"")</f>
        <v/>
      </c>
      <c r="J85" s="251" t="str">
        <f ca="1">IFERROR(ROUND(J84*J75,2),"")</f>
        <v/>
      </c>
      <c r="K85" s="251" t="str">
        <f ca="1">IFERROR(ROUND(K84*K75,2),"")</f>
        <v/>
      </c>
      <c r="L85" s="251">
        <f t="shared" ca="1" si="19"/>
        <v>0</v>
      </c>
      <c r="M85" s="251" t="str">
        <f ca="1">IFERROR(ROUND(M84*M75,2),"")</f>
        <v/>
      </c>
      <c r="N85" s="252">
        <f t="shared" ca="1" si="20"/>
        <v>0</v>
      </c>
      <c r="O85" s="229" t="str">
        <f t="shared" si="23"/>
        <v/>
      </c>
      <c r="P85" s="230">
        <f t="shared" si="8"/>
        <v>0</v>
      </c>
      <c r="AP85" s="242">
        <f ca="1">SUMIFS('Ведомость расчета мин. платы'!$S$10:$S$209,'Ведомость расчета мин. платы'!$AE$10:$AE$209,CONCATENATE(B78,"/",D78,"/",E78,"/",F78,"/",H84))</f>
        <v>0</v>
      </c>
      <c r="AQ85" s="253">
        <f t="shared" ca="1" si="24"/>
        <v>0</v>
      </c>
    </row>
    <row r="86" spans="2:43" x14ac:dyDescent="0.2">
      <c r="B86" s="249"/>
      <c r="C86" s="249"/>
      <c r="D86" s="249"/>
      <c r="E86" s="249"/>
      <c r="F86" s="249"/>
      <c r="G86" s="249"/>
      <c r="H86" s="205" t="s">
        <v>40</v>
      </c>
      <c r="I86" s="248" t="str">
        <f ca="1">IFERROR(INDEX('Ведомость расчета мин. платы'!$J$10:$AE$214,MATCH(CONCATENATE(РАСЧЕТ!B78,"/",РАСЧЕТ!D78,"/",РАСЧЕТ!E78,"/",F78,"/",H86),'Ведомость расчета мин. платы'!$AE$10:$AE$214,0),2),"")</f>
        <v/>
      </c>
      <c r="J86" s="248" t="str">
        <f ca="1">IFERROR(INDEX('Ведомость расчета мин. платы'!$J$10:$AE$214,MATCH(CONCATENATE(РАСЧЕТ!B78,"/",РАСЧЕТ!D78,"/",РАСЧЕТ!E78,"/",F78,"/",H86),'Ведомость расчета мин. платы'!$AE$10:$AE$214,0),3),"")</f>
        <v/>
      </c>
      <c r="K86" s="248" t="str">
        <f ca="1">IFERROR(INDEX('Ведомость расчета мин. платы'!$J$10:$AE$214,MATCH(CONCATENATE(РАСЧЕТ!B78,"/",РАСЧЕТ!D78,"/",РАСЧЕТ!E78,"/",F78,"/",H86),'Ведомость расчета мин. платы'!$AE$10:$AE$214,0),4),"")</f>
        <v/>
      </c>
      <c r="L86" s="248">
        <f t="shared" ca="1" si="19"/>
        <v>0</v>
      </c>
      <c r="M86" s="248" t="str">
        <f ca="1">IFERROR(INDEX('Ведомость расчета мин. платы'!$J$10:$AE$214,MATCH(CONCATENATE(РАСЧЕТ!B78,"/",РАСЧЕТ!D78,"/",РАСЧЕТ!E78,"/",F78,"/",H86),'Ведомость расчета мин. платы'!$AE$10:$AE$214,0),6),"")</f>
        <v/>
      </c>
      <c r="N86" s="214">
        <f t="shared" ca="1" si="20"/>
        <v>0</v>
      </c>
      <c r="O86" s="229">
        <f t="shared" si="23"/>
        <v>1</v>
      </c>
      <c r="P86" s="230">
        <f t="shared" si="8"/>
        <v>0</v>
      </c>
      <c r="AP86" s="242"/>
      <c r="AQ86" s="253"/>
    </row>
    <row r="87" spans="2:43" x14ac:dyDescent="0.2">
      <c r="B87" s="249"/>
      <c r="C87" s="249"/>
      <c r="D87" s="249"/>
      <c r="E87" s="249"/>
      <c r="F87" s="249"/>
      <c r="G87" s="249"/>
      <c r="H87" s="250" t="s">
        <v>475</v>
      </c>
      <c r="I87" s="251" t="str">
        <f ca="1">IFERROR(ROUND(I86*I76,2),"")</f>
        <v/>
      </c>
      <c r="J87" s="251" t="str">
        <f t="shared" ref="J87" ca="1" si="31">IFERROR(ROUND(J86*J76,2),"")</f>
        <v/>
      </c>
      <c r="K87" s="251" t="str">
        <f t="shared" ref="K87" ca="1" si="32">IFERROR(ROUND(K86*K76,2),"")</f>
        <v/>
      </c>
      <c r="L87" s="251">
        <f t="shared" ca="1" si="19"/>
        <v>0</v>
      </c>
      <c r="M87" s="251" t="str">
        <f t="shared" ref="M87" ca="1" si="33">IFERROR(ROUND(M86*M76,2),"")</f>
        <v/>
      </c>
      <c r="N87" s="252">
        <f t="shared" ca="1" si="20"/>
        <v>0</v>
      </c>
      <c r="O87" s="229" t="str">
        <f t="shared" si="23"/>
        <v/>
      </c>
      <c r="P87" s="230">
        <f t="shared" si="8"/>
        <v>0</v>
      </c>
      <c r="AP87" s="242">
        <f ca="1">SUMIFS('Ведомость расчета мин. платы'!$S$10:$S$209,'Ведомость расчета мин. платы'!$AE$10:$AE$209,CONCATENATE(B78,"/",D78,"/",E78,"/",F78,"/",H86))</f>
        <v>0</v>
      </c>
      <c r="AQ87" s="253">
        <f t="shared" ca="1" si="24"/>
        <v>0</v>
      </c>
    </row>
    <row r="88" spans="2:43" x14ac:dyDescent="0.2">
      <c r="B88" s="249"/>
      <c r="C88" s="249"/>
      <c r="D88" s="249"/>
      <c r="E88" s="249"/>
      <c r="F88" s="249"/>
      <c r="G88" s="249"/>
      <c r="H88" s="205" t="s">
        <v>18</v>
      </c>
      <c r="I88" s="248">
        <f ca="1">IFERROR(INDEX('Ведомость расчета мин. платы'!$J$10:$AE$214,MATCH(CONCATENATE(РАСЧЕТ!B78,"/",РАСЧЕТ!D78,"/",РАСЧЕТ!E78,"/",F78,"/",H88),'Ведомость расчета мин. платы'!$AE$10:$AE$214,0),2),"")</f>
        <v>672.02</v>
      </c>
      <c r="J88" s="248">
        <f ca="1">IFERROR(INDEX('Ведомость расчета мин. платы'!$J$10:$AE$214,MATCH(CONCATENATE(РАСЧЕТ!B78,"/",РАСЧЕТ!D78,"/",РАСЧЕТ!E78,"/",F78,"/",H88),'Ведомость расчета мин. платы'!$AE$10:$AE$214,0),3),"")</f>
        <v>278.04000000000002</v>
      </c>
      <c r="K88" s="248">
        <f ca="1">IFERROR(INDEX('Ведомость расчета мин. платы'!$J$10:$AE$214,MATCH(CONCATENATE(РАСЧЕТ!B78,"/",РАСЧЕТ!D78,"/",РАСЧЕТ!E78,"/",F78,"/",H88),'Ведомость расчета мин. платы'!$AE$10:$AE$214,0),4),"")</f>
        <v>7.7</v>
      </c>
      <c r="L88" s="248">
        <f t="shared" ca="1" si="19"/>
        <v>957.76</v>
      </c>
      <c r="M88" s="248">
        <f ca="1">IFERROR(INDEX('Ведомость расчета мин. платы'!$J$10:$AE$214,MATCH(CONCATENATE(РАСЧЕТ!B78,"/",РАСЧЕТ!D78,"/",РАСЧЕТ!E78,"/",F78,"/",H88),'Ведомость расчета мин. платы'!$AE$10:$AE$214,0),6),"")</f>
        <v>644.99</v>
      </c>
      <c r="N88" s="214">
        <f t="shared" ca="1" si="20"/>
        <v>1602.75</v>
      </c>
      <c r="O88" s="229">
        <f t="shared" si="23"/>
        <v>1</v>
      </c>
      <c r="P88" s="230">
        <f t="shared" si="8"/>
        <v>0</v>
      </c>
      <c r="AP88" s="242"/>
      <c r="AQ88" s="253"/>
    </row>
    <row r="89" spans="2:43" x14ac:dyDescent="0.2">
      <c r="B89" s="249"/>
      <c r="C89" s="249"/>
      <c r="D89" s="249"/>
      <c r="E89" s="249"/>
      <c r="F89" s="249"/>
      <c r="G89" s="249"/>
      <c r="H89" s="250" t="s">
        <v>475</v>
      </c>
      <c r="I89" s="251">
        <f ca="1">IFERROR(ROUND(I88*I77,2),"")</f>
        <v>15342.22</v>
      </c>
      <c r="J89" s="251">
        <f t="shared" ref="J89" ca="1" si="34">IFERROR(ROUND(J88*J77,2),"")</f>
        <v>4840.68</v>
      </c>
      <c r="K89" s="251">
        <f t="shared" ref="K89" ca="1" si="35">IFERROR(ROUND(K88*K77,2),"")</f>
        <v>68.150000000000006</v>
      </c>
      <c r="L89" s="251">
        <f t="shared" ca="1" si="19"/>
        <v>20251.050000000003</v>
      </c>
      <c r="M89" s="251">
        <f t="shared" ref="M89" ca="1" si="36">IFERROR(ROUND(M88*M77,2),"")</f>
        <v>367.64</v>
      </c>
      <c r="N89" s="252">
        <f t="shared" ca="1" si="20"/>
        <v>20618.690000000002</v>
      </c>
      <c r="O89" s="229" t="str">
        <f t="shared" si="23"/>
        <v/>
      </c>
      <c r="P89" s="230">
        <f t="shared" si="8"/>
        <v>0</v>
      </c>
      <c r="AP89" s="242">
        <f ca="1">SUMIFS('Ведомость расчета мин. платы'!$S$10:$S$209,'Ведомость расчета мин. платы'!$AE$10:$AE$209,CONCATENATE(B78,"/",D78,"/",E78,"/",F78,"/",H88))</f>
        <v>20618.689999999999</v>
      </c>
      <c r="AQ89" s="253">
        <f t="shared" ca="1" si="24"/>
        <v>0</v>
      </c>
    </row>
    <row r="90" spans="2:43" x14ac:dyDescent="0.2">
      <c r="B90" s="249"/>
      <c r="C90" s="249"/>
      <c r="D90" s="249"/>
      <c r="E90" s="249"/>
      <c r="F90" s="249"/>
      <c r="G90" s="249"/>
      <c r="H90" s="254" t="s">
        <v>476</v>
      </c>
      <c r="I90" s="251">
        <f ca="1">SUMIF($O78:$O91,1,I78:I89)</f>
        <v>746.71</v>
      </c>
      <c r="J90" s="251">
        <f ca="1">SUMIF($O78:$O91,1,J78:J89)</f>
        <v>388.16</v>
      </c>
      <c r="K90" s="251">
        <f ca="1">SUMIF($O78:$O91,1,K78:K89)</f>
        <v>15.629999999999999</v>
      </c>
      <c r="L90" s="251">
        <f t="shared" ca="1" si="19"/>
        <v>1150.5000000000002</v>
      </c>
      <c r="M90" s="251">
        <f ca="1">SUMIF($O78:$O91,1,M78:M89)</f>
        <v>843.21</v>
      </c>
      <c r="N90" s="252">
        <f t="shared" ca="1" si="20"/>
        <v>1993.7100000000003</v>
      </c>
      <c r="AP90" s="242"/>
      <c r="AQ90" s="253"/>
    </row>
    <row r="91" spans="2:43" x14ac:dyDescent="0.2">
      <c r="B91" s="249"/>
      <c r="C91" s="249"/>
      <c r="D91" s="249"/>
      <c r="E91" s="249"/>
      <c r="F91" s="249"/>
      <c r="G91" s="249"/>
      <c r="H91" s="254" t="s">
        <v>491</v>
      </c>
      <c r="I91" s="251">
        <f ca="1">SUMIF(H78:H89,"стоимость",I78:I89)</f>
        <v>23593.98</v>
      </c>
      <c r="J91" s="251">
        <f ca="1">SUMIF(H78:H89,"стоимость",J78:J89)</f>
        <v>12231.85</v>
      </c>
      <c r="K91" s="251">
        <f ca="1">SUMIF(H78:H89,"стоимость",K78:K89)</f>
        <v>278.61</v>
      </c>
      <c r="L91" s="251">
        <f ca="1">IFERROR(SUM(I91:K91),"")</f>
        <v>36104.44</v>
      </c>
      <c r="M91" s="251">
        <f ca="1">SUMIF(H78:H89,"стоимость",M78:M89)</f>
        <v>1124.3800000000001</v>
      </c>
      <c r="N91" s="252">
        <f ca="1">IFERROR(SUM(L91:M91),"")</f>
        <v>37228.82</v>
      </c>
      <c r="AP91" s="242">
        <f ca="1">SUMIFS('Ведомость расчета мин. платы'!$S$10:$S$209,'Ведомость расчета мин. платы'!$J$10:$J$209,"Итого",'Ведомость расчета мин. платы'!$AC$10:$AC$209,CONCATENATE(B78,"/",D78,"/",E78,"/",F78))</f>
        <v>37228.82</v>
      </c>
      <c r="AQ91" s="253">
        <f ca="1">AP91-N91</f>
        <v>0</v>
      </c>
    </row>
    <row r="92" spans="2:43" x14ac:dyDescent="0.2">
      <c r="B92" s="255"/>
      <c r="C92" s="255"/>
      <c r="D92" s="255"/>
      <c r="E92" s="255"/>
      <c r="F92" s="255"/>
      <c r="G92" s="256"/>
      <c r="H92" s="257"/>
      <c r="I92" s="258"/>
      <c r="J92" s="258"/>
      <c r="K92" s="258"/>
      <c r="L92" s="258"/>
      <c r="M92" s="258"/>
      <c r="N92" s="258"/>
      <c r="P92" s="230">
        <f t="shared" si="8"/>
        <v>0</v>
      </c>
    </row>
    <row r="93" spans="2:43" x14ac:dyDescent="0.2">
      <c r="B93" s="282" t="s">
        <v>477</v>
      </c>
      <c r="C93" s="282"/>
      <c r="D93" s="282"/>
      <c r="E93" s="282"/>
      <c r="F93" s="259"/>
      <c r="G93" s="225"/>
      <c r="H93" s="201"/>
      <c r="I93" s="226"/>
      <c r="J93" s="258"/>
      <c r="K93" s="258"/>
      <c r="L93" s="258"/>
      <c r="M93" s="258"/>
      <c r="N93" s="258"/>
      <c r="P93" s="230">
        <f t="shared" ref="P93:P159" si="37">IF(A93&gt;0,1,0)</f>
        <v>0</v>
      </c>
    </row>
    <row r="94" spans="2:43" x14ac:dyDescent="0.2">
      <c r="B94" s="283" t="s">
        <v>525</v>
      </c>
      <c r="C94" s="283"/>
      <c r="D94" s="283"/>
      <c r="E94" s="283"/>
      <c r="F94" s="283"/>
      <c r="G94" s="283"/>
      <c r="H94" s="283"/>
      <c r="I94" s="283"/>
      <c r="J94" s="261"/>
      <c r="K94" s="261"/>
      <c r="L94" s="261"/>
      <c r="M94" s="261"/>
      <c r="N94" s="261"/>
      <c r="P94" s="230">
        <f t="shared" si="37"/>
        <v>0</v>
      </c>
    </row>
    <row r="95" spans="2:43" x14ac:dyDescent="0.2">
      <c r="B95" s="284" t="s">
        <v>478</v>
      </c>
      <c r="C95" s="284"/>
      <c r="D95" s="284"/>
      <c r="E95" s="284"/>
      <c r="F95" s="284"/>
      <c r="G95" s="284"/>
      <c r="H95" s="284"/>
      <c r="I95" s="284"/>
      <c r="J95" s="258"/>
      <c r="K95" s="258"/>
      <c r="L95" s="258"/>
      <c r="M95" s="258"/>
      <c r="N95" s="258"/>
      <c r="P95" s="230">
        <f t="shared" si="37"/>
        <v>0</v>
      </c>
    </row>
    <row r="96" spans="2:43" x14ac:dyDescent="0.2">
      <c r="B96" s="284" t="s">
        <v>479</v>
      </c>
      <c r="C96" s="284"/>
      <c r="D96" s="284"/>
      <c r="E96" s="284"/>
      <c r="F96" s="284"/>
      <c r="G96" s="284"/>
      <c r="H96" s="284"/>
      <c r="I96" s="284"/>
      <c r="J96" s="258"/>
      <c r="K96" s="258"/>
      <c r="L96" s="258"/>
      <c r="M96" s="258"/>
      <c r="N96" s="258"/>
      <c r="P96" s="230">
        <f t="shared" si="37"/>
        <v>0</v>
      </c>
    </row>
    <row r="97" spans="1:16" x14ac:dyDescent="0.2">
      <c r="B97" s="284" t="s">
        <v>480</v>
      </c>
      <c r="C97" s="284"/>
      <c r="D97" s="284"/>
      <c r="E97" s="284"/>
      <c r="F97" s="284"/>
      <c r="G97" s="284"/>
      <c r="H97" s="284"/>
      <c r="I97" s="284"/>
      <c r="J97" s="258"/>
      <c r="K97" s="258"/>
      <c r="L97" s="258"/>
      <c r="M97" s="258"/>
      <c r="N97" s="258"/>
      <c r="P97" s="230">
        <f t="shared" si="37"/>
        <v>0</v>
      </c>
    </row>
    <row r="98" spans="1:16" x14ac:dyDescent="0.2">
      <c r="B98" s="284" t="s">
        <v>481</v>
      </c>
      <c r="C98" s="284"/>
      <c r="D98" s="284"/>
      <c r="E98" s="284"/>
      <c r="F98" s="284"/>
      <c r="G98" s="284"/>
      <c r="H98" s="284"/>
      <c r="I98" s="284"/>
      <c r="J98" s="226"/>
      <c r="K98" s="226"/>
      <c r="L98" s="226"/>
      <c r="M98" s="226"/>
      <c r="N98" s="226"/>
      <c r="P98" s="230">
        <f t="shared" si="37"/>
        <v>0</v>
      </c>
    </row>
    <row r="99" spans="1:16" x14ac:dyDescent="0.2">
      <c r="B99" s="284" t="s">
        <v>482</v>
      </c>
      <c r="C99" s="284"/>
      <c r="D99" s="284"/>
      <c r="E99" s="284"/>
      <c r="F99" s="284"/>
      <c r="G99" s="284"/>
      <c r="H99" s="284"/>
      <c r="I99" s="284"/>
      <c r="J99" s="226"/>
      <c r="K99" s="226"/>
      <c r="L99" s="226"/>
      <c r="M99" s="226"/>
      <c r="N99" s="226"/>
      <c r="P99" s="230">
        <f t="shared" si="37"/>
        <v>0</v>
      </c>
    </row>
    <row r="100" spans="1:16" x14ac:dyDescent="0.2">
      <c r="B100" s="284" t="s">
        <v>483</v>
      </c>
      <c r="C100" s="284"/>
      <c r="D100" s="284"/>
      <c r="E100" s="284"/>
      <c r="F100" s="284"/>
      <c r="G100" s="284"/>
      <c r="H100" s="284"/>
      <c r="I100" s="284"/>
      <c r="J100" s="226"/>
      <c r="K100" s="226"/>
      <c r="L100" s="226"/>
      <c r="M100" s="226"/>
      <c r="N100" s="226"/>
      <c r="P100" s="230">
        <f t="shared" si="37"/>
        <v>0</v>
      </c>
    </row>
    <row r="101" spans="1:16" x14ac:dyDescent="0.2">
      <c r="B101" s="284" t="s">
        <v>484</v>
      </c>
      <c r="C101" s="284"/>
      <c r="D101" s="284"/>
      <c r="E101" s="284"/>
      <c r="F101" s="284"/>
      <c r="G101" s="284"/>
      <c r="H101" s="284"/>
      <c r="I101" s="284"/>
      <c r="J101" s="226"/>
      <c r="K101" s="226"/>
      <c r="L101" s="226"/>
      <c r="M101" s="226"/>
      <c r="N101" s="226"/>
      <c r="P101" s="230">
        <f t="shared" si="37"/>
        <v>0</v>
      </c>
    </row>
    <row r="102" spans="1:16" x14ac:dyDescent="0.2">
      <c r="B102" s="264"/>
      <c r="C102" s="264"/>
      <c r="D102" s="264"/>
      <c r="E102" s="264"/>
      <c r="F102" s="264"/>
      <c r="G102" s="264"/>
      <c r="H102" s="264"/>
      <c r="I102" s="265"/>
      <c r="J102" s="226"/>
      <c r="K102" s="226"/>
      <c r="L102" s="226"/>
      <c r="M102" s="226"/>
      <c r="N102" s="226"/>
      <c r="P102" s="230">
        <f t="shared" si="37"/>
        <v>0</v>
      </c>
    </row>
    <row r="103" spans="1:16" x14ac:dyDescent="0.2">
      <c r="B103" s="225" t="s">
        <v>485</v>
      </c>
      <c r="C103" s="225"/>
      <c r="D103" s="225"/>
      <c r="E103" s="225"/>
      <c r="F103" s="225"/>
      <c r="G103" s="225"/>
      <c r="H103" s="201"/>
      <c r="I103" s="226"/>
      <c r="J103" s="226" t="s">
        <v>486</v>
      </c>
      <c r="K103" s="226"/>
      <c r="L103" s="226"/>
      <c r="M103" s="226"/>
      <c r="N103" s="226"/>
      <c r="P103" s="230">
        <f t="shared" si="37"/>
        <v>0</v>
      </c>
    </row>
    <row r="104" spans="1:16" x14ac:dyDescent="0.2">
      <c r="B104" s="266" t="s">
        <v>524</v>
      </c>
      <c r="C104" s="266"/>
      <c r="D104" s="225"/>
      <c r="E104" s="225"/>
      <c r="F104" s="225"/>
      <c r="G104" s="225"/>
      <c r="H104" s="201"/>
      <c r="I104" s="226"/>
      <c r="J104" s="267"/>
      <c r="K104" s="267"/>
      <c r="L104" s="267"/>
      <c r="M104" s="226"/>
      <c r="N104" s="226"/>
      <c r="P104" s="230">
        <f t="shared" si="37"/>
        <v>0</v>
      </c>
    </row>
    <row r="105" spans="1:16" x14ac:dyDescent="0.2">
      <c r="B105" s="268" t="s">
        <v>487</v>
      </c>
      <c r="C105" s="225"/>
      <c r="D105" s="225"/>
      <c r="E105" s="225"/>
      <c r="F105" s="225"/>
      <c r="G105" s="225"/>
      <c r="H105" s="201"/>
      <c r="I105" s="226"/>
      <c r="J105" s="226" t="s">
        <v>487</v>
      </c>
      <c r="K105" s="226"/>
      <c r="L105" s="226"/>
      <c r="M105" s="226"/>
      <c r="N105" s="226"/>
      <c r="P105" s="230">
        <f t="shared" si="37"/>
        <v>0</v>
      </c>
    </row>
    <row r="106" spans="1:16" x14ac:dyDescent="0.2">
      <c r="B106" s="225"/>
      <c r="C106" s="225"/>
      <c r="D106" s="225"/>
      <c r="E106" s="225"/>
      <c r="F106" s="225"/>
      <c r="G106" s="225"/>
      <c r="H106" s="201"/>
      <c r="I106" s="226"/>
      <c r="J106" s="226"/>
      <c r="K106" s="226"/>
      <c r="L106" s="226"/>
      <c r="M106" s="226"/>
      <c r="N106" s="226"/>
      <c r="P106" s="230">
        <f t="shared" si="37"/>
        <v>0</v>
      </c>
    </row>
    <row r="107" spans="1:16" x14ac:dyDescent="0.2">
      <c r="B107" s="266"/>
      <c r="C107" s="266"/>
      <c r="D107" s="225"/>
      <c r="E107" s="225"/>
      <c r="F107" s="225"/>
      <c r="G107" s="225"/>
      <c r="H107" s="201"/>
      <c r="I107" s="226"/>
      <c r="J107" s="267"/>
      <c r="K107" s="267"/>
      <c r="L107" s="267"/>
      <c r="M107" s="226"/>
      <c r="N107" s="226"/>
      <c r="P107" s="230">
        <f t="shared" si="37"/>
        <v>0</v>
      </c>
    </row>
    <row r="108" spans="1:16" x14ac:dyDescent="0.2">
      <c r="B108" s="269" t="s">
        <v>488</v>
      </c>
      <c r="C108" s="225"/>
      <c r="D108" s="225"/>
      <c r="E108" s="225"/>
      <c r="F108" s="225"/>
      <c r="G108" s="225"/>
      <c r="H108" s="201"/>
      <c r="I108" s="226"/>
      <c r="J108" s="285" t="s">
        <v>488</v>
      </c>
      <c r="K108" s="285"/>
      <c r="L108" s="285"/>
      <c r="M108" s="226"/>
      <c r="N108" s="226"/>
      <c r="P108" s="230">
        <f t="shared" si="37"/>
        <v>0</v>
      </c>
    </row>
    <row r="109" spans="1:16" x14ac:dyDescent="0.2">
      <c r="B109" s="225"/>
      <c r="C109" s="225"/>
      <c r="D109" s="225"/>
      <c r="E109" s="225"/>
      <c r="F109" s="225"/>
      <c r="G109" s="225"/>
      <c r="H109" s="201"/>
      <c r="I109" s="226"/>
      <c r="J109" s="226"/>
      <c r="K109" s="226"/>
      <c r="L109" s="226"/>
      <c r="M109" s="226"/>
      <c r="N109" s="226"/>
      <c r="P109" s="230">
        <f t="shared" si="37"/>
        <v>0</v>
      </c>
    </row>
    <row r="110" spans="1:16" x14ac:dyDescent="0.2">
      <c r="B110" s="264" t="s">
        <v>489</v>
      </c>
      <c r="C110" s="225"/>
      <c r="D110" s="225"/>
      <c r="E110" s="225"/>
      <c r="F110" s="225"/>
      <c r="G110" s="225"/>
      <c r="H110" s="201"/>
      <c r="I110" s="226"/>
      <c r="J110" s="226" t="s">
        <v>489</v>
      </c>
      <c r="K110" s="226"/>
      <c r="L110" s="226"/>
      <c r="M110" s="226"/>
      <c r="N110" s="226"/>
      <c r="P110" s="230">
        <f t="shared" si="37"/>
        <v>0</v>
      </c>
    </row>
    <row r="111" spans="1:16" x14ac:dyDescent="0.2">
      <c r="P111" s="230">
        <f t="shared" si="37"/>
        <v>0</v>
      </c>
    </row>
    <row r="112" spans="1:16" x14ac:dyDescent="0.2">
      <c r="A112" s="260"/>
      <c r="B112" s="225"/>
      <c r="C112" s="225"/>
      <c r="D112" s="225"/>
      <c r="E112" s="225"/>
      <c r="F112" s="225"/>
      <c r="G112" s="225"/>
      <c r="H112" s="201"/>
      <c r="I112" s="226"/>
      <c r="J112" s="226"/>
      <c r="K112" s="226"/>
      <c r="M112" s="226"/>
      <c r="N112" s="228" t="s">
        <v>455</v>
      </c>
      <c r="P112" s="230">
        <f t="shared" si="37"/>
        <v>0</v>
      </c>
    </row>
    <row r="113" spans="1:18" x14ac:dyDescent="0.2">
      <c r="B113" s="225"/>
      <c r="C113" s="225"/>
      <c r="D113" s="225"/>
      <c r="E113" s="225"/>
      <c r="F113" s="225"/>
      <c r="G113" s="225"/>
      <c r="H113" s="201"/>
      <c r="I113" s="226"/>
      <c r="J113" s="226"/>
      <c r="K113" s="226"/>
      <c r="M113" s="226"/>
      <c r="N113" s="228" t="s">
        <v>456</v>
      </c>
      <c r="P113" s="230">
        <f t="shared" si="37"/>
        <v>0</v>
      </c>
    </row>
    <row r="114" spans="1:18" x14ac:dyDescent="0.2">
      <c r="B114" s="225"/>
      <c r="C114" s="225"/>
      <c r="D114" s="225"/>
      <c r="E114" s="225"/>
      <c r="F114" s="225"/>
      <c r="G114" s="225"/>
      <c r="H114" s="201"/>
      <c r="I114" s="226"/>
      <c r="J114" s="226"/>
      <c r="K114" s="226"/>
      <c r="M114" s="226"/>
      <c r="N114" s="228" t="s">
        <v>457</v>
      </c>
      <c r="P114" s="230">
        <f t="shared" si="37"/>
        <v>0</v>
      </c>
    </row>
    <row r="115" spans="1:18" x14ac:dyDescent="0.2">
      <c r="B115" s="225"/>
      <c r="C115" s="225"/>
      <c r="D115" s="225"/>
      <c r="E115" s="225"/>
      <c r="F115" s="225"/>
      <c r="G115" s="225"/>
      <c r="H115" s="201"/>
      <c r="I115" s="226"/>
      <c r="J115" s="226"/>
      <c r="K115" s="226"/>
      <c r="L115" s="226"/>
      <c r="M115" s="226"/>
      <c r="N115" s="226"/>
      <c r="P115" s="230">
        <f t="shared" si="37"/>
        <v>0</v>
      </c>
    </row>
    <row r="116" spans="1:18" x14ac:dyDescent="0.2">
      <c r="B116" s="225"/>
      <c r="C116" s="286" t="s">
        <v>458</v>
      </c>
      <c r="D116" s="286"/>
      <c r="E116" s="286"/>
      <c r="F116" s="286"/>
      <c r="G116" s="286"/>
      <c r="H116" s="286"/>
      <c r="I116" s="286"/>
      <c r="J116" s="286"/>
      <c r="K116" s="286"/>
      <c r="L116" s="286"/>
      <c r="M116" s="226"/>
      <c r="N116" s="226"/>
      <c r="P116" s="230">
        <f t="shared" si="37"/>
        <v>0</v>
      </c>
    </row>
    <row r="117" spans="1:18" x14ac:dyDescent="0.2">
      <c r="B117" s="225"/>
      <c r="C117" s="286" t="s">
        <v>459</v>
      </c>
      <c r="D117" s="286"/>
      <c r="E117" s="286"/>
      <c r="F117" s="286"/>
      <c r="G117" s="286"/>
      <c r="H117" s="286"/>
      <c r="I117" s="286"/>
      <c r="J117" s="286"/>
      <c r="K117" s="286"/>
      <c r="L117" s="286"/>
      <c r="M117" s="226"/>
      <c r="N117" s="226"/>
      <c r="P117" s="230">
        <f t="shared" si="37"/>
        <v>0</v>
      </c>
    </row>
    <row r="118" spans="1:18" x14ac:dyDescent="0.2">
      <c r="B118" s="225" t="s">
        <v>460</v>
      </c>
      <c r="C118" s="234"/>
      <c r="D118" s="234"/>
      <c r="E118" s="234"/>
      <c r="F118" s="234"/>
      <c r="G118" s="234"/>
      <c r="H118" s="234"/>
      <c r="I118" s="235"/>
      <c r="J118" s="235"/>
      <c r="K118" s="235"/>
      <c r="L118" s="287" t="s">
        <v>461</v>
      </c>
      <c r="M118" s="287"/>
      <c r="N118" s="287"/>
      <c r="P118" s="230">
        <f t="shared" si="37"/>
        <v>0</v>
      </c>
    </row>
    <row r="119" spans="1:18" x14ac:dyDescent="0.2">
      <c r="B119" s="225"/>
      <c r="C119" s="234"/>
      <c r="D119" s="234"/>
      <c r="E119" s="234"/>
      <c r="F119" s="234"/>
      <c r="G119" s="234"/>
      <c r="H119" s="234"/>
      <c r="I119" s="235"/>
      <c r="J119" s="235"/>
      <c r="K119" s="235"/>
      <c r="L119" s="235"/>
      <c r="M119" s="235"/>
      <c r="N119" s="235"/>
      <c r="P119" s="230">
        <f t="shared" si="37"/>
        <v>0</v>
      </c>
    </row>
    <row r="120" spans="1:18" x14ac:dyDescent="0.2">
      <c r="B120" s="225" t="s">
        <v>2038</v>
      </c>
      <c r="C120" s="234"/>
      <c r="D120" s="234"/>
      <c r="E120" s="234"/>
      <c r="F120" s="234"/>
      <c r="G120" s="234"/>
      <c r="H120" s="234"/>
      <c r="I120" s="235"/>
      <c r="J120" s="235"/>
      <c r="K120" s="235"/>
      <c r="L120" s="235"/>
      <c r="M120" s="235"/>
      <c r="N120" s="235"/>
      <c r="P120" s="230">
        <f t="shared" si="37"/>
        <v>0</v>
      </c>
    </row>
    <row r="121" spans="1:18" x14ac:dyDescent="0.2">
      <c r="B121" s="225" t="s">
        <v>462</v>
      </c>
      <c r="C121" s="234"/>
      <c r="D121" s="234"/>
      <c r="E121" s="234"/>
      <c r="F121" s="234"/>
      <c r="G121" s="234"/>
      <c r="H121" s="234"/>
      <c r="I121" s="235"/>
      <c r="J121" s="235"/>
      <c r="K121" s="235"/>
      <c r="L121" s="235"/>
      <c r="M121" s="235"/>
      <c r="N121" s="235"/>
      <c r="P121" s="230">
        <f t="shared" si="37"/>
        <v>0</v>
      </c>
    </row>
    <row r="122" spans="1:18" x14ac:dyDescent="0.2">
      <c r="B122" s="225" t="s">
        <v>2037</v>
      </c>
      <c r="C122" s="234"/>
      <c r="D122" s="234"/>
      <c r="E122" s="234"/>
      <c r="F122" s="234"/>
      <c r="G122" s="234"/>
      <c r="H122" s="234"/>
      <c r="I122" s="235"/>
      <c r="J122" s="235"/>
      <c r="K122" s="235"/>
      <c r="L122" s="235"/>
      <c r="M122" s="235"/>
      <c r="N122" s="235"/>
      <c r="P122" s="230">
        <f t="shared" si="37"/>
        <v>0</v>
      </c>
    </row>
    <row r="123" spans="1:18" x14ac:dyDescent="0.2">
      <c r="B123" s="225" t="s">
        <v>2052</v>
      </c>
      <c r="C123" s="234"/>
      <c r="D123" s="234"/>
      <c r="E123" s="234"/>
      <c r="F123" s="234"/>
      <c r="G123" s="234"/>
      <c r="H123" s="234"/>
      <c r="I123" s="235"/>
      <c r="J123" s="235"/>
      <c r="K123" s="235"/>
      <c r="L123" s="235"/>
      <c r="M123" s="235"/>
      <c r="N123" s="235"/>
      <c r="P123" s="230">
        <f t="shared" si="37"/>
        <v>0</v>
      </c>
    </row>
    <row r="124" spans="1:18" x14ac:dyDescent="0.2">
      <c r="B124" s="225"/>
      <c r="C124" s="225"/>
      <c r="D124" s="225"/>
      <c r="E124" s="225"/>
      <c r="F124" s="225"/>
      <c r="G124" s="225"/>
      <c r="H124" s="201"/>
      <c r="I124" s="226"/>
      <c r="J124" s="226"/>
      <c r="K124" s="226"/>
      <c r="L124" s="226"/>
      <c r="M124" s="226"/>
      <c r="N124" s="226"/>
      <c r="P124" s="230">
        <f t="shared" si="37"/>
        <v>0</v>
      </c>
    </row>
    <row r="125" spans="1:18" ht="12.75" customHeight="1" x14ac:dyDescent="0.2">
      <c r="B125" s="288" t="s">
        <v>106</v>
      </c>
      <c r="C125" s="290" t="s">
        <v>463</v>
      </c>
      <c r="D125" s="288" t="s">
        <v>464</v>
      </c>
      <c r="E125" s="288" t="s">
        <v>465</v>
      </c>
      <c r="F125" s="288" t="s">
        <v>490</v>
      </c>
      <c r="G125" s="288" t="s">
        <v>466</v>
      </c>
      <c r="H125" s="292" t="s">
        <v>8</v>
      </c>
      <c r="I125" s="294" t="s">
        <v>467</v>
      </c>
      <c r="J125" s="295"/>
      <c r="K125" s="295"/>
      <c r="L125" s="296"/>
      <c r="M125" s="297" t="s">
        <v>468</v>
      </c>
      <c r="N125" s="299" t="s">
        <v>469</v>
      </c>
      <c r="P125" s="230">
        <f t="shared" si="37"/>
        <v>0</v>
      </c>
    </row>
    <row r="126" spans="1:18" x14ac:dyDescent="0.2">
      <c r="B126" s="289"/>
      <c r="C126" s="291"/>
      <c r="D126" s="289"/>
      <c r="E126" s="289"/>
      <c r="F126" s="289"/>
      <c r="G126" s="289"/>
      <c r="H126" s="293"/>
      <c r="I126" s="236" t="s">
        <v>470</v>
      </c>
      <c r="J126" s="236" t="s">
        <v>471</v>
      </c>
      <c r="K126" s="236" t="s">
        <v>472</v>
      </c>
      <c r="L126" s="236" t="s">
        <v>473</v>
      </c>
      <c r="M126" s="298"/>
      <c r="N126" s="300"/>
      <c r="P126" s="230">
        <f t="shared" si="37"/>
        <v>0</v>
      </c>
    </row>
    <row r="127" spans="1:18" x14ac:dyDescent="0.2">
      <c r="A127" s="224" t="str">
        <f>CONCATENATE("Лот"," ",A128)</f>
        <v>Лот 3</v>
      </c>
      <c r="B127" s="273" t="s">
        <v>2087</v>
      </c>
      <c r="C127" s="274"/>
      <c r="D127" s="274"/>
      <c r="E127" s="274"/>
      <c r="F127" s="274"/>
      <c r="G127" s="275"/>
      <c r="H127" s="238" t="s">
        <v>17</v>
      </c>
      <c r="I127" s="270">
        <f ca="1">ROUND(VLOOKUP($H127,$AJ$4:$AN$13,2,0)*$Q129*1.51,2)</f>
        <v>120.15</v>
      </c>
      <c r="J127" s="270">
        <f ca="1">ROUND(VLOOKUP($H127,$AJ$4:$AN$13,3,0)*$Q129*1.51,2)</f>
        <v>85.62</v>
      </c>
      <c r="K127" s="270">
        <f ca="1">ROUND(VLOOKUP($H127,$AJ$4:$AN$13,4,0)*$Q129*1.51,2)</f>
        <v>43.38</v>
      </c>
      <c r="L127" s="270"/>
      <c r="M127" s="270">
        <f ca="1">ROUND(VLOOKUP($H127,$AJ$4:$AN$13,5,0)*$Q129*1.51,2)</f>
        <v>6.85</v>
      </c>
      <c r="N127" s="270"/>
      <c r="P127" s="230">
        <f t="shared" si="37"/>
        <v>1</v>
      </c>
    </row>
    <row r="128" spans="1:18" x14ac:dyDescent="0.2">
      <c r="A128" s="224">
        <f>A73+1</f>
        <v>3</v>
      </c>
      <c r="B128" s="276"/>
      <c r="C128" s="277"/>
      <c r="D128" s="277"/>
      <c r="E128" s="277"/>
      <c r="F128" s="277"/>
      <c r="G128" s="278"/>
      <c r="H128" s="238" t="s">
        <v>25</v>
      </c>
      <c r="I128" s="270">
        <f ca="1">ROUND(VLOOKUP($H128,$AJ$4:$AN$13,2,0)*$Q129*1.51,2)</f>
        <v>898.69</v>
      </c>
      <c r="J128" s="270">
        <f ca="1">ROUND(VLOOKUP($H128,$AJ$4:$AN$13,3,0)*$Q129*1.51,2)</f>
        <v>642.13</v>
      </c>
      <c r="K128" s="270">
        <f ca="1">ROUND(VLOOKUP($H128,$AJ$4:$AN$13,4,0)*$Q129*1.51,2)</f>
        <v>323.06</v>
      </c>
      <c r="L128" s="270"/>
      <c r="M128" s="270">
        <f ca="1">ROUND(VLOOKUP($H128,$AJ$4:$AN$13,5,0)*$Q129*1.51,2)</f>
        <v>27.97</v>
      </c>
      <c r="N128" s="270"/>
      <c r="P128" s="230">
        <f t="shared" si="37"/>
        <v>1</v>
      </c>
      <c r="Q128" s="240" t="s">
        <v>2045</v>
      </c>
      <c r="R128" s="240" t="s">
        <v>2046</v>
      </c>
    </row>
    <row r="129" spans="1:43" x14ac:dyDescent="0.2">
      <c r="B129" s="276"/>
      <c r="C129" s="277"/>
      <c r="D129" s="277"/>
      <c r="E129" s="277"/>
      <c r="F129" s="277"/>
      <c r="G129" s="278"/>
      <c r="H129" s="238" t="s">
        <v>19</v>
      </c>
      <c r="I129" s="270">
        <f ca="1">ROUND(VLOOKUP($H129,$AJ$4:$AN$13,2,0)*$Q129*1.51,2)</f>
        <v>71.349999999999994</v>
      </c>
      <c r="J129" s="270">
        <f ca="1">ROUND(VLOOKUP($H129,$AJ$4:$AN$13,3,0)*$Q129*1.51,2)</f>
        <v>51.94</v>
      </c>
      <c r="K129" s="270">
        <f ca="1">ROUND(VLOOKUP($H129,$AJ$4:$AN$13,4,0)*$Q129*1.51,2)</f>
        <v>26.54</v>
      </c>
      <c r="L129" s="270"/>
      <c r="M129" s="270">
        <f ca="1">ROUND(VLOOKUP($H129,$AJ$4:$AN$13,5,0)*$Q129*1.51,2)</f>
        <v>1.43</v>
      </c>
      <c r="N129" s="270"/>
      <c r="P129" s="230">
        <f t="shared" si="37"/>
        <v>0</v>
      </c>
      <c r="Q129" s="123">
        <f ca="1">IFERROR(IF(R129="","",IF(OR(R129&lt;100,R129=100),0.9,IF(OR(AND(R129&gt;100,R129&lt;150),R129=150),1,IF(R129&gt;150,1.05,"")))),"0")</f>
        <v>1.05</v>
      </c>
      <c r="R129" s="123">
        <f ca="1">N145/G133</f>
        <v>207.89999999999998</v>
      </c>
    </row>
    <row r="130" spans="1:43" x14ac:dyDescent="0.2">
      <c r="B130" s="276"/>
      <c r="C130" s="277"/>
      <c r="D130" s="277"/>
      <c r="E130" s="277"/>
      <c r="F130" s="277"/>
      <c r="G130" s="278"/>
      <c r="H130" s="238" t="s">
        <v>268</v>
      </c>
      <c r="I130" s="270">
        <f ca="1">ROUND(VLOOKUP($H130,$AJ$4:$AN$13,2,0)*$Q129*1.51,2)</f>
        <v>898.69</v>
      </c>
      <c r="J130" s="270">
        <f ca="1">ROUND(VLOOKUP($H130,$AJ$4:$AN$13,3,0)*$Q129*1.51,2)</f>
        <v>642.13</v>
      </c>
      <c r="K130" s="270">
        <f ca="1">ROUND(VLOOKUP($H130,$AJ$4:$AN$13,4,0)*$Q129*1.51,2)</f>
        <v>323.06</v>
      </c>
      <c r="L130" s="270"/>
      <c r="M130" s="270">
        <f ca="1">ROUND(VLOOKUP($H130,$AJ$4:$AN$13,5,0)*$Q129*1.51,2)</f>
        <v>27.97</v>
      </c>
      <c r="N130" s="270"/>
    </row>
    <row r="131" spans="1:43" x14ac:dyDescent="0.2">
      <c r="B131" s="276"/>
      <c r="C131" s="277"/>
      <c r="D131" s="277"/>
      <c r="E131" s="277"/>
      <c r="F131" s="277"/>
      <c r="G131" s="278"/>
      <c r="H131" s="238" t="s">
        <v>40</v>
      </c>
      <c r="I131" s="270">
        <f ca="1">ROUND(VLOOKUP($H131,$AJ$4:$AN$13,2,0)*$Q129*1.51,2)</f>
        <v>71.349999999999994</v>
      </c>
      <c r="J131" s="270">
        <f ca="1">ROUND(VLOOKUP($H131,$AJ$4:$AN$13,3,0)*$Q129*1.51,2)</f>
        <v>51.94</v>
      </c>
      <c r="K131" s="270">
        <f ca="1">ROUND(VLOOKUP($H131,$AJ$4:$AN$13,4,0)*$Q129*1.51,2)</f>
        <v>26.54</v>
      </c>
      <c r="L131" s="270"/>
      <c r="M131" s="270">
        <f ca="1">ROUND(VLOOKUP($H131,$AJ$4:$AN$13,5,0)*$Q129*1.51,2)</f>
        <v>1.43</v>
      </c>
      <c r="N131" s="270"/>
      <c r="P131" s="230">
        <f t="shared" ref="P131:P144" si="38">IF(A131&gt;0,1,0)</f>
        <v>0</v>
      </c>
    </row>
    <row r="132" spans="1:43" x14ac:dyDescent="0.2">
      <c r="B132" s="279"/>
      <c r="C132" s="280"/>
      <c r="D132" s="280"/>
      <c r="E132" s="280"/>
      <c r="F132" s="280"/>
      <c r="G132" s="281"/>
      <c r="H132" s="238" t="s">
        <v>18</v>
      </c>
      <c r="I132" s="270">
        <f ca="1">ROUND(VLOOKUP($H132,$AJ$4:$AN$13,2,0)*$Q129*1.51,2)</f>
        <v>22.83</v>
      </c>
      <c r="J132" s="270">
        <f ca="1">ROUND(VLOOKUP($H132,$AJ$4:$AN$13,3,0)*$Q129*1.51,2)</f>
        <v>17.41</v>
      </c>
      <c r="K132" s="270">
        <f ca="1">ROUND(VLOOKUP($H132,$AJ$4:$AN$13,4,0)*$Q129*1.51,2)</f>
        <v>8.85</v>
      </c>
      <c r="L132" s="270"/>
      <c r="M132" s="270">
        <f ca="1">ROUND(VLOOKUP($H132,$AJ$4:$AN$13,5,0)*$Q129*1.51*1,2)</f>
        <v>0.56999999999999995</v>
      </c>
      <c r="N132" s="270"/>
      <c r="P132" s="230">
        <f t="shared" si="38"/>
        <v>0</v>
      </c>
      <c r="AP132" s="241" t="s">
        <v>2053</v>
      </c>
      <c r="AQ132" s="242"/>
    </row>
    <row r="133" spans="1:43" x14ac:dyDescent="0.2">
      <c r="A133" s="224">
        <f>A78+37</f>
        <v>74</v>
      </c>
      <c r="B133" s="243" t="str">
        <f ca="1">OFFSET(ЛОТЫ!$L$5,A133,0,1,1)</f>
        <v>Вишнево-Полянское</v>
      </c>
      <c r="C133" s="244" t="s">
        <v>474</v>
      </c>
      <c r="D133" s="243">
        <f ca="1">OFFSET(ЛОТЫ!$M$5,A133,0,1,1)</f>
        <v>15</v>
      </c>
      <c r="E133" s="243">
        <f ca="1">OFFSET(ЛОТЫ!$N$5,A133,0,1,1)</f>
        <v>22</v>
      </c>
      <c r="F133" s="243">
        <f ca="1">OFFSET(ЛОТЫ!$O$5,A133,0,1,1)</f>
        <v>1</v>
      </c>
      <c r="G133" s="271">
        <f ca="1">IFERROR(INDEX('Ведомость расчета мин. платы'!$G$10:$AC$214,MATCH(CONCATENATE(B133,"/",D133,"/",E133,"/",F133),'Ведомость расчета мин. платы'!$AC$10:$AC$214,0),1),"")</f>
        <v>4</v>
      </c>
      <c r="H133" s="246" t="s">
        <v>17</v>
      </c>
      <c r="I133" s="247">
        <f ca="1">IFERROR(INDEX('Ведомость расчета мин. платы'!$J$10:$AE$214,MATCH(CONCATENATE(РАСЧЕТ!B133,"/",РАСЧЕТ!D133,"/",РАСЧЕТ!E133,"/",F133,"/",H133),'Ведомость расчета мин. платы'!$AE$10:$AE$214,0),2),"")</f>
        <v>42</v>
      </c>
      <c r="J133" s="247">
        <f ca="1">IFERROR(INDEX('Ведомость расчета мин. платы'!$J$10:$AE$214,MATCH(CONCATENATE(РАСЧЕТ!B133,"/",РАСЧЕТ!D133,"/",РАСЧЕТ!E133,"/",F133,"/",H133),'Ведомость расчета мин. платы'!$AE$10:$AE$214,0),3),"")</f>
        <v>122.64</v>
      </c>
      <c r="K133" s="247">
        <f ca="1">IFERROR(INDEX('Ведомость расчета мин. платы'!$J$10:$AE$214,MATCH(CONCATENATE(РАСЧЕТ!B133,"/",РАСЧЕТ!D133,"/",РАСЧЕТ!E133,"/",F133,"/",H133),'Ведомость расчета мин. платы'!$AE$10:$AE$214,0),4),"")</f>
        <v>44.16</v>
      </c>
      <c r="L133" s="248">
        <f t="shared" ref="L133:L145" ca="1" si="39">IFERROR(SUM(I133:K133),"")</f>
        <v>208.79999999999998</v>
      </c>
      <c r="M133" s="214">
        <f ca="1">IFERROR(INDEX('Ведомость расчета мин. платы'!$J$10:$AE$214,MATCH(CONCATENATE(РАСЧЕТ!B133,"/",РАСЧЕТ!D133,"/",РАСЧЕТ!E133,"/",F133,"/",H133),'Ведомость расчета мин. платы'!$AE$10:$AE$214,0),6),"")</f>
        <v>168.64</v>
      </c>
      <c r="N133" s="214">
        <f t="shared" ref="N133:N145" ca="1" si="40">IFERROR(SUM(L133:M133),"")</f>
        <v>377.43999999999994</v>
      </c>
      <c r="O133" s="229">
        <f>IF(H133="стоимость","",1)</f>
        <v>1</v>
      </c>
      <c r="P133" s="230">
        <f t="shared" si="38"/>
        <v>1</v>
      </c>
      <c r="AP133" s="242"/>
      <c r="AQ133" s="242"/>
    </row>
    <row r="134" spans="1:43" x14ac:dyDescent="0.2">
      <c r="B134" s="249"/>
      <c r="C134" s="249"/>
      <c r="D134" s="249"/>
      <c r="E134" s="249"/>
      <c r="F134" s="249"/>
      <c r="G134" s="249"/>
      <c r="H134" s="250" t="s">
        <v>475</v>
      </c>
      <c r="I134" s="251">
        <f ca="1">IFERROR(ROUND(I133*I127,2),"")</f>
        <v>5046.3</v>
      </c>
      <c r="J134" s="251">
        <f t="shared" ref="J134" ca="1" si="41">IFERROR(ROUND(J133*J127,2),"")</f>
        <v>10500.44</v>
      </c>
      <c r="K134" s="251">
        <f t="shared" ref="K134" ca="1" si="42">IFERROR(ROUND(K133*K127,2),"")</f>
        <v>1915.66</v>
      </c>
      <c r="L134" s="251">
        <f t="shared" ca="1" si="39"/>
        <v>17462.400000000001</v>
      </c>
      <c r="M134" s="251">
        <v>1155.1899999999985</v>
      </c>
      <c r="N134" s="252">
        <f t="shared" ca="1" si="40"/>
        <v>18617.59</v>
      </c>
      <c r="O134" s="229" t="str">
        <f t="shared" ref="O134:O144" si="43">IF(H134="стоимость","",1)</f>
        <v/>
      </c>
      <c r="P134" s="230">
        <f t="shared" si="38"/>
        <v>0</v>
      </c>
      <c r="AP134" s="242">
        <f ca="1">SUMIFS('Ведомость расчета мин. платы'!$S$10:$S$209,'Ведомость расчета мин. платы'!$AE$10:$AE$209,CONCATENATE(B133,"/",D133,"/",E133,"/",F133,"/",H133))</f>
        <v>18617.59</v>
      </c>
      <c r="AQ134" s="253">
        <f t="shared" ref="AQ134" ca="1" si="44">AP134-N134</f>
        <v>0</v>
      </c>
    </row>
    <row r="135" spans="1:43" x14ac:dyDescent="0.2">
      <c r="B135" s="249"/>
      <c r="C135" s="249"/>
      <c r="D135" s="249"/>
      <c r="E135" s="249"/>
      <c r="F135" s="249"/>
      <c r="G135" s="249"/>
      <c r="H135" s="246" t="s">
        <v>25</v>
      </c>
      <c r="I135" s="247" t="str">
        <f ca="1">IFERROR(INDEX('Ведомость расчета мин. платы'!$J$10:$AE$214,MATCH(CONCATENATE(РАСЧЕТ!B133,"/",РАСЧЕТ!D133,"/",РАСЧЕТ!E133,"/",F133,"/",H135),'Ведомость расчета мин. платы'!$AE$10:$AE$214,0),2),"")</f>
        <v/>
      </c>
      <c r="J135" s="247" t="str">
        <f ca="1">IFERROR(INDEX('Ведомость расчета мин. платы'!$J$10:$AE$214,MATCH(CONCATENATE(РАСЧЕТ!B133,"/",РАСЧЕТ!D133,"/",РАСЧЕТ!E133,"/",F133,"/",H135),'Ведомость расчета мин. платы'!$AE$10:$AE$214,0),3),"")</f>
        <v/>
      </c>
      <c r="K135" s="247" t="str">
        <f ca="1">IFERROR(INDEX('Ведомость расчета мин. платы'!$J$10:$AE$214,MATCH(CONCATENATE(РАСЧЕТ!B133,"/",РАСЧЕТ!D133,"/",РАСЧЕТ!E133,"/",F133,"/",H135),'Ведомость расчета мин. платы'!$AE$10:$AE$214,0),4),"")</f>
        <v/>
      </c>
      <c r="L135" s="248">
        <f t="shared" ca="1" si="39"/>
        <v>0</v>
      </c>
      <c r="M135" s="214">
        <v>0</v>
      </c>
      <c r="N135" s="214">
        <f t="shared" ca="1" si="40"/>
        <v>0</v>
      </c>
      <c r="O135" s="229">
        <f t="shared" si="43"/>
        <v>1</v>
      </c>
      <c r="P135" s="230">
        <f t="shared" si="38"/>
        <v>0</v>
      </c>
      <c r="AP135" s="242"/>
      <c r="AQ135" s="253"/>
    </row>
    <row r="136" spans="1:43" x14ac:dyDescent="0.2">
      <c r="B136" s="249"/>
      <c r="C136" s="249"/>
      <c r="D136" s="249"/>
      <c r="E136" s="249"/>
      <c r="F136" s="249"/>
      <c r="G136" s="249"/>
      <c r="H136" s="250" t="s">
        <v>475</v>
      </c>
      <c r="I136" s="251" t="str">
        <f ca="1">IFERROR(ROUND(I135*I128,2),"")</f>
        <v/>
      </c>
      <c r="J136" s="251" t="str">
        <f t="shared" ref="J136" ca="1" si="45">IFERROR(ROUND(J135*J128,2),"")</f>
        <v/>
      </c>
      <c r="K136" s="251" t="str">
        <f t="shared" ref="K136" ca="1" si="46">IFERROR(ROUND(K135*K128,2),"")</f>
        <v/>
      </c>
      <c r="L136" s="251">
        <f t="shared" ca="1" si="39"/>
        <v>0</v>
      </c>
      <c r="M136" s="251">
        <v>0</v>
      </c>
      <c r="N136" s="252">
        <f t="shared" ca="1" si="40"/>
        <v>0</v>
      </c>
      <c r="O136" s="229" t="str">
        <f t="shared" si="43"/>
        <v/>
      </c>
      <c r="P136" s="230">
        <f t="shared" si="38"/>
        <v>0</v>
      </c>
      <c r="AP136" s="242">
        <f ca="1">SUMIFS('Ведомость расчета мин. платы'!$S$10:$S$209,'Ведомость расчета мин. платы'!$AE$10:$AE$209,CONCATENATE(B133,"/",D133,"/",E133,"/",F133,"/",H135))</f>
        <v>0</v>
      </c>
      <c r="AQ136" s="253">
        <f t="shared" ref="AQ136" ca="1" si="47">AP136-N136</f>
        <v>0</v>
      </c>
    </row>
    <row r="137" spans="1:43" x14ac:dyDescent="0.2">
      <c r="B137" s="249"/>
      <c r="C137" s="249"/>
      <c r="D137" s="249"/>
      <c r="E137" s="249"/>
      <c r="F137" s="249"/>
      <c r="G137" s="249"/>
      <c r="H137" s="205" t="s">
        <v>19</v>
      </c>
      <c r="I137" s="248" t="str">
        <f ca="1">IFERROR(INDEX('Ведомость расчета мин. платы'!$J$10:$AE$214,MATCH(CONCATENATE(РАСЧЕТ!B133,"/",РАСЧЕТ!D133,"/",РАСЧЕТ!E133,"/",F133,"/",H137),'Ведомость расчета мин. платы'!$AE$10:$AE$214,0),2),"")</f>
        <v/>
      </c>
      <c r="J137" s="248" t="str">
        <f ca="1">IFERROR(INDEX('Ведомость расчета мин. платы'!$J$10:$AE$214,MATCH(CONCATENATE(РАСЧЕТ!B133,"/",РАСЧЕТ!D133,"/",РАСЧЕТ!E133,"/",F133,"/",H137),'Ведомость расчета мин. платы'!$AE$10:$AE$214,0),3),"")</f>
        <v/>
      </c>
      <c r="K137" s="248" t="str">
        <f ca="1">IFERROR(INDEX('Ведомость расчета мин. платы'!$J$10:$AE$214,MATCH(CONCATENATE(РАСЧЕТ!B133,"/",РАСЧЕТ!D133,"/",РАСЧЕТ!E133,"/",F133,"/",H137),'Ведомость расчета мин. платы'!$AE$10:$AE$214,0),4),"")</f>
        <v/>
      </c>
      <c r="L137" s="248">
        <f t="shared" ca="1" si="39"/>
        <v>0</v>
      </c>
      <c r="M137" s="248">
        <v>0</v>
      </c>
      <c r="N137" s="214">
        <f t="shared" ca="1" si="40"/>
        <v>0</v>
      </c>
      <c r="O137" s="229">
        <f t="shared" si="43"/>
        <v>1</v>
      </c>
      <c r="P137" s="230">
        <f t="shared" si="38"/>
        <v>0</v>
      </c>
      <c r="AP137" s="242"/>
      <c r="AQ137" s="253"/>
    </row>
    <row r="138" spans="1:43" x14ac:dyDescent="0.2">
      <c r="B138" s="249"/>
      <c r="C138" s="249"/>
      <c r="D138" s="249"/>
      <c r="E138" s="249"/>
      <c r="F138" s="249"/>
      <c r="G138" s="249"/>
      <c r="H138" s="250" t="s">
        <v>475</v>
      </c>
      <c r="I138" s="251" t="str">
        <f ca="1">IFERROR(ROUND(I137*I129,2),"")</f>
        <v/>
      </c>
      <c r="J138" s="251" t="str">
        <f t="shared" ref="J138" ca="1" si="48">IFERROR(ROUND(J137*J129,2),"")</f>
        <v/>
      </c>
      <c r="K138" s="251" t="str">
        <f t="shared" ref="K138" ca="1" si="49">IFERROR(ROUND(K137*K129,2),"")</f>
        <v/>
      </c>
      <c r="L138" s="251">
        <f t="shared" ca="1" si="39"/>
        <v>0</v>
      </c>
      <c r="M138" s="251">
        <v>0</v>
      </c>
      <c r="N138" s="252">
        <f t="shared" ca="1" si="40"/>
        <v>0</v>
      </c>
      <c r="O138" s="229" t="str">
        <f t="shared" si="43"/>
        <v/>
      </c>
      <c r="P138" s="230">
        <f t="shared" si="38"/>
        <v>0</v>
      </c>
      <c r="AP138" s="242">
        <f ca="1">SUMIFS('Ведомость расчета мин. платы'!$S$10:$S$209,'Ведомость расчета мин. платы'!$AE$10:$AE$209,CONCATENATE(B133,"/",D133,"/",E133,"/",F133,"/",H137))</f>
        <v>0</v>
      </c>
      <c r="AQ138" s="253">
        <f t="shared" ref="AQ138" ca="1" si="50">AP138-N138</f>
        <v>0</v>
      </c>
    </row>
    <row r="139" spans="1:43" x14ac:dyDescent="0.2">
      <c r="B139" s="249"/>
      <c r="C139" s="249"/>
      <c r="D139" s="249"/>
      <c r="E139" s="249"/>
      <c r="F139" s="249"/>
      <c r="G139" s="249"/>
      <c r="H139" s="205" t="s">
        <v>268</v>
      </c>
      <c r="I139" s="248" t="str">
        <f ca="1">IFERROR(INDEX('Ведомость расчета мин. платы'!$J$10:$AE$214,MATCH(CONCATENATE(РАСЧЕТ!B133,"/",РАСЧЕТ!D133,"/",РАСЧЕТ!E133,"/",F133,"/",H139),'Ведомость расчета мин. платы'!$AE$10:$AE$214,0),2),"")</f>
        <v/>
      </c>
      <c r="J139" s="248" t="str">
        <f ca="1">IFERROR(INDEX('Ведомость расчета мин. платы'!$J$10:$AE$214,MATCH(CONCATENATE(РАСЧЕТ!B133,"/",РАСЧЕТ!D133,"/",РАСЧЕТ!E133,"/",F133,"/",H139),'Ведомость расчета мин. платы'!$AE$10:$AE$214,0),3),"")</f>
        <v/>
      </c>
      <c r="K139" s="248" t="str">
        <f ca="1">IFERROR(INDEX('Ведомость расчета мин. платы'!$J$10:$AE$214,MATCH(CONCATENATE(РАСЧЕТ!B133,"/",РАСЧЕТ!D133,"/",РАСЧЕТ!E133,"/",F133,"/",H139),'Ведомость расчета мин. платы'!$AE$10:$AE$214,0),4),"")</f>
        <v/>
      </c>
      <c r="L139" s="248">
        <f t="shared" ca="1" si="39"/>
        <v>0</v>
      </c>
      <c r="M139" s="248">
        <v>0</v>
      </c>
      <c r="N139" s="214">
        <f t="shared" ca="1" si="40"/>
        <v>0</v>
      </c>
      <c r="O139" s="229">
        <f t="shared" si="43"/>
        <v>1</v>
      </c>
      <c r="P139" s="230">
        <f t="shared" si="38"/>
        <v>0</v>
      </c>
      <c r="AP139" s="242"/>
      <c r="AQ139" s="253"/>
    </row>
    <row r="140" spans="1:43" x14ac:dyDescent="0.2">
      <c r="B140" s="249"/>
      <c r="C140" s="249"/>
      <c r="D140" s="249"/>
      <c r="E140" s="249"/>
      <c r="F140" s="249"/>
      <c r="G140" s="249"/>
      <c r="H140" s="250" t="s">
        <v>475</v>
      </c>
      <c r="I140" s="251" t="str">
        <f ca="1">IFERROR(ROUND(I139*I132,2),"")</f>
        <v/>
      </c>
      <c r="J140" s="251" t="str">
        <f ca="1">IFERROR(ROUND(J139*J130,2),"")</f>
        <v/>
      </c>
      <c r="K140" s="251" t="str">
        <f ca="1">IFERROR(ROUND(K139*K130,2),"")</f>
        <v/>
      </c>
      <c r="L140" s="251">
        <f t="shared" ca="1" si="39"/>
        <v>0</v>
      </c>
      <c r="M140" s="251">
        <v>0</v>
      </c>
      <c r="N140" s="252">
        <f t="shared" ca="1" si="40"/>
        <v>0</v>
      </c>
      <c r="O140" s="229" t="str">
        <f t="shared" si="43"/>
        <v/>
      </c>
      <c r="P140" s="230">
        <f t="shared" si="38"/>
        <v>0</v>
      </c>
      <c r="AP140" s="242">
        <f ca="1">SUMIFS('Ведомость расчета мин. платы'!$S$10:$S$209,'Ведомость расчета мин. платы'!$AE$10:$AE$209,CONCATENATE(B133,"/",D133,"/",E133,"/",F133,"/",H139))</f>
        <v>0</v>
      </c>
      <c r="AQ140" s="253">
        <f t="shared" ref="AQ140" ca="1" si="51">AP140-N140</f>
        <v>0</v>
      </c>
    </row>
    <row r="141" spans="1:43" x14ac:dyDescent="0.2">
      <c r="B141" s="249"/>
      <c r="C141" s="249"/>
      <c r="D141" s="249"/>
      <c r="E141" s="249"/>
      <c r="F141" s="249"/>
      <c r="G141" s="249"/>
      <c r="H141" s="205" t="s">
        <v>40</v>
      </c>
      <c r="I141" s="248" t="str">
        <f ca="1">IFERROR(INDEX('Ведомость расчета мин. платы'!$J$10:$AE$214,MATCH(CONCATENATE(РАСЧЕТ!B133,"/",РАСЧЕТ!D133,"/",РАСЧЕТ!E133,"/",F133,"/",H141),'Ведомость расчета мин. платы'!$AE$10:$AE$214,0),2),"")</f>
        <v/>
      </c>
      <c r="J141" s="248" t="str">
        <f ca="1">IFERROR(INDEX('Ведомость расчета мин. платы'!$J$10:$AE$214,MATCH(CONCATENATE(РАСЧЕТ!B133,"/",РАСЧЕТ!D133,"/",РАСЧЕТ!E133,"/",F133,"/",H141),'Ведомость расчета мин. платы'!$AE$10:$AE$214,0),3),"")</f>
        <v/>
      </c>
      <c r="K141" s="248" t="str">
        <f ca="1">IFERROR(INDEX('Ведомость расчета мин. платы'!$J$10:$AE$214,MATCH(CONCATENATE(РАСЧЕТ!B133,"/",РАСЧЕТ!D133,"/",РАСЧЕТ!E133,"/",F133,"/",H141),'Ведомость расчета мин. платы'!$AE$10:$AE$214,0),4),"")</f>
        <v/>
      </c>
      <c r="L141" s="248">
        <f t="shared" ca="1" si="39"/>
        <v>0</v>
      </c>
      <c r="M141" s="248">
        <v>0</v>
      </c>
      <c r="N141" s="214">
        <f t="shared" ca="1" si="40"/>
        <v>0</v>
      </c>
      <c r="O141" s="229">
        <f t="shared" si="43"/>
        <v>1</v>
      </c>
      <c r="P141" s="230">
        <f t="shared" si="38"/>
        <v>0</v>
      </c>
      <c r="AP141" s="242"/>
      <c r="AQ141" s="253"/>
    </row>
    <row r="142" spans="1:43" x14ac:dyDescent="0.2">
      <c r="B142" s="249"/>
      <c r="C142" s="249"/>
      <c r="D142" s="249"/>
      <c r="E142" s="249"/>
      <c r="F142" s="249"/>
      <c r="G142" s="249"/>
      <c r="H142" s="250" t="s">
        <v>475</v>
      </c>
      <c r="I142" s="251" t="str">
        <f ca="1">IFERROR(ROUND(I141*I131,2),"")</f>
        <v/>
      </c>
      <c r="J142" s="251" t="str">
        <f t="shared" ref="J142" ca="1" si="52">IFERROR(ROUND(J141*J131,2),"")</f>
        <v/>
      </c>
      <c r="K142" s="251" t="str">
        <f t="shared" ref="K142" ca="1" si="53">IFERROR(ROUND(K141*K131,2),"")</f>
        <v/>
      </c>
      <c r="L142" s="251">
        <f t="shared" ca="1" si="39"/>
        <v>0</v>
      </c>
      <c r="M142" s="251">
        <v>0</v>
      </c>
      <c r="N142" s="252">
        <f t="shared" ca="1" si="40"/>
        <v>0</v>
      </c>
      <c r="O142" s="229" t="str">
        <f t="shared" si="43"/>
        <v/>
      </c>
      <c r="P142" s="230">
        <f t="shared" si="38"/>
        <v>0</v>
      </c>
      <c r="AP142" s="242">
        <f ca="1">SUMIFS('Ведомость расчета мин. платы'!$S$10:$S$209,'Ведомость расчета мин. платы'!$AE$10:$AE$209,CONCATENATE(B133,"/",D133,"/",E133,"/",F133,"/",H141))</f>
        <v>0</v>
      </c>
      <c r="AQ142" s="253">
        <f t="shared" ref="AQ142" ca="1" si="54">AP142-N142</f>
        <v>0</v>
      </c>
    </row>
    <row r="143" spans="1:43" x14ac:dyDescent="0.2">
      <c r="B143" s="249"/>
      <c r="C143" s="249"/>
      <c r="D143" s="249"/>
      <c r="E143" s="249"/>
      <c r="F143" s="249"/>
      <c r="G143" s="249"/>
      <c r="H143" s="205" t="s">
        <v>18</v>
      </c>
      <c r="I143" s="248">
        <f ca="1">IFERROR(INDEX('Ведомость расчета мин. платы'!$J$10:$AE$214,MATCH(CONCATENATE(РАСЧЕТ!B133,"/",РАСЧЕТ!D133,"/",РАСЧЕТ!E133,"/",F133,"/",H143),'Ведомость расчета мин. платы'!$AE$10:$AE$214,0),2),"")</f>
        <v>95.12</v>
      </c>
      <c r="J143" s="248">
        <f ca="1">IFERROR(INDEX('Ведомость расчета мин. платы'!$J$10:$AE$214,MATCH(CONCATENATE(РАСЧЕТ!B133,"/",РАСЧЕТ!D133,"/",РАСЧЕТ!E133,"/",F133,"/",H143),'Ведомость расчета мин. платы'!$AE$10:$AE$214,0),3),"")</f>
        <v>167.2</v>
      </c>
      <c r="K143" s="248">
        <f ca="1">IFERROR(INDEX('Ведомость расчета мин. платы'!$J$10:$AE$214,MATCH(CONCATENATE(РАСЧЕТ!B133,"/",РАСЧЕТ!D133,"/",РАСЧЕТ!E133,"/",F133,"/",H143),'Ведомость расчета мин. платы'!$AE$10:$AE$214,0),4),"")</f>
        <v>7.68</v>
      </c>
      <c r="L143" s="248">
        <f t="shared" ca="1" si="39"/>
        <v>270</v>
      </c>
      <c r="M143" s="248">
        <v>184.16</v>
      </c>
      <c r="N143" s="214">
        <f t="shared" ca="1" si="40"/>
        <v>454.15999999999997</v>
      </c>
      <c r="O143" s="229">
        <f t="shared" si="43"/>
        <v>1</v>
      </c>
      <c r="P143" s="230">
        <f t="shared" si="38"/>
        <v>0</v>
      </c>
      <c r="AP143" s="242"/>
      <c r="AQ143" s="253"/>
    </row>
    <row r="144" spans="1:43" x14ac:dyDescent="0.2">
      <c r="B144" s="249"/>
      <c r="C144" s="249"/>
      <c r="D144" s="249"/>
      <c r="E144" s="249"/>
      <c r="F144" s="249"/>
      <c r="G144" s="249"/>
      <c r="H144" s="250" t="s">
        <v>475</v>
      </c>
      <c r="I144" s="251">
        <f ca="1">IFERROR(ROUND(I143*I132,2),"")</f>
        <v>2171.59</v>
      </c>
      <c r="J144" s="251">
        <f t="shared" ref="J144" ca="1" si="55">IFERROR(ROUND(J143*J132,2),"")</f>
        <v>2910.95</v>
      </c>
      <c r="K144" s="251">
        <f t="shared" ref="K144" ca="1" si="56">IFERROR(ROUND(K143*K132,2),"")</f>
        <v>67.97</v>
      </c>
      <c r="L144" s="251">
        <f t="shared" ca="1" si="39"/>
        <v>5150.51</v>
      </c>
      <c r="M144" s="251">
        <v>104.97999999999931</v>
      </c>
      <c r="N144" s="252">
        <f t="shared" ca="1" si="40"/>
        <v>5255.49</v>
      </c>
      <c r="O144" s="229" t="str">
        <f t="shared" si="43"/>
        <v/>
      </c>
      <c r="P144" s="230">
        <f t="shared" si="38"/>
        <v>0</v>
      </c>
      <c r="AP144" s="242">
        <f ca="1">SUMIFS('Ведомость расчета мин. платы'!$S$10:$S$209,'Ведомость расчета мин. платы'!$AE$10:$AE$209,CONCATENATE(B133,"/",D133,"/",E133,"/",F133,"/",H143))</f>
        <v>5255.49</v>
      </c>
      <c r="AQ144" s="253">
        <f t="shared" ref="AQ144" ca="1" si="57">AP144-N144</f>
        <v>0</v>
      </c>
    </row>
    <row r="145" spans="2:43" x14ac:dyDescent="0.2">
      <c r="B145" s="249"/>
      <c r="C145" s="249"/>
      <c r="D145" s="249"/>
      <c r="E145" s="249"/>
      <c r="F145" s="249"/>
      <c r="G145" s="249"/>
      <c r="H145" s="254" t="s">
        <v>476</v>
      </c>
      <c r="I145" s="251">
        <f ca="1">SUMIF($O133:$O146,1,I133:I144)</f>
        <v>137.12</v>
      </c>
      <c r="J145" s="251">
        <f ca="1">SUMIF($O133:$O146,1,J133:J144)</f>
        <v>289.83999999999997</v>
      </c>
      <c r="K145" s="251">
        <f ca="1">SUMIF($O133:$O146,1,K133:K144)</f>
        <v>51.839999999999996</v>
      </c>
      <c r="L145" s="251">
        <f t="shared" ca="1" si="39"/>
        <v>478.79999999999995</v>
      </c>
      <c r="M145" s="251">
        <f ca="1">SUMIF($O133:$O146,1,M133:M144)</f>
        <v>352.79999999999995</v>
      </c>
      <c r="N145" s="252">
        <f t="shared" ca="1" si="40"/>
        <v>831.59999999999991</v>
      </c>
      <c r="AP145" s="242"/>
      <c r="AQ145" s="253"/>
    </row>
    <row r="146" spans="2:43" x14ac:dyDescent="0.2">
      <c r="B146" s="249"/>
      <c r="C146" s="249"/>
      <c r="D146" s="249"/>
      <c r="E146" s="249"/>
      <c r="F146" s="249"/>
      <c r="G146" s="249"/>
      <c r="H146" s="254" t="s">
        <v>491</v>
      </c>
      <c r="I146" s="251">
        <f ca="1">SUMIF(H133:H144,"стоимость",I133:I144)</f>
        <v>7217.89</v>
      </c>
      <c r="J146" s="251">
        <f ca="1">SUMIF(H133:H144,"стоимость",J133:J144)</f>
        <v>13411.39</v>
      </c>
      <c r="K146" s="251">
        <f ca="1">SUMIF(H133:H144,"стоимость",K133:K144)</f>
        <v>1983.63</v>
      </c>
      <c r="L146" s="251">
        <f ca="1">IFERROR(SUM(I146:K146),"")</f>
        <v>22612.91</v>
      </c>
      <c r="M146" s="251">
        <f>SUMIF(H133:H144,"стоимость",M133:M144)</f>
        <v>1260.1699999999978</v>
      </c>
      <c r="N146" s="252">
        <f ca="1">IFERROR(SUM(L146:M146),"")</f>
        <v>23873.079999999998</v>
      </c>
      <c r="AP146" s="242">
        <f ca="1">SUMIFS('Ведомость расчета мин. платы'!$S$10:$S$209,'Ведомость расчета мин. платы'!$J$10:$J$209,"Итого",'Ведомость расчета мин. платы'!$AC$10:$AC$209,CONCATENATE(B133,"/",D133,"/",E133,"/",F133))</f>
        <v>23873.08</v>
      </c>
      <c r="AQ146" s="253">
        <f ca="1">AP146-N146</f>
        <v>0</v>
      </c>
    </row>
    <row r="147" spans="2:43" x14ac:dyDescent="0.2">
      <c r="B147" s="255"/>
      <c r="C147" s="255"/>
      <c r="D147" s="255"/>
      <c r="E147" s="255"/>
      <c r="F147" s="255"/>
      <c r="G147" s="256"/>
      <c r="H147" s="257"/>
      <c r="I147" s="258"/>
      <c r="J147" s="258"/>
      <c r="K147" s="258"/>
      <c r="L147" s="258"/>
      <c r="M147" s="258"/>
      <c r="N147" s="258"/>
      <c r="P147" s="230">
        <f t="shared" si="37"/>
        <v>0</v>
      </c>
    </row>
    <row r="148" spans="2:43" x14ac:dyDescent="0.2">
      <c r="B148" s="282" t="s">
        <v>477</v>
      </c>
      <c r="C148" s="282"/>
      <c r="D148" s="282"/>
      <c r="E148" s="282"/>
      <c r="F148" s="259"/>
      <c r="G148" s="225"/>
      <c r="H148" s="201"/>
      <c r="I148" s="226"/>
      <c r="J148" s="258"/>
      <c r="K148" s="258"/>
      <c r="L148" s="258"/>
      <c r="M148" s="258"/>
      <c r="N148" s="258"/>
      <c r="P148" s="230">
        <f t="shared" si="37"/>
        <v>0</v>
      </c>
    </row>
    <row r="149" spans="2:43" x14ac:dyDescent="0.2">
      <c r="B149" s="283" t="s">
        <v>525</v>
      </c>
      <c r="C149" s="283"/>
      <c r="D149" s="283"/>
      <c r="E149" s="283"/>
      <c r="F149" s="283"/>
      <c r="G149" s="283"/>
      <c r="H149" s="283"/>
      <c r="I149" s="283"/>
      <c r="J149" s="261"/>
      <c r="K149" s="261"/>
      <c r="L149" s="261"/>
      <c r="M149" s="261"/>
      <c r="N149" s="261"/>
      <c r="P149" s="230">
        <f t="shared" si="37"/>
        <v>0</v>
      </c>
    </row>
    <row r="150" spans="2:43" x14ac:dyDescent="0.2">
      <c r="B150" s="284" t="s">
        <v>478</v>
      </c>
      <c r="C150" s="284"/>
      <c r="D150" s="284"/>
      <c r="E150" s="284"/>
      <c r="F150" s="284"/>
      <c r="G150" s="284"/>
      <c r="H150" s="284"/>
      <c r="I150" s="284"/>
      <c r="J150" s="258"/>
      <c r="K150" s="258"/>
      <c r="L150" s="258"/>
      <c r="M150" s="258"/>
      <c r="N150" s="258"/>
      <c r="P150" s="230">
        <f t="shared" si="37"/>
        <v>0</v>
      </c>
    </row>
    <row r="151" spans="2:43" x14ac:dyDescent="0.2">
      <c r="B151" s="284" t="s">
        <v>479</v>
      </c>
      <c r="C151" s="284"/>
      <c r="D151" s="284"/>
      <c r="E151" s="284"/>
      <c r="F151" s="284"/>
      <c r="G151" s="284"/>
      <c r="H151" s="284"/>
      <c r="I151" s="284"/>
      <c r="J151" s="258"/>
      <c r="K151" s="258"/>
      <c r="L151" s="258"/>
      <c r="M151" s="258"/>
      <c r="N151" s="258"/>
      <c r="P151" s="230">
        <f t="shared" si="37"/>
        <v>0</v>
      </c>
    </row>
    <row r="152" spans="2:43" x14ac:dyDescent="0.2">
      <c r="B152" s="284" t="s">
        <v>480</v>
      </c>
      <c r="C152" s="284"/>
      <c r="D152" s="284"/>
      <c r="E152" s="284"/>
      <c r="F152" s="284"/>
      <c r="G152" s="284"/>
      <c r="H152" s="284"/>
      <c r="I152" s="284"/>
      <c r="J152" s="258"/>
      <c r="K152" s="258"/>
      <c r="L152" s="258"/>
      <c r="M152" s="258"/>
      <c r="N152" s="258"/>
      <c r="P152" s="230">
        <f t="shared" si="37"/>
        <v>0</v>
      </c>
    </row>
    <row r="153" spans="2:43" x14ac:dyDescent="0.2">
      <c r="B153" s="284" t="s">
        <v>481</v>
      </c>
      <c r="C153" s="284"/>
      <c r="D153" s="284"/>
      <c r="E153" s="284"/>
      <c r="F153" s="284"/>
      <c r="G153" s="284"/>
      <c r="H153" s="284"/>
      <c r="I153" s="284"/>
      <c r="J153" s="226"/>
      <c r="K153" s="226"/>
      <c r="L153" s="226"/>
      <c r="M153" s="226"/>
      <c r="N153" s="226"/>
      <c r="P153" s="230">
        <f t="shared" si="37"/>
        <v>0</v>
      </c>
    </row>
    <row r="154" spans="2:43" x14ac:dyDescent="0.2">
      <c r="B154" s="284" t="s">
        <v>482</v>
      </c>
      <c r="C154" s="284"/>
      <c r="D154" s="284"/>
      <c r="E154" s="284"/>
      <c r="F154" s="284"/>
      <c r="G154" s="284"/>
      <c r="H154" s="284"/>
      <c r="I154" s="284"/>
      <c r="J154" s="226"/>
      <c r="K154" s="226"/>
      <c r="L154" s="226"/>
      <c r="M154" s="226"/>
      <c r="N154" s="226"/>
      <c r="P154" s="230">
        <f t="shared" si="37"/>
        <v>0</v>
      </c>
    </row>
    <row r="155" spans="2:43" x14ac:dyDescent="0.2">
      <c r="B155" s="284" t="s">
        <v>483</v>
      </c>
      <c r="C155" s="284"/>
      <c r="D155" s="284"/>
      <c r="E155" s="284"/>
      <c r="F155" s="284"/>
      <c r="G155" s="284"/>
      <c r="H155" s="284"/>
      <c r="I155" s="284"/>
      <c r="J155" s="226"/>
      <c r="K155" s="226"/>
      <c r="L155" s="226"/>
      <c r="M155" s="226"/>
      <c r="N155" s="226"/>
      <c r="P155" s="230">
        <f t="shared" si="37"/>
        <v>0</v>
      </c>
    </row>
    <row r="156" spans="2:43" x14ac:dyDescent="0.2">
      <c r="B156" s="284" t="s">
        <v>484</v>
      </c>
      <c r="C156" s="284"/>
      <c r="D156" s="284"/>
      <c r="E156" s="284"/>
      <c r="F156" s="284"/>
      <c r="G156" s="284"/>
      <c r="H156" s="284"/>
      <c r="I156" s="284"/>
      <c r="J156" s="226"/>
      <c r="K156" s="226"/>
      <c r="L156" s="226"/>
      <c r="M156" s="226"/>
      <c r="N156" s="226"/>
      <c r="P156" s="230">
        <f t="shared" si="37"/>
        <v>0</v>
      </c>
    </row>
    <row r="157" spans="2:43" x14ac:dyDescent="0.2">
      <c r="B157" s="264"/>
      <c r="C157" s="264"/>
      <c r="D157" s="264"/>
      <c r="E157" s="264"/>
      <c r="F157" s="264"/>
      <c r="G157" s="264"/>
      <c r="H157" s="264"/>
      <c r="I157" s="265"/>
      <c r="J157" s="226"/>
      <c r="K157" s="226"/>
      <c r="L157" s="226"/>
      <c r="M157" s="226"/>
      <c r="N157" s="226"/>
      <c r="P157" s="230">
        <f t="shared" si="37"/>
        <v>0</v>
      </c>
    </row>
    <row r="158" spans="2:43" x14ac:dyDescent="0.2">
      <c r="B158" s="225" t="s">
        <v>485</v>
      </c>
      <c r="C158" s="225"/>
      <c r="D158" s="225"/>
      <c r="E158" s="225"/>
      <c r="F158" s="225"/>
      <c r="G158" s="225"/>
      <c r="H158" s="201"/>
      <c r="I158" s="226"/>
      <c r="J158" s="226" t="s">
        <v>486</v>
      </c>
      <c r="K158" s="226"/>
      <c r="L158" s="226"/>
      <c r="M158" s="226"/>
      <c r="N158" s="226"/>
      <c r="P158" s="230">
        <f t="shared" si="37"/>
        <v>0</v>
      </c>
    </row>
    <row r="159" spans="2:43" x14ac:dyDescent="0.2">
      <c r="B159" s="266" t="s">
        <v>524</v>
      </c>
      <c r="C159" s="266"/>
      <c r="D159" s="225"/>
      <c r="E159" s="225"/>
      <c r="F159" s="225"/>
      <c r="G159" s="225"/>
      <c r="H159" s="201"/>
      <c r="I159" s="226"/>
      <c r="J159" s="267"/>
      <c r="K159" s="267"/>
      <c r="L159" s="267"/>
      <c r="M159" s="226"/>
      <c r="N159" s="226"/>
      <c r="P159" s="230">
        <f t="shared" si="37"/>
        <v>0</v>
      </c>
    </row>
    <row r="160" spans="2:43" x14ac:dyDescent="0.2">
      <c r="B160" s="268" t="s">
        <v>487</v>
      </c>
      <c r="C160" s="225"/>
      <c r="D160" s="225"/>
      <c r="E160" s="225"/>
      <c r="F160" s="225"/>
      <c r="G160" s="225"/>
      <c r="H160" s="201"/>
      <c r="I160" s="226"/>
      <c r="J160" s="226" t="s">
        <v>487</v>
      </c>
      <c r="K160" s="226"/>
      <c r="L160" s="226"/>
      <c r="M160" s="226"/>
      <c r="N160" s="226"/>
      <c r="P160" s="230">
        <f t="shared" ref="P160:P184" si="58">IF(A160&gt;0,1,0)</f>
        <v>0</v>
      </c>
    </row>
    <row r="161" spans="1:16" x14ac:dyDescent="0.2">
      <c r="B161" s="225"/>
      <c r="C161" s="225"/>
      <c r="D161" s="225"/>
      <c r="E161" s="225"/>
      <c r="F161" s="225"/>
      <c r="G161" s="225"/>
      <c r="H161" s="201"/>
      <c r="I161" s="226"/>
      <c r="J161" s="226"/>
      <c r="K161" s="226"/>
      <c r="L161" s="226"/>
      <c r="M161" s="226"/>
      <c r="N161" s="226"/>
      <c r="P161" s="230">
        <f t="shared" si="58"/>
        <v>0</v>
      </c>
    </row>
    <row r="162" spans="1:16" x14ac:dyDescent="0.2">
      <c r="B162" s="266"/>
      <c r="C162" s="266"/>
      <c r="D162" s="225"/>
      <c r="E162" s="225"/>
      <c r="F162" s="225"/>
      <c r="G162" s="225"/>
      <c r="H162" s="201"/>
      <c r="I162" s="226"/>
      <c r="J162" s="267"/>
      <c r="K162" s="267"/>
      <c r="L162" s="267"/>
      <c r="M162" s="226"/>
      <c r="N162" s="226"/>
      <c r="P162" s="230">
        <f t="shared" si="58"/>
        <v>0</v>
      </c>
    </row>
    <row r="163" spans="1:16" x14ac:dyDescent="0.2">
      <c r="B163" s="269" t="s">
        <v>488</v>
      </c>
      <c r="C163" s="225"/>
      <c r="D163" s="225"/>
      <c r="E163" s="225"/>
      <c r="F163" s="225"/>
      <c r="G163" s="225"/>
      <c r="H163" s="201"/>
      <c r="I163" s="226"/>
      <c r="J163" s="285" t="s">
        <v>488</v>
      </c>
      <c r="K163" s="285"/>
      <c r="L163" s="285"/>
      <c r="M163" s="226"/>
      <c r="N163" s="226"/>
      <c r="P163" s="230">
        <f t="shared" si="58"/>
        <v>0</v>
      </c>
    </row>
    <row r="164" spans="1:16" x14ac:dyDescent="0.2">
      <c r="B164" s="225"/>
      <c r="C164" s="225"/>
      <c r="D164" s="225"/>
      <c r="E164" s="225"/>
      <c r="F164" s="225"/>
      <c r="G164" s="225"/>
      <c r="H164" s="201"/>
      <c r="I164" s="226"/>
      <c r="J164" s="226"/>
      <c r="K164" s="226"/>
      <c r="L164" s="226"/>
      <c r="M164" s="226"/>
      <c r="N164" s="226"/>
      <c r="P164" s="230">
        <f t="shared" si="58"/>
        <v>0</v>
      </c>
    </row>
    <row r="165" spans="1:16" x14ac:dyDescent="0.2">
      <c r="B165" s="264" t="s">
        <v>489</v>
      </c>
      <c r="C165" s="225"/>
      <c r="D165" s="225"/>
      <c r="E165" s="225"/>
      <c r="F165" s="225"/>
      <c r="G165" s="225"/>
      <c r="H165" s="201"/>
      <c r="I165" s="226"/>
      <c r="J165" s="226" t="s">
        <v>489</v>
      </c>
      <c r="K165" s="226"/>
      <c r="L165" s="226"/>
      <c r="M165" s="226"/>
      <c r="N165" s="226"/>
      <c r="P165" s="230">
        <f t="shared" si="58"/>
        <v>0</v>
      </c>
    </row>
    <row r="166" spans="1:16" x14ac:dyDescent="0.2">
      <c r="B166" s="264"/>
      <c r="C166" s="225"/>
      <c r="D166" s="225"/>
      <c r="E166" s="225"/>
      <c r="F166" s="225"/>
      <c r="G166" s="225"/>
      <c r="H166" s="201"/>
      <c r="I166" s="226"/>
      <c r="J166" s="226"/>
      <c r="K166" s="226"/>
      <c r="L166" s="226"/>
      <c r="M166" s="226"/>
      <c r="N166" s="226"/>
    </row>
    <row r="167" spans="1:16" x14ac:dyDescent="0.2">
      <c r="A167" s="260"/>
      <c r="B167" s="225"/>
      <c r="C167" s="225"/>
      <c r="D167" s="225"/>
      <c r="E167" s="225"/>
      <c r="F167" s="225"/>
      <c r="G167" s="225"/>
      <c r="H167" s="201"/>
      <c r="I167" s="226"/>
      <c r="J167" s="226"/>
      <c r="K167" s="226"/>
      <c r="M167" s="226"/>
      <c r="N167" s="228" t="s">
        <v>455</v>
      </c>
      <c r="P167" s="230">
        <f t="shared" si="58"/>
        <v>0</v>
      </c>
    </row>
    <row r="168" spans="1:16" x14ac:dyDescent="0.2">
      <c r="B168" s="225"/>
      <c r="C168" s="225"/>
      <c r="D168" s="225"/>
      <c r="E168" s="225"/>
      <c r="F168" s="225"/>
      <c r="G168" s="225"/>
      <c r="H168" s="201"/>
      <c r="I168" s="226"/>
      <c r="J168" s="226"/>
      <c r="K168" s="226"/>
      <c r="M168" s="226"/>
      <c r="N168" s="228" t="s">
        <v>456</v>
      </c>
      <c r="P168" s="230">
        <f t="shared" si="58"/>
        <v>0</v>
      </c>
    </row>
    <row r="169" spans="1:16" x14ac:dyDescent="0.2">
      <c r="B169" s="225"/>
      <c r="C169" s="225"/>
      <c r="D169" s="225"/>
      <c r="E169" s="225"/>
      <c r="F169" s="225"/>
      <c r="G169" s="225"/>
      <c r="H169" s="201"/>
      <c r="I169" s="226"/>
      <c r="J169" s="226"/>
      <c r="K169" s="226"/>
      <c r="M169" s="226"/>
      <c r="N169" s="228" t="s">
        <v>457</v>
      </c>
      <c r="P169" s="230">
        <f t="shared" si="58"/>
        <v>0</v>
      </c>
    </row>
    <row r="170" spans="1:16" x14ac:dyDescent="0.2">
      <c r="B170" s="225"/>
      <c r="C170" s="225"/>
      <c r="D170" s="225"/>
      <c r="E170" s="225"/>
      <c r="F170" s="225"/>
      <c r="G170" s="225"/>
      <c r="H170" s="201"/>
      <c r="I170" s="226"/>
      <c r="J170" s="226"/>
      <c r="K170" s="226"/>
      <c r="L170" s="226"/>
      <c r="M170" s="226"/>
      <c r="N170" s="226"/>
      <c r="P170" s="230">
        <f t="shared" si="58"/>
        <v>0</v>
      </c>
    </row>
    <row r="171" spans="1:16" x14ac:dyDescent="0.2">
      <c r="B171" s="225"/>
      <c r="C171" s="286" t="s">
        <v>458</v>
      </c>
      <c r="D171" s="286"/>
      <c r="E171" s="286"/>
      <c r="F171" s="286"/>
      <c r="G171" s="286"/>
      <c r="H171" s="286"/>
      <c r="I171" s="286"/>
      <c r="J171" s="286"/>
      <c r="K171" s="286"/>
      <c r="L171" s="286"/>
      <c r="M171" s="226"/>
      <c r="N171" s="226"/>
      <c r="P171" s="230">
        <f t="shared" si="58"/>
        <v>0</v>
      </c>
    </row>
    <row r="172" spans="1:16" x14ac:dyDescent="0.2">
      <c r="B172" s="225"/>
      <c r="C172" s="286" t="s">
        <v>459</v>
      </c>
      <c r="D172" s="286"/>
      <c r="E172" s="286"/>
      <c r="F172" s="286"/>
      <c r="G172" s="286"/>
      <c r="H172" s="286"/>
      <c r="I172" s="286"/>
      <c r="J172" s="286"/>
      <c r="K172" s="286"/>
      <c r="L172" s="286"/>
      <c r="M172" s="226"/>
      <c r="N172" s="226"/>
      <c r="P172" s="230">
        <f t="shared" si="58"/>
        <v>0</v>
      </c>
    </row>
    <row r="173" spans="1:16" x14ac:dyDescent="0.2">
      <c r="B173" s="225" t="s">
        <v>460</v>
      </c>
      <c r="C173" s="234"/>
      <c r="D173" s="234"/>
      <c r="E173" s="234"/>
      <c r="F173" s="234"/>
      <c r="G173" s="234"/>
      <c r="H173" s="234"/>
      <c r="I173" s="235"/>
      <c r="J173" s="235"/>
      <c r="K173" s="235"/>
      <c r="L173" s="287" t="s">
        <v>461</v>
      </c>
      <c r="M173" s="287"/>
      <c r="N173" s="287"/>
      <c r="P173" s="230">
        <f t="shared" si="58"/>
        <v>0</v>
      </c>
    </row>
    <row r="174" spans="1:16" x14ac:dyDescent="0.2">
      <c r="B174" s="225"/>
      <c r="C174" s="234"/>
      <c r="D174" s="234"/>
      <c r="E174" s="234"/>
      <c r="F174" s="234"/>
      <c r="G174" s="234"/>
      <c r="H174" s="234"/>
      <c r="I174" s="235"/>
      <c r="J174" s="235"/>
      <c r="K174" s="235"/>
      <c r="L174" s="235"/>
      <c r="M174" s="235"/>
      <c r="N174" s="235"/>
      <c r="P174" s="230">
        <f t="shared" si="58"/>
        <v>0</v>
      </c>
    </row>
    <row r="175" spans="1:16" x14ac:dyDescent="0.2">
      <c r="B175" s="225" t="s">
        <v>2038</v>
      </c>
      <c r="C175" s="234"/>
      <c r="D175" s="234"/>
      <c r="E175" s="234"/>
      <c r="F175" s="234"/>
      <c r="G175" s="234"/>
      <c r="H175" s="234"/>
      <c r="I175" s="235"/>
      <c r="J175" s="235"/>
      <c r="K175" s="235"/>
      <c r="L175" s="235"/>
      <c r="M175" s="235"/>
      <c r="N175" s="235"/>
      <c r="P175" s="230">
        <f t="shared" si="58"/>
        <v>0</v>
      </c>
    </row>
    <row r="176" spans="1:16" x14ac:dyDescent="0.2">
      <c r="B176" s="225" t="s">
        <v>462</v>
      </c>
      <c r="C176" s="234"/>
      <c r="D176" s="234"/>
      <c r="E176" s="234"/>
      <c r="F176" s="234"/>
      <c r="G176" s="234"/>
      <c r="H176" s="234"/>
      <c r="I176" s="235"/>
      <c r="J176" s="235"/>
      <c r="K176" s="235"/>
      <c r="L176" s="235"/>
      <c r="M176" s="235"/>
      <c r="N176" s="235"/>
      <c r="P176" s="230">
        <f t="shared" si="58"/>
        <v>0</v>
      </c>
    </row>
    <row r="177" spans="1:43" x14ac:dyDescent="0.2">
      <c r="B177" s="225" t="s">
        <v>2037</v>
      </c>
      <c r="C177" s="234"/>
      <c r="D177" s="234"/>
      <c r="E177" s="234"/>
      <c r="F177" s="234"/>
      <c r="G177" s="234"/>
      <c r="H177" s="234"/>
      <c r="I177" s="235"/>
      <c r="J177" s="235"/>
      <c r="K177" s="235"/>
      <c r="L177" s="235"/>
      <c r="M177" s="235"/>
      <c r="N177" s="235"/>
      <c r="P177" s="230">
        <f t="shared" si="58"/>
        <v>0</v>
      </c>
    </row>
    <row r="178" spans="1:43" x14ac:dyDescent="0.2">
      <c r="B178" s="225" t="s">
        <v>2052</v>
      </c>
      <c r="C178" s="234"/>
      <c r="D178" s="234"/>
      <c r="E178" s="234"/>
      <c r="F178" s="234"/>
      <c r="G178" s="234"/>
      <c r="H178" s="234"/>
      <c r="I178" s="235"/>
      <c r="J178" s="235"/>
      <c r="K178" s="235"/>
      <c r="L178" s="235"/>
      <c r="M178" s="235"/>
      <c r="N178" s="235"/>
      <c r="P178" s="230">
        <f t="shared" si="58"/>
        <v>0</v>
      </c>
    </row>
    <row r="179" spans="1:43" x14ac:dyDescent="0.2">
      <c r="B179" s="225"/>
      <c r="C179" s="225"/>
      <c r="D179" s="225"/>
      <c r="E179" s="225"/>
      <c r="F179" s="225"/>
      <c r="G179" s="225"/>
      <c r="H179" s="201"/>
      <c r="I179" s="226"/>
      <c r="J179" s="226"/>
      <c r="K179" s="226"/>
      <c r="L179" s="226"/>
      <c r="M179" s="226"/>
      <c r="N179" s="226"/>
      <c r="P179" s="230">
        <f t="shared" si="58"/>
        <v>0</v>
      </c>
    </row>
    <row r="180" spans="1:43" x14ac:dyDescent="0.2">
      <c r="B180" s="288" t="s">
        <v>106</v>
      </c>
      <c r="C180" s="290" t="s">
        <v>463</v>
      </c>
      <c r="D180" s="288" t="s">
        <v>464</v>
      </c>
      <c r="E180" s="288" t="s">
        <v>465</v>
      </c>
      <c r="F180" s="288" t="s">
        <v>490</v>
      </c>
      <c r="G180" s="288" t="s">
        <v>466</v>
      </c>
      <c r="H180" s="292" t="s">
        <v>8</v>
      </c>
      <c r="I180" s="294" t="s">
        <v>467</v>
      </c>
      <c r="J180" s="295"/>
      <c r="K180" s="295"/>
      <c r="L180" s="296"/>
      <c r="M180" s="297" t="s">
        <v>468</v>
      </c>
      <c r="N180" s="299" t="s">
        <v>469</v>
      </c>
      <c r="P180" s="230">
        <f t="shared" si="58"/>
        <v>0</v>
      </c>
    </row>
    <row r="181" spans="1:43" ht="12.75" customHeight="1" x14ac:dyDescent="0.2">
      <c r="B181" s="289"/>
      <c r="C181" s="291"/>
      <c r="D181" s="289"/>
      <c r="E181" s="289"/>
      <c r="F181" s="289"/>
      <c r="G181" s="289"/>
      <c r="H181" s="293"/>
      <c r="I181" s="236" t="s">
        <v>470</v>
      </c>
      <c r="J181" s="236" t="s">
        <v>471</v>
      </c>
      <c r="K181" s="236" t="s">
        <v>472</v>
      </c>
      <c r="L181" s="236" t="s">
        <v>473</v>
      </c>
      <c r="M181" s="298"/>
      <c r="N181" s="300"/>
      <c r="P181" s="230">
        <f t="shared" si="58"/>
        <v>0</v>
      </c>
    </row>
    <row r="182" spans="1:43" x14ac:dyDescent="0.2">
      <c r="A182" s="224" t="str">
        <f>CONCATENATE("Лот"," ",A183)</f>
        <v>Лот 4</v>
      </c>
      <c r="B182" s="273" t="s">
        <v>2087</v>
      </c>
      <c r="C182" s="274"/>
      <c r="D182" s="274"/>
      <c r="E182" s="274"/>
      <c r="F182" s="274"/>
      <c r="G182" s="275"/>
      <c r="H182" s="238" t="s">
        <v>17</v>
      </c>
      <c r="I182" s="270">
        <f ca="1">ROUND(VLOOKUP($H182,$AJ$4:$AN$13,2,0)*$Q184*1.51,2)</f>
        <v>120.15</v>
      </c>
      <c r="J182" s="270">
        <f ca="1">ROUND(VLOOKUP($H182,$AJ$4:$AN$13,3,0)*$Q184*1.51,2)</f>
        <v>85.62</v>
      </c>
      <c r="K182" s="270">
        <f ca="1">ROUND(VLOOKUP($H182,$AJ$4:$AN$13,4,0)*$Q184*1.51,2)</f>
        <v>43.38</v>
      </c>
      <c r="L182" s="270"/>
      <c r="M182" s="270">
        <f ca="1">ROUND(VLOOKUP($H182,$AJ$4:$AN$13,5,0)*$Q184*1.51,2)</f>
        <v>6.85</v>
      </c>
      <c r="N182" s="270"/>
      <c r="P182" s="230">
        <f t="shared" si="58"/>
        <v>1</v>
      </c>
    </row>
    <row r="183" spans="1:43" x14ac:dyDescent="0.2">
      <c r="A183" s="224">
        <f>A128+1</f>
        <v>4</v>
      </c>
      <c r="B183" s="276"/>
      <c r="C183" s="277"/>
      <c r="D183" s="277"/>
      <c r="E183" s="277"/>
      <c r="F183" s="277"/>
      <c r="G183" s="278"/>
      <c r="H183" s="238" t="s">
        <v>25</v>
      </c>
      <c r="I183" s="270">
        <f ca="1">ROUND(VLOOKUP($H183,$AJ$4:$AN$13,2,0)*$Q184*1.51,2)</f>
        <v>898.69</v>
      </c>
      <c r="J183" s="270">
        <f ca="1">ROUND(VLOOKUP($H183,$AJ$4:$AN$13,3,0)*$Q184*1.51,2)</f>
        <v>642.13</v>
      </c>
      <c r="K183" s="270">
        <f ca="1">ROUND(VLOOKUP($H183,$AJ$4:$AN$13,4,0)*$Q184*1.51,2)</f>
        <v>323.06</v>
      </c>
      <c r="L183" s="270"/>
      <c r="M183" s="270">
        <f ca="1">ROUND(VLOOKUP($H183,$AJ$4:$AN$13,5,0)*$Q184*1.51,2)</f>
        <v>27.97</v>
      </c>
      <c r="N183" s="270"/>
      <c r="P183" s="230">
        <f t="shared" si="58"/>
        <v>1</v>
      </c>
      <c r="Q183" s="240" t="s">
        <v>2045</v>
      </c>
      <c r="R183" s="240" t="s">
        <v>2046</v>
      </c>
    </row>
    <row r="184" spans="1:43" x14ac:dyDescent="0.2">
      <c r="B184" s="276"/>
      <c r="C184" s="277"/>
      <c r="D184" s="277"/>
      <c r="E184" s="277"/>
      <c r="F184" s="277"/>
      <c r="G184" s="278"/>
      <c r="H184" s="238" t="s">
        <v>19</v>
      </c>
      <c r="I184" s="270">
        <f ca="1">ROUND(VLOOKUP($H184,$AJ$4:$AN$13,2,0)*$Q184*1.51,2)</f>
        <v>71.349999999999994</v>
      </c>
      <c r="J184" s="270">
        <f ca="1">ROUND(VLOOKUP($H184,$AJ$4:$AN$13,3,0)*$Q184*1.51,2)</f>
        <v>51.94</v>
      </c>
      <c r="K184" s="270">
        <f ca="1">ROUND(VLOOKUP($H184,$AJ$4:$AN$13,4,0)*$Q184*1.51,2)</f>
        <v>26.54</v>
      </c>
      <c r="L184" s="270"/>
      <c r="M184" s="270">
        <f ca="1">ROUND(VLOOKUP($H184,$AJ$4:$AN$13,5,0)*$Q184*1.51,2)</f>
        <v>1.43</v>
      </c>
      <c r="N184" s="270"/>
      <c r="P184" s="230">
        <f t="shared" si="58"/>
        <v>0</v>
      </c>
      <c r="Q184" s="123">
        <f ca="1">IFERROR(IF(R184="","",IF(OR(R184&lt;100,R184=100),0.9,IF(OR(AND(R184&gt;100,R184&lt;150),R184=150),1,IF(R184&gt;150,1.05,"")))),"0")</f>
        <v>1.05</v>
      </c>
      <c r="R184" s="123">
        <f ca="1">N200/G188</f>
        <v>196.89846153846153</v>
      </c>
    </row>
    <row r="185" spans="1:43" x14ac:dyDescent="0.2">
      <c r="B185" s="276"/>
      <c r="C185" s="277"/>
      <c r="D185" s="277"/>
      <c r="E185" s="277"/>
      <c r="F185" s="277"/>
      <c r="G185" s="278"/>
      <c r="H185" s="238" t="s">
        <v>268</v>
      </c>
      <c r="I185" s="270">
        <f ca="1">ROUND(VLOOKUP($H185,$AJ$4:$AN$13,2,0)*$Q184*1.51,2)</f>
        <v>898.69</v>
      </c>
      <c r="J185" s="270">
        <f ca="1">ROUND(VLOOKUP($H185,$AJ$4:$AN$13,3,0)*$Q184*1.51,2)</f>
        <v>642.13</v>
      </c>
      <c r="K185" s="270">
        <f ca="1">ROUND(VLOOKUP($H185,$AJ$4:$AN$13,4,0)*$Q184*1.51,2)</f>
        <v>323.06</v>
      </c>
      <c r="L185" s="270"/>
      <c r="M185" s="270">
        <f ca="1">ROUND(VLOOKUP($H185,$AJ$4:$AN$13,5,0)*$Q184*1.51,2)</f>
        <v>27.97</v>
      </c>
      <c r="N185" s="270"/>
    </row>
    <row r="186" spans="1:43" x14ac:dyDescent="0.2">
      <c r="B186" s="276"/>
      <c r="C186" s="277"/>
      <c r="D186" s="277"/>
      <c r="E186" s="277"/>
      <c r="F186" s="277"/>
      <c r="G186" s="278"/>
      <c r="H186" s="238" t="s">
        <v>40</v>
      </c>
      <c r="I186" s="270">
        <f ca="1">ROUND(VLOOKUP($H186,$AJ$4:$AN$13,2,0)*$Q184*1.51,2)</f>
        <v>71.349999999999994</v>
      </c>
      <c r="J186" s="270">
        <f ca="1">ROUND(VLOOKUP($H186,$AJ$4:$AN$13,3,0)*$Q184*1.51,2)</f>
        <v>51.94</v>
      </c>
      <c r="K186" s="270">
        <f ca="1">ROUND(VLOOKUP($H186,$AJ$4:$AN$13,4,0)*$Q184*1.51,2)</f>
        <v>26.54</v>
      </c>
      <c r="L186" s="270"/>
      <c r="M186" s="270">
        <f ca="1">ROUND(VLOOKUP($H186,$AJ$4:$AN$13,5,0)*$Q184*1.51,2)</f>
        <v>1.43</v>
      </c>
      <c r="N186" s="270"/>
      <c r="P186" s="230">
        <f t="shared" ref="P186:P199" si="59">IF(A186&gt;0,1,0)</f>
        <v>0</v>
      </c>
    </row>
    <row r="187" spans="1:43" x14ac:dyDescent="0.2">
      <c r="B187" s="279"/>
      <c r="C187" s="280"/>
      <c r="D187" s="280"/>
      <c r="E187" s="280"/>
      <c r="F187" s="280"/>
      <c r="G187" s="281"/>
      <c r="H187" s="238" t="s">
        <v>18</v>
      </c>
      <c r="I187" s="270">
        <f ca="1">ROUND(VLOOKUP($H187,$AJ$4:$AN$13,2,0)*$Q184*1.51,2)</f>
        <v>22.83</v>
      </c>
      <c r="J187" s="270">
        <f ca="1">ROUND(VLOOKUP($H187,$AJ$4:$AN$13,3,0)*$Q184*1.51,2)</f>
        <v>17.41</v>
      </c>
      <c r="K187" s="270">
        <f ca="1">ROUND(VLOOKUP($H187,$AJ$4:$AN$13,4,0)*$Q184*1.51,2)</f>
        <v>8.85</v>
      </c>
      <c r="L187" s="270"/>
      <c r="M187" s="270">
        <f ca="1">ROUND(VLOOKUP($H187,$AJ$4:$AN$13,5,0)*$Q184*1.51*1,2)</f>
        <v>0.56999999999999995</v>
      </c>
      <c r="N187" s="270"/>
      <c r="P187" s="230">
        <f t="shared" si="59"/>
        <v>0</v>
      </c>
      <c r="AP187" s="241" t="s">
        <v>2053</v>
      </c>
      <c r="AQ187" s="242"/>
    </row>
    <row r="188" spans="1:43" x14ac:dyDescent="0.2">
      <c r="A188" s="224">
        <f>A133+37</f>
        <v>111</v>
      </c>
      <c r="B188" s="243" t="str">
        <f ca="1">OFFSET(ЛОТЫ!$L$5,A188,0,1,1)</f>
        <v>Вишнево-Полянское</v>
      </c>
      <c r="C188" s="244" t="s">
        <v>474</v>
      </c>
      <c r="D188" s="243">
        <f ca="1">OFFSET(ЛОТЫ!$M$5,A188,0,1,1)</f>
        <v>19</v>
      </c>
      <c r="E188" s="243">
        <f ca="1">OFFSET(ЛОТЫ!$N$5,A188,0,1,1)</f>
        <v>5</v>
      </c>
      <c r="F188" s="243">
        <f ca="1">OFFSET(ЛОТЫ!$O$5,A188,0,1,1)</f>
        <v>1</v>
      </c>
      <c r="G188" s="271">
        <f ca="1">IFERROR(INDEX('Ведомость расчета мин. платы'!$G$10:$AC$214,MATCH(CONCATENATE(B188,"/",D188,"/",E188,"/",F188),'Ведомость расчета мин. платы'!$AC$10:$AC$214,0),1),"")</f>
        <v>6.5</v>
      </c>
      <c r="H188" s="246" t="s">
        <v>17</v>
      </c>
      <c r="I188" s="247">
        <f ca="1">IFERROR(INDEX('Ведомость расчета мин. платы'!$J$10:$AE$214,MATCH(CONCATENATE(РАСЧЕТ!B188,"/",РАСЧЕТ!D188,"/",РАСЧЕТ!E188,"/",F188,"/",H188),'Ведомость расчета мин. платы'!$AE$10:$AE$214,0),2),"")</f>
        <v>63</v>
      </c>
      <c r="J188" s="247">
        <f ca="1">IFERROR(INDEX('Ведомость расчета мин. платы'!$J$10:$AE$214,MATCH(CONCATENATE(РАСЧЕТ!B188,"/",РАСЧЕТ!D188,"/",РАСЧЕТ!E188,"/",F188,"/",H188),'Ведомость расчета мин. платы'!$AE$10:$AE$214,0),3),"")</f>
        <v>178.2</v>
      </c>
      <c r="K188" s="247">
        <f ca="1">IFERROR(INDEX('Ведомость расчета мин. платы'!$J$10:$AE$214,MATCH(CONCATENATE(РАСЧЕТ!B188,"/",РАСЧЕТ!D188,"/",РАСЧЕТ!E188,"/",F188,"/",H188),'Ведомость расчета мин. платы'!$AE$10:$AE$214,0),4),"")</f>
        <v>58.8</v>
      </c>
      <c r="L188" s="248">
        <f t="shared" ref="L188:L200" ca="1" si="60">IFERROR(SUM(I188:K188),"")</f>
        <v>300</v>
      </c>
      <c r="M188" s="214">
        <f ca="1">IFERROR(INDEX('Ведомость расчета мин. платы'!$J$10:$AE$214,MATCH(CONCATENATE(РАСЧЕТ!B188,"/",РАСЧЕТ!D188,"/",РАСЧЕТ!E188,"/",F188,"/",H188),'Ведомость расчета мин. платы'!$AE$10:$AE$214,0),6),"")</f>
        <v>233.6</v>
      </c>
      <c r="N188" s="214">
        <f t="shared" ref="N188:N200" ca="1" si="61">IFERROR(SUM(L188:M188),"")</f>
        <v>533.6</v>
      </c>
      <c r="O188" s="229">
        <f>IF(H188="стоимость","",1)</f>
        <v>1</v>
      </c>
      <c r="P188" s="230">
        <f t="shared" si="59"/>
        <v>1</v>
      </c>
      <c r="AP188" s="242"/>
      <c r="AQ188" s="242"/>
    </row>
    <row r="189" spans="1:43" x14ac:dyDescent="0.2">
      <c r="B189" s="249"/>
      <c r="C189" s="249"/>
      <c r="D189" s="249"/>
      <c r="E189" s="249"/>
      <c r="F189" s="249"/>
      <c r="G189" s="249"/>
      <c r="H189" s="250" t="s">
        <v>475</v>
      </c>
      <c r="I189" s="251">
        <f ca="1">IFERROR(ROUND(I188*I182,2),"")</f>
        <v>7569.45</v>
      </c>
      <c r="J189" s="251">
        <f t="shared" ref="J189" ca="1" si="62">IFERROR(ROUND(J188*J182,2),"")</f>
        <v>15257.48</v>
      </c>
      <c r="K189" s="251">
        <f t="shared" ref="K189" ca="1" si="63">IFERROR(ROUND(K188*K182,2),"")</f>
        <v>2550.7399999999998</v>
      </c>
      <c r="L189" s="251">
        <f t="shared" ca="1" si="60"/>
        <v>25377.67</v>
      </c>
      <c r="M189" s="251">
        <v>1600.1700000000021</v>
      </c>
      <c r="N189" s="252">
        <f t="shared" ca="1" si="61"/>
        <v>26977.84</v>
      </c>
      <c r="O189" s="229" t="str">
        <f t="shared" ref="O189:O199" si="64">IF(H189="стоимость","",1)</f>
        <v/>
      </c>
      <c r="P189" s="230">
        <f t="shared" si="59"/>
        <v>0</v>
      </c>
      <c r="AP189" s="242">
        <f ca="1">SUMIFS('Ведомость расчета мин. платы'!$S$10:$S$209,'Ведомость расчета мин. платы'!$AE$10:$AE$209,CONCATENATE(B188,"/",D188,"/",E188,"/",F188,"/",H188))</f>
        <v>26977.84</v>
      </c>
      <c r="AQ189" s="253">
        <f t="shared" ref="AQ189" ca="1" si="65">AP189-N189</f>
        <v>0</v>
      </c>
    </row>
    <row r="190" spans="1:43" x14ac:dyDescent="0.2">
      <c r="B190" s="249"/>
      <c r="C190" s="249"/>
      <c r="D190" s="249"/>
      <c r="E190" s="249"/>
      <c r="F190" s="249"/>
      <c r="G190" s="249"/>
      <c r="H190" s="246" t="s">
        <v>25</v>
      </c>
      <c r="I190" s="247" t="str">
        <f ca="1">IFERROR(INDEX('Ведомость расчета мин. платы'!$J$10:$AE$214,MATCH(CONCATENATE(РАСЧЕТ!B188,"/",РАСЧЕТ!D188,"/",РАСЧЕТ!E188,"/",F188,"/",H190),'Ведомость расчета мин. платы'!$AE$10:$AE$214,0),2),"")</f>
        <v/>
      </c>
      <c r="J190" s="247" t="str">
        <f ca="1">IFERROR(INDEX('Ведомость расчета мин. платы'!$J$10:$AE$214,MATCH(CONCATENATE(РАСЧЕТ!B188,"/",РАСЧЕТ!D188,"/",РАСЧЕТ!E188,"/",F188,"/",H190),'Ведомость расчета мин. платы'!$AE$10:$AE$214,0),3),"")</f>
        <v/>
      </c>
      <c r="K190" s="247" t="str">
        <f ca="1">IFERROR(INDEX('Ведомость расчета мин. платы'!$J$10:$AE$214,MATCH(CONCATENATE(РАСЧЕТ!B188,"/",РАСЧЕТ!D188,"/",РАСЧЕТ!E188,"/",F188,"/",H190),'Ведомость расчета мин. платы'!$AE$10:$AE$214,0),4),"")</f>
        <v/>
      </c>
      <c r="L190" s="248">
        <f t="shared" ca="1" si="60"/>
        <v>0</v>
      </c>
      <c r="M190" s="214" t="str">
        <f ca="1">IFERROR(INDEX('Ведомость расчета мин. платы'!$J$10:$AE$214,MATCH(CONCATENATE(РАСЧЕТ!B188,"/",РАСЧЕТ!D188,"/",РАСЧЕТ!E188,"/",F188,"/",H190),'Ведомость расчета мин. платы'!$AE$10:$AE$214,0),6),"")</f>
        <v/>
      </c>
      <c r="N190" s="214">
        <f t="shared" ca="1" si="61"/>
        <v>0</v>
      </c>
      <c r="O190" s="229">
        <f t="shared" si="64"/>
        <v>1</v>
      </c>
      <c r="P190" s="230">
        <f t="shared" si="59"/>
        <v>0</v>
      </c>
      <c r="AP190" s="242"/>
      <c r="AQ190" s="253"/>
    </row>
    <row r="191" spans="1:43" x14ac:dyDescent="0.2">
      <c r="B191" s="249"/>
      <c r="C191" s="249"/>
      <c r="D191" s="249"/>
      <c r="E191" s="249"/>
      <c r="F191" s="249"/>
      <c r="G191" s="249"/>
      <c r="H191" s="250" t="s">
        <v>475</v>
      </c>
      <c r="I191" s="251" t="str">
        <f ca="1">IFERROR(ROUND(I190*I183,2),"")</f>
        <v/>
      </c>
      <c r="J191" s="251" t="str">
        <f t="shared" ref="J191" ca="1" si="66">IFERROR(ROUND(J190*J183,2),"")</f>
        <v/>
      </c>
      <c r="K191" s="251" t="str">
        <f t="shared" ref="K191" ca="1" si="67">IFERROR(ROUND(K190*K183,2),"")</f>
        <v/>
      </c>
      <c r="L191" s="251">
        <f t="shared" ca="1" si="60"/>
        <v>0</v>
      </c>
      <c r="M191" s="251" t="str">
        <f t="shared" ref="M191" ca="1" si="68">IFERROR(ROUND(M190*M183,2),"")</f>
        <v/>
      </c>
      <c r="N191" s="252">
        <f t="shared" ca="1" si="61"/>
        <v>0</v>
      </c>
      <c r="O191" s="229" t="str">
        <f t="shared" si="64"/>
        <v/>
      </c>
      <c r="P191" s="230">
        <f t="shared" si="59"/>
        <v>0</v>
      </c>
      <c r="AP191" s="242">
        <f ca="1">SUMIFS('Ведомость расчета мин. платы'!$S$10:$S$209,'Ведомость расчета мин. платы'!$AE$10:$AE$209,CONCATENATE(B188,"/",D188,"/",E188,"/",F188,"/",H190))</f>
        <v>0</v>
      </c>
      <c r="AQ191" s="253">
        <f t="shared" ref="AQ191" ca="1" si="69">AP191-N191</f>
        <v>0</v>
      </c>
    </row>
    <row r="192" spans="1:43" x14ac:dyDescent="0.2">
      <c r="B192" s="249"/>
      <c r="C192" s="249"/>
      <c r="D192" s="249"/>
      <c r="E192" s="249"/>
      <c r="F192" s="249"/>
      <c r="G192" s="249"/>
      <c r="H192" s="205" t="s">
        <v>19</v>
      </c>
      <c r="I192" s="248">
        <f ca="1">IFERROR(INDEX('Ведомость расчета мин. платы'!$J$10:$AE$214,MATCH(CONCATENATE(РАСЧЕТ!B188,"/",РАСЧЕТ!D188,"/",РАСЧЕТ!E188,"/",F188,"/",H192),'Ведомость расчета мин. платы'!$AE$10:$AE$214,0),2),"")</f>
        <v>1.46</v>
      </c>
      <c r="J192" s="248">
        <f ca="1">IFERROR(INDEX('Ведомость расчета мин. платы'!$J$10:$AE$214,MATCH(CONCATENATE(РАСЧЕТ!B188,"/",РАСЧЕТ!D188,"/",РАСЧЕТ!E188,"/",F188,"/",H192),'Ведомость расчета мин. платы'!$AE$10:$AE$214,0),3),"")</f>
        <v>27.42</v>
      </c>
      <c r="K192" s="248">
        <f ca="1">IFERROR(INDEX('Ведомость расчета мин. платы'!$J$10:$AE$214,MATCH(CONCATENATE(РАСЧЕТ!B188,"/",РАСЧЕТ!D188,"/",РАСЧЕТ!E188,"/",F188,"/",H192),'Ведомость расчета мин. платы'!$AE$10:$AE$214,0),4),"")</f>
        <v>8.11</v>
      </c>
      <c r="L192" s="248">
        <f t="shared" ca="1" si="60"/>
        <v>36.99</v>
      </c>
      <c r="M192" s="248">
        <f ca="1">IFERROR(INDEX('Ведомость расчета мин. платы'!$J$10:$AE$214,MATCH(CONCATENATE(РАСЧЕТ!B188,"/",РАСЧЕТ!D188,"/",РАСЧЕТ!E188,"/",F188,"/",H192),'Ведомость расчета мин. платы'!$AE$10:$AE$214,0),6),"")</f>
        <v>85.05</v>
      </c>
      <c r="N192" s="214">
        <f t="shared" ca="1" si="61"/>
        <v>122.03999999999999</v>
      </c>
      <c r="O192" s="229">
        <f t="shared" si="64"/>
        <v>1</v>
      </c>
      <c r="P192" s="230">
        <f t="shared" si="59"/>
        <v>0</v>
      </c>
      <c r="AP192" s="242"/>
      <c r="AQ192" s="253"/>
    </row>
    <row r="193" spans="2:43" x14ac:dyDescent="0.2">
      <c r="B193" s="249"/>
      <c r="C193" s="249"/>
      <c r="D193" s="249"/>
      <c r="E193" s="249"/>
      <c r="F193" s="249"/>
      <c r="G193" s="249"/>
      <c r="H193" s="250" t="s">
        <v>475</v>
      </c>
      <c r="I193" s="251">
        <f ca="1">IFERROR(ROUND(I192*I184,2),"")</f>
        <v>104.17</v>
      </c>
      <c r="J193" s="251">
        <f t="shared" ref="J193" ca="1" si="70">IFERROR(ROUND(J192*J184,2),"")</f>
        <v>1424.19</v>
      </c>
      <c r="K193" s="251">
        <f t="shared" ref="K193" ca="1" si="71">IFERROR(ROUND(K192*K184,2),"")</f>
        <v>215.24</v>
      </c>
      <c r="L193" s="251">
        <f t="shared" ca="1" si="60"/>
        <v>1743.6000000000001</v>
      </c>
      <c r="M193" s="251">
        <f t="shared" ref="M193" ca="1" si="72">IFERROR(ROUND(M192*M184,2),"")</f>
        <v>121.62</v>
      </c>
      <c r="N193" s="252">
        <f t="shared" ca="1" si="61"/>
        <v>1865.2200000000003</v>
      </c>
      <c r="O193" s="229" t="str">
        <f t="shared" si="64"/>
        <v/>
      </c>
      <c r="P193" s="230">
        <f t="shared" si="59"/>
        <v>0</v>
      </c>
      <c r="AP193" s="242">
        <f ca="1">SUMIFS('Ведомость расчета мин. платы'!$S$10:$S$209,'Ведомость расчета мин. платы'!$AE$10:$AE$209,CONCATENATE(B188,"/",D188,"/",E188,"/",F188,"/",H192))</f>
        <v>1865.22</v>
      </c>
      <c r="AQ193" s="253">
        <f t="shared" ref="AQ193" ca="1" si="73">AP193-N193</f>
        <v>0</v>
      </c>
    </row>
    <row r="194" spans="2:43" x14ac:dyDescent="0.2">
      <c r="B194" s="249"/>
      <c r="C194" s="249"/>
      <c r="D194" s="249"/>
      <c r="E194" s="249"/>
      <c r="F194" s="249"/>
      <c r="G194" s="249"/>
      <c r="H194" s="205" t="s">
        <v>268</v>
      </c>
      <c r="I194" s="248" t="str">
        <f ca="1">IFERROR(INDEX('Ведомость расчета мин. платы'!$J$10:$AE$214,MATCH(CONCATENATE(РАСЧЕТ!B188,"/",РАСЧЕТ!D188,"/",РАСЧЕТ!E188,"/",F188,"/",H194),'Ведомость расчета мин. платы'!$AE$10:$AE$214,0),2),"")</f>
        <v/>
      </c>
      <c r="J194" s="248" t="str">
        <f ca="1">IFERROR(INDEX('Ведомость расчета мин. платы'!$J$10:$AE$214,MATCH(CONCATENATE(РАСЧЕТ!B188,"/",РАСЧЕТ!D188,"/",РАСЧЕТ!E188,"/",F188,"/",H194),'Ведомость расчета мин. платы'!$AE$10:$AE$214,0),3),"")</f>
        <v/>
      </c>
      <c r="K194" s="248" t="str">
        <f ca="1">IFERROR(INDEX('Ведомость расчета мин. платы'!$J$10:$AE$214,MATCH(CONCATENATE(РАСЧЕТ!B188,"/",РАСЧЕТ!D188,"/",РАСЧЕТ!E188,"/",F188,"/",H194),'Ведомость расчета мин. платы'!$AE$10:$AE$214,0),4),"")</f>
        <v/>
      </c>
      <c r="L194" s="248">
        <f t="shared" ca="1" si="60"/>
        <v>0</v>
      </c>
      <c r="M194" s="248" t="str">
        <f ca="1">IFERROR(INDEX('Ведомость расчета мин. платы'!$J$10:$AE$214,MATCH(CONCATENATE(РАСЧЕТ!B188,"/",РАСЧЕТ!D188,"/",РАСЧЕТ!E188,"/",F188,"/",H194),'Ведомость расчета мин. платы'!$AE$10:$AE$214,0),6),"")</f>
        <v/>
      </c>
      <c r="N194" s="214">
        <f t="shared" ca="1" si="61"/>
        <v>0</v>
      </c>
      <c r="O194" s="229">
        <f t="shared" si="64"/>
        <v>1</v>
      </c>
      <c r="P194" s="230">
        <f t="shared" si="59"/>
        <v>0</v>
      </c>
      <c r="AP194" s="242"/>
      <c r="AQ194" s="253"/>
    </row>
    <row r="195" spans="2:43" x14ac:dyDescent="0.2">
      <c r="B195" s="249"/>
      <c r="C195" s="249"/>
      <c r="D195" s="249"/>
      <c r="E195" s="249"/>
      <c r="F195" s="249"/>
      <c r="G195" s="249"/>
      <c r="H195" s="250" t="s">
        <v>475</v>
      </c>
      <c r="I195" s="251" t="str">
        <f ca="1">IFERROR(ROUND(I194*I187,2),"")</f>
        <v/>
      </c>
      <c r="J195" s="251" t="str">
        <f ca="1">IFERROR(ROUND(J194*J185,2),"")</f>
        <v/>
      </c>
      <c r="K195" s="251" t="str">
        <f ca="1">IFERROR(ROUND(K194*K185,2),"")</f>
        <v/>
      </c>
      <c r="L195" s="251">
        <f t="shared" ca="1" si="60"/>
        <v>0</v>
      </c>
      <c r="M195" s="251" t="str">
        <f ca="1">IFERROR(ROUND(M194*M185,2),"")</f>
        <v/>
      </c>
      <c r="N195" s="252">
        <f t="shared" ca="1" si="61"/>
        <v>0</v>
      </c>
      <c r="O195" s="229" t="str">
        <f t="shared" si="64"/>
        <v/>
      </c>
      <c r="P195" s="230">
        <f t="shared" si="59"/>
        <v>0</v>
      </c>
      <c r="AP195" s="242">
        <f ca="1">SUMIFS('Ведомость расчета мин. платы'!$S$10:$S$209,'Ведомость расчета мин. платы'!$AE$10:$AE$209,CONCATENATE(B188,"/",D188,"/",E188,"/",F188,"/",H595))</f>
        <v>0</v>
      </c>
      <c r="AQ195" s="253">
        <f t="shared" ref="AQ195" ca="1" si="74">AP195-N195</f>
        <v>0</v>
      </c>
    </row>
    <row r="196" spans="2:43" x14ac:dyDescent="0.2">
      <c r="B196" s="249"/>
      <c r="C196" s="249"/>
      <c r="D196" s="249"/>
      <c r="E196" s="249"/>
      <c r="F196" s="249"/>
      <c r="G196" s="249"/>
      <c r="H196" s="205" t="s">
        <v>40</v>
      </c>
      <c r="I196" s="248" t="str">
        <f ca="1">IFERROR(INDEX('Ведомость расчета мин. платы'!$J$10:$AE$214,MATCH(CONCATENATE(РАСЧЕТ!B188,"/",РАСЧЕТ!D188,"/",РАСЧЕТ!E188,"/",F188,"/",H196),'Ведомость расчета мин. платы'!$AE$10:$AE$214,0),2),"")</f>
        <v/>
      </c>
      <c r="J196" s="248" t="str">
        <f ca="1">IFERROR(INDEX('Ведомость расчета мин. платы'!$J$10:$AE$214,MATCH(CONCATENATE(РАСЧЕТ!B188,"/",РАСЧЕТ!D188,"/",РАСЧЕТ!E188,"/",F188,"/",H196),'Ведомость расчета мин. платы'!$AE$10:$AE$214,0),3),"")</f>
        <v/>
      </c>
      <c r="K196" s="248" t="str">
        <f ca="1">IFERROR(INDEX('Ведомость расчета мин. платы'!$J$10:$AE$214,MATCH(CONCATENATE(РАСЧЕТ!B188,"/",РАСЧЕТ!D188,"/",РАСЧЕТ!E188,"/",F188,"/",H196),'Ведомость расчета мин. платы'!$AE$10:$AE$214,0),4),"")</f>
        <v/>
      </c>
      <c r="L196" s="248">
        <f t="shared" ca="1" si="60"/>
        <v>0</v>
      </c>
      <c r="M196" s="248" t="str">
        <f ca="1">IFERROR(INDEX('Ведомость расчета мин. платы'!$J$10:$AE$214,MATCH(CONCATENATE(РАСЧЕТ!B188,"/",РАСЧЕТ!D188,"/",РАСЧЕТ!E188,"/",F188,"/",H196),'Ведомость расчета мин. платы'!$AE$10:$AE$214,0),6),"")</f>
        <v/>
      </c>
      <c r="N196" s="214">
        <f t="shared" ca="1" si="61"/>
        <v>0</v>
      </c>
      <c r="O196" s="229">
        <f t="shared" si="64"/>
        <v>1</v>
      </c>
      <c r="P196" s="230">
        <f t="shared" si="59"/>
        <v>0</v>
      </c>
      <c r="AP196" s="242"/>
      <c r="AQ196" s="253"/>
    </row>
    <row r="197" spans="2:43" x14ac:dyDescent="0.2">
      <c r="B197" s="249"/>
      <c r="C197" s="249"/>
      <c r="D197" s="249"/>
      <c r="E197" s="249"/>
      <c r="F197" s="249"/>
      <c r="G197" s="249"/>
      <c r="H197" s="250" t="s">
        <v>475</v>
      </c>
      <c r="I197" s="251" t="str">
        <f ca="1">IFERROR(ROUND(I196*I186,2),"")</f>
        <v/>
      </c>
      <c r="J197" s="251" t="str">
        <f t="shared" ref="J197" ca="1" si="75">IFERROR(ROUND(J196*J186,2),"")</f>
        <v/>
      </c>
      <c r="K197" s="251" t="str">
        <f t="shared" ref="K197" ca="1" si="76">IFERROR(ROUND(K196*K186,2),"")</f>
        <v/>
      </c>
      <c r="L197" s="251">
        <f t="shared" ca="1" si="60"/>
        <v>0</v>
      </c>
      <c r="M197" s="251" t="str">
        <f t="shared" ref="M197" ca="1" si="77">IFERROR(ROUND(M196*M186,2),"")</f>
        <v/>
      </c>
      <c r="N197" s="252">
        <f t="shared" ca="1" si="61"/>
        <v>0</v>
      </c>
      <c r="O197" s="229" t="str">
        <f t="shared" si="64"/>
        <v/>
      </c>
      <c r="P197" s="230">
        <f t="shared" si="59"/>
        <v>0</v>
      </c>
      <c r="AP197" s="242">
        <f ca="1">SUMIFS('Ведомость расчета мин. платы'!$S$10:$S$209,'Ведомость расчета мин. платы'!$AE$10:$AE$209,CONCATENATE(B188,"/",D188,"/",E188,"/",F188,"/",H196))</f>
        <v>0</v>
      </c>
      <c r="AQ197" s="253">
        <f t="shared" ref="AQ197" ca="1" si="78">AP197-N197</f>
        <v>0</v>
      </c>
    </row>
    <row r="198" spans="2:43" x14ac:dyDescent="0.2">
      <c r="B198" s="249"/>
      <c r="C198" s="249"/>
      <c r="D198" s="249"/>
      <c r="E198" s="249"/>
      <c r="F198" s="249"/>
      <c r="G198" s="249"/>
      <c r="H198" s="205" t="s">
        <v>18</v>
      </c>
      <c r="I198" s="248">
        <f ca="1">IFERROR(INDEX('Ведомость расчета мин. платы'!$J$10:$AE$214,MATCH(CONCATENATE(РАСЧЕТ!B188,"/",РАСЧЕТ!D188,"/",РАСЧЕТ!E188,"/",F188,"/",H198),'Ведомость расчета мин. платы'!$AE$10:$AE$214,0),2),"")</f>
        <v>168.5</v>
      </c>
      <c r="J198" s="248">
        <f ca="1">IFERROR(INDEX('Ведомость расчета мин. платы'!$J$10:$AE$214,MATCH(CONCATENATE(РАСЧЕТ!B188,"/",РАСЧЕТ!D188,"/",РАСЧЕТ!E188,"/",F188,"/",H198),'Ведомость расчета мин. платы'!$AE$10:$AE$214,0),3),"")</f>
        <v>171</v>
      </c>
      <c r="K198" s="248">
        <f ca="1">IFERROR(INDEX('Ведомость расчета мин. платы'!$J$10:$AE$214,MATCH(CONCATENATE(РАСЧЕТ!B188,"/",РАСЧЕТ!D188,"/",РАСЧЕТ!E188,"/",F188,"/",H198),'Ведомость расчета мин. платы'!$AE$10:$AE$214,0),4),"")</f>
        <v>13.8</v>
      </c>
      <c r="L198" s="248">
        <f t="shared" ca="1" si="60"/>
        <v>353.3</v>
      </c>
      <c r="M198" s="248">
        <f ca="1">IFERROR(INDEX('Ведомость расчета мин. платы'!$J$10:$AE$214,MATCH(CONCATENATE(РАСЧЕТ!B188,"/",РАСЧЕТ!D188,"/",РАСЧЕТ!E188,"/",F188,"/",H198),'Ведомость расчета мин. платы'!$AE$10:$AE$214,0),6),"")</f>
        <v>270.89999999999998</v>
      </c>
      <c r="N198" s="214">
        <f t="shared" ca="1" si="61"/>
        <v>624.20000000000005</v>
      </c>
      <c r="O198" s="229">
        <f t="shared" si="64"/>
        <v>1</v>
      </c>
      <c r="P198" s="230">
        <f t="shared" si="59"/>
        <v>0</v>
      </c>
      <c r="AP198" s="242"/>
      <c r="AQ198" s="253"/>
    </row>
    <row r="199" spans="2:43" x14ac:dyDescent="0.2">
      <c r="B199" s="249"/>
      <c r="C199" s="249"/>
      <c r="D199" s="249"/>
      <c r="E199" s="249"/>
      <c r="F199" s="249"/>
      <c r="G199" s="249"/>
      <c r="H199" s="250" t="s">
        <v>475</v>
      </c>
      <c r="I199" s="251">
        <f ca="1">IFERROR(ROUND(I198*I187,2),"")</f>
        <v>3846.86</v>
      </c>
      <c r="J199" s="251">
        <f t="shared" ref="J199" ca="1" si="79">IFERROR(ROUND(J198*J187,2),"")</f>
        <v>2977.11</v>
      </c>
      <c r="K199" s="251">
        <f t="shared" ref="K199" ca="1" si="80">IFERROR(ROUND(K198*K187,2),"")</f>
        <v>122.13</v>
      </c>
      <c r="L199" s="251">
        <f t="shared" ca="1" si="60"/>
        <v>6946.1</v>
      </c>
      <c r="M199" s="251">
        <f t="shared" ref="M199" ca="1" si="81">IFERROR(ROUND(M198*M187,2),"")</f>
        <v>154.41</v>
      </c>
      <c r="N199" s="252">
        <f t="shared" ca="1" si="61"/>
        <v>7100.51</v>
      </c>
      <c r="O199" s="229" t="str">
        <f t="shared" si="64"/>
        <v/>
      </c>
      <c r="P199" s="230">
        <f t="shared" si="59"/>
        <v>0</v>
      </c>
      <c r="AP199" s="242">
        <f ca="1">SUMIFS('Ведомость расчета мин. платы'!$S$10:$S$209,'Ведомость расчета мин. платы'!$AE$10:$AE$209,CONCATENATE(B188,"/",D188,"/",E188,"/",F188,"/",H198))</f>
        <v>7100.51</v>
      </c>
      <c r="AQ199" s="253">
        <f t="shared" ref="AQ199" ca="1" si="82">AP199-N199</f>
        <v>0</v>
      </c>
    </row>
    <row r="200" spans="2:43" x14ac:dyDescent="0.2">
      <c r="B200" s="249"/>
      <c r="C200" s="249"/>
      <c r="D200" s="249"/>
      <c r="E200" s="249"/>
      <c r="F200" s="249"/>
      <c r="G200" s="249"/>
      <c r="H200" s="254" t="s">
        <v>476</v>
      </c>
      <c r="I200" s="251">
        <f ca="1">SUMIF($O188:$O201,1,I188:I199)</f>
        <v>232.95999999999998</v>
      </c>
      <c r="J200" s="251">
        <f ca="1">SUMIF($O188:$O201,1,J188:J199)</f>
        <v>376.62</v>
      </c>
      <c r="K200" s="251">
        <f ca="1">SUMIF($O188:$O201,1,K188:K199)</f>
        <v>80.709999999999994</v>
      </c>
      <c r="L200" s="251">
        <f t="shared" ca="1" si="60"/>
        <v>690.29</v>
      </c>
      <c r="M200" s="251">
        <f ca="1">SUMIF($O188:$O201,1,M188:M199)</f>
        <v>589.54999999999995</v>
      </c>
      <c r="N200" s="252">
        <f t="shared" ca="1" si="61"/>
        <v>1279.8399999999999</v>
      </c>
      <c r="AP200" s="242"/>
      <c r="AQ200" s="253"/>
    </row>
    <row r="201" spans="2:43" x14ac:dyDescent="0.2">
      <c r="B201" s="249"/>
      <c r="C201" s="249"/>
      <c r="D201" s="249"/>
      <c r="E201" s="249"/>
      <c r="F201" s="249"/>
      <c r="G201" s="249"/>
      <c r="H201" s="254" t="s">
        <v>491</v>
      </c>
      <c r="I201" s="251">
        <f ca="1">SUMIF(H188:H199,"стоимость",I188:I199)</f>
        <v>11520.48</v>
      </c>
      <c r="J201" s="251">
        <f ca="1">SUMIF(H188:H199,"стоимость",J188:J199)</f>
        <v>19658.78</v>
      </c>
      <c r="K201" s="251">
        <f ca="1">SUMIF(H188:H199,"стоимость",K188:K199)</f>
        <v>2888.1099999999997</v>
      </c>
      <c r="L201" s="251">
        <f ca="1">IFERROR(SUM(I201:K201),"")</f>
        <v>34067.369999999995</v>
      </c>
      <c r="M201" s="251">
        <f ca="1">SUMIF(H188:H199,"стоимость",M188:M199)</f>
        <v>1876.2000000000023</v>
      </c>
      <c r="N201" s="252">
        <f ca="1">IFERROR(SUM(L201:M201),"")</f>
        <v>35943.57</v>
      </c>
      <c r="AP201" s="242">
        <f ca="1">SUMIFS('Ведомость расчета мин. платы'!$S$10:$S$209,'Ведомость расчета мин. платы'!$J$10:$J$209,"Итого",'Ведомость расчета мин. платы'!$AC$10:$AC$209,CONCATENATE(B188,"/",D188,"/",E188,"/",F188))</f>
        <v>35943.57</v>
      </c>
      <c r="AQ201" s="253">
        <f ca="1">AP201-N201</f>
        <v>0</v>
      </c>
    </row>
    <row r="202" spans="2:43" x14ac:dyDescent="0.2">
      <c r="B202" s="255"/>
      <c r="C202" s="255"/>
      <c r="D202" s="255"/>
      <c r="E202" s="255"/>
      <c r="F202" s="255"/>
      <c r="G202" s="256"/>
      <c r="H202" s="257"/>
      <c r="I202" s="258"/>
      <c r="J202" s="258"/>
      <c r="K202" s="258"/>
      <c r="L202" s="258"/>
      <c r="M202" s="258"/>
      <c r="N202" s="258"/>
      <c r="P202" s="230">
        <f t="shared" ref="P202:P220" si="83">IF(A202&gt;0,1,0)</f>
        <v>0</v>
      </c>
    </row>
    <row r="203" spans="2:43" x14ac:dyDescent="0.2">
      <c r="B203" s="282" t="s">
        <v>477</v>
      </c>
      <c r="C203" s="282"/>
      <c r="D203" s="282"/>
      <c r="E203" s="282"/>
      <c r="F203" s="259"/>
      <c r="G203" s="225"/>
      <c r="H203" s="201"/>
      <c r="I203" s="226"/>
      <c r="J203" s="258"/>
      <c r="K203" s="258"/>
      <c r="L203" s="258"/>
      <c r="M203" s="258"/>
      <c r="N203" s="258"/>
      <c r="P203" s="230">
        <f t="shared" si="83"/>
        <v>0</v>
      </c>
    </row>
    <row r="204" spans="2:43" x14ac:dyDescent="0.2">
      <c r="B204" s="283" t="s">
        <v>525</v>
      </c>
      <c r="C204" s="283"/>
      <c r="D204" s="283"/>
      <c r="E204" s="283"/>
      <c r="F204" s="283"/>
      <c r="G204" s="283"/>
      <c r="H204" s="283"/>
      <c r="I204" s="283"/>
      <c r="J204" s="261"/>
      <c r="K204" s="261"/>
      <c r="L204" s="261"/>
      <c r="M204" s="261"/>
      <c r="N204" s="261"/>
      <c r="P204" s="230">
        <f t="shared" si="83"/>
        <v>0</v>
      </c>
    </row>
    <row r="205" spans="2:43" x14ac:dyDescent="0.2">
      <c r="B205" s="284" t="s">
        <v>478</v>
      </c>
      <c r="C205" s="284"/>
      <c r="D205" s="284"/>
      <c r="E205" s="284"/>
      <c r="F205" s="284"/>
      <c r="G205" s="284"/>
      <c r="H205" s="284"/>
      <c r="I205" s="284"/>
      <c r="J205" s="258"/>
      <c r="K205" s="258"/>
      <c r="L205" s="258"/>
      <c r="M205" s="258"/>
      <c r="N205" s="258"/>
      <c r="P205" s="230">
        <f t="shared" si="83"/>
        <v>0</v>
      </c>
    </row>
    <row r="206" spans="2:43" x14ac:dyDescent="0.2">
      <c r="B206" s="284" t="s">
        <v>479</v>
      </c>
      <c r="C206" s="284"/>
      <c r="D206" s="284"/>
      <c r="E206" s="284"/>
      <c r="F206" s="284"/>
      <c r="G206" s="284"/>
      <c r="H206" s="284"/>
      <c r="I206" s="284"/>
      <c r="J206" s="258"/>
      <c r="K206" s="258"/>
      <c r="L206" s="258"/>
      <c r="M206" s="258"/>
      <c r="N206" s="258"/>
      <c r="P206" s="230">
        <f t="shared" si="83"/>
        <v>0</v>
      </c>
    </row>
    <row r="207" spans="2:43" x14ac:dyDescent="0.2">
      <c r="B207" s="284" t="s">
        <v>480</v>
      </c>
      <c r="C207" s="284"/>
      <c r="D207" s="284"/>
      <c r="E207" s="284"/>
      <c r="F207" s="284"/>
      <c r="G207" s="284"/>
      <c r="H207" s="284"/>
      <c r="I207" s="284"/>
      <c r="J207" s="258"/>
      <c r="K207" s="258"/>
      <c r="L207" s="258"/>
      <c r="M207" s="258"/>
      <c r="N207" s="258"/>
      <c r="P207" s="230">
        <f t="shared" si="83"/>
        <v>0</v>
      </c>
    </row>
    <row r="208" spans="2:43" x14ac:dyDescent="0.2">
      <c r="B208" s="284" t="s">
        <v>481</v>
      </c>
      <c r="C208" s="284"/>
      <c r="D208" s="284"/>
      <c r="E208" s="284"/>
      <c r="F208" s="284"/>
      <c r="G208" s="284"/>
      <c r="H208" s="284"/>
      <c r="I208" s="284"/>
      <c r="J208" s="226"/>
      <c r="K208" s="226"/>
      <c r="L208" s="226"/>
      <c r="M208" s="226"/>
      <c r="N208" s="226"/>
      <c r="P208" s="230">
        <f t="shared" si="83"/>
        <v>0</v>
      </c>
    </row>
    <row r="209" spans="1:16" x14ac:dyDescent="0.2">
      <c r="B209" s="284" t="s">
        <v>482</v>
      </c>
      <c r="C209" s="284"/>
      <c r="D209" s="284"/>
      <c r="E209" s="284"/>
      <c r="F209" s="284"/>
      <c r="G209" s="284"/>
      <c r="H209" s="284"/>
      <c r="I209" s="284"/>
      <c r="J209" s="226"/>
      <c r="K209" s="226"/>
      <c r="L209" s="226"/>
      <c r="M209" s="226"/>
      <c r="N209" s="226"/>
      <c r="P209" s="230">
        <f t="shared" si="83"/>
        <v>0</v>
      </c>
    </row>
    <row r="210" spans="1:16" x14ac:dyDescent="0.2">
      <c r="B210" s="284" t="s">
        <v>483</v>
      </c>
      <c r="C210" s="284"/>
      <c r="D210" s="284"/>
      <c r="E210" s="284"/>
      <c r="F210" s="284"/>
      <c r="G210" s="284"/>
      <c r="H210" s="284"/>
      <c r="I210" s="284"/>
      <c r="J210" s="226"/>
      <c r="K210" s="226"/>
      <c r="L210" s="226"/>
      <c r="M210" s="226"/>
      <c r="N210" s="226"/>
      <c r="P210" s="230">
        <f t="shared" si="83"/>
        <v>0</v>
      </c>
    </row>
    <row r="211" spans="1:16" x14ac:dyDescent="0.2">
      <c r="B211" s="284" t="s">
        <v>484</v>
      </c>
      <c r="C211" s="284"/>
      <c r="D211" s="284"/>
      <c r="E211" s="284"/>
      <c r="F211" s="284"/>
      <c r="G211" s="284"/>
      <c r="H211" s="284"/>
      <c r="I211" s="284"/>
      <c r="J211" s="226"/>
      <c r="K211" s="226"/>
      <c r="L211" s="226"/>
      <c r="M211" s="226"/>
      <c r="N211" s="226"/>
      <c r="P211" s="230">
        <f t="shared" si="83"/>
        <v>0</v>
      </c>
    </row>
    <row r="212" spans="1:16" x14ac:dyDescent="0.2">
      <c r="B212" s="264"/>
      <c r="C212" s="264"/>
      <c r="D212" s="264"/>
      <c r="E212" s="264"/>
      <c r="F212" s="264"/>
      <c r="G212" s="264"/>
      <c r="H212" s="264"/>
      <c r="I212" s="265"/>
      <c r="J212" s="226"/>
      <c r="K212" s="226"/>
      <c r="L212" s="226"/>
      <c r="M212" s="226"/>
      <c r="N212" s="226"/>
      <c r="P212" s="230">
        <f t="shared" si="83"/>
        <v>0</v>
      </c>
    </row>
    <row r="213" spans="1:16" x14ac:dyDescent="0.2">
      <c r="B213" s="225" t="s">
        <v>485</v>
      </c>
      <c r="C213" s="225"/>
      <c r="D213" s="225"/>
      <c r="E213" s="225"/>
      <c r="F213" s="225"/>
      <c r="G213" s="225"/>
      <c r="H213" s="201"/>
      <c r="I213" s="226"/>
      <c r="J213" s="226" t="s">
        <v>486</v>
      </c>
      <c r="K213" s="226"/>
      <c r="L213" s="226"/>
      <c r="M213" s="226"/>
      <c r="N213" s="226"/>
      <c r="P213" s="230">
        <f t="shared" si="83"/>
        <v>0</v>
      </c>
    </row>
    <row r="214" spans="1:16" x14ac:dyDescent="0.2">
      <c r="B214" s="266" t="s">
        <v>524</v>
      </c>
      <c r="C214" s="266"/>
      <c r="D214" s="225"/>
      <c r="E214" s="225"/>
      <c r="F214" s="225"/>
      <c r="G214" s="225"/>
      <c r="H214" s="201"/>
      <c r="I214" s="226"/>
      <c r="J214" s="267"/>
      <c r="K214" s="267"/>
      <c r="L214" s="267"/>
      <c r="M214" s="226"/>
      <c r="N214" s="226"/>
      <c r="P214" s="230">
        <f t="shared" si="83"/>
        <v>0</v>
      </c>
    </row>
    <row r="215" spans="1:16" x14ac:dyDescent="0.2">
      <c r="B215" s="268" t="s">
        <v>487</v>
      </c>
      <c r="C215" s="225"/>
      <c r="D215" s="225"/>
      <c r="E215" s="225"/>
      <c r="F215" s="225"/>
      <c r="G215" s="225"/>
      <c r="H215" s="201"/>
      <c r="I215" s="226"/>
      <c r="J215" s="226" t="s">
        <v>487</v>
      </c>
      <c r="K215" s="226"/>
      <c r="L215" s="226"/>
      <c r="M215" s="226"/>
      <c r="N215" s="226"/>
      <c r="P215" s="230">
        <f t="shared" si="83"/>
        <v>0</v>
      </c>
    </row>
    <row r="216" spans="1:16" x14ac:dyDescent="0.2">
      <c r="B216" s="225"/>
      <c r="C216" s="225"/>
      <c r="D216" s="225"/>
      <c r="E216" s="225"/>
      <c r="F216" s="225"/>
      <c r="G216" s="225"/>
      <c r="H216" s="201"/>
      <c r="I216" s="226"/>
      <c r="J216" s="226"/>
      <c r="K216" s="226"/>
      <c r="L216" s="226"/>
      <c r="M216" s="226"/>
      <c r="N216" s="226"/>
      <c r="P216" s="230">
        <f t="shared" si="83"/>
        <v>0</v>
      </c>
    </row>
    <row r="217" spans="1:16" x14ac:dyDescent="0.2">
      <c r="B217" s="266"/>
      <c r="C217" s="266"/>
      <c r="D217" s="225"/>
      <c r="E217" s="225"/>
      <c r="F217" s="225"/>
      <c r="G217" s="225"/>
      <c r="H217" s="201"/>
      <c r="I217" s="226"/>
      <c r="J217" s="267"/>
      <c r="K217" s="267"/>
      <c r="L217" s="267"/>
      <c r="M217" s="226"/>
      <c r="N217" s="226"/>
      <c r="P217" s="230">
        <f t="shared" si="83"/>
        <v>0</v>
      </c>
    </row>
    <row r="218" spans="1:16" x14ac:dyDescent="0.2">
      <c r="B218" s="269" t="s">
        <v>488</v>
      </c>
      <c r="C218" s="225"/>
      <c r="D218" s="225"/>
      <c r="E218" s="225"/>
      <c r="F218" s="225"/>
      <c r="G218" s="225"/>
      <c r="H218" s="201"/>
      <c r="I218" s="226"/>
      <c r="J218" s="285" t="s">
        <v>488</v>
      </c>
      <c r="K218" s="285"/>
      <c r="L218" s="285"/>
      <c r="M218" s="226"/>
      <c r="N218" s="226"/>
      <c r="P218" s="230">
        <f t="shared" si="83"/>
        <v>0</v>
      </c>
    </row>
    <row r="219" spans="1:16" x14ac:dyDescent="0.2">
      <c r="B219" s="225"/>
      <c r="C219" s="225"/>
      <c r="D219" s="225"/>
      <c r="E219" s="225"/>
      <c r="F219" s="225"/>
      <c r="G219" s="225"/>
      <c r="H219" s="201"/>
      <c r="I219" s="226"/>
      <c r="J219" s="226"/>
      <c r="K219" s="226"/>
      <c r="L219" s="226"/>
      <c r="M219" s="226"/>
      <c r="N219" s="226"/>
      <c r="P219" s="230">
        <f t="shared" si="83"/>
        <v>0</v>
      </c>
    </row>
    <row r="220" spans="1:16" x14ac:dyDescent="0.2">
      <c r="B220" s="264" t="s">
        <v>489</v>
      </c>
      <c r="C220" s="225"/>
      <c r="D220" s="225"/>
      <c r="E220" s="225"/>
      <c r="F220" s="225"/>
      <c r="G220" s="225"/>
      <c r="H220" s="201"/>
      <c r="I220" s="226"/>
      <c r="J220" s="226" t="s">
        <v>489</v>
      </c>
      <c r="K220" s="226"/>
      <c r="L220" s="226"/>
      <c r="M220" s="226"/>
      <c r="N220" s="226"/>
      <c r="P220" s="230">
        <f t="shared" si="83"/>
        <v>0</v>
      </c>
    </row>
    <row r="221" spans="1:16" x14ac:dyDescent="0.2">
      <c r="A221" s="272"/>
      <c r="B221" s="225"/>
      <c r="C221" s="225"/>
      <c r="D221" s="225"/>
      <c r="E221" s="225"/>
      <c r="F221" s="225"/>
      <c r="G221" s="225"/>
      <c r="H221" s="201"/>
      <c r="I221" s="226"/>
      <c r="J221" s="226"/>
      <c r="K221" s="226"/>
      <c r="M221" s="226"/>
      <c r="N221" s="228"/>
    </row>
    <row r="222" spans="1:16" x14ac:dyDescent="0.2">
      <c r="A222" s="260"/>
      <c r="B222" s="225"/>
      <c r="C222" s="225"/>
      <c r="D222" s="225"/>
      <c r="E222" s="225"/>
      <c r="F222" s="225"/>
      <c r="G222" s="225"/>
      <c r="H222" s="201"/>
      <c r="I222" s="226"/>
      <c r="J222" s="226"/>
      <c r="K222" s="226"/>
      <c r="M222" s="226"/>
      <c r="N222" s="228" t="s">
        <v>455</v>
      </c>
      <c r="P222" s="230">
        <f t="shared" ref="P222:P239" si="84">IF(A222&gt;0,1,0)</f>
        <v>0</v>
      </c>
    </row>
    <row r="223" spans="1:16" x14ac:dyDescent="0.2">
      <c r="B223" s="225"/>
      <c r="C223" s="225"/>
      <c r="D223" s="225"/>
      <c r="E223" s="225"/>
      <c r="F223" s="225"/>
      <c r="G223" s="225"/>
      <c r="H223" s="201"/>
      <c r="I223" s="226"/>
      <c r="J223" s="226"/>
      <c r="K223" s="226"/>
      <c r="M223" s="226"/>
      <c r="N223" s="228" t="s">
        <v>456</v>
      </c>
      <c r="P223" s="230">
        <f t="shared" si="84"/>
        <v>0</v>
      </c>
    </row>
    <row r="224" spans="1:16" x14ac:dyDescent="0.2">
      <c r="B224" s="225"/>
      <c r="C224" s="225"/>
      <c r="D224" s="225"/>
      <c r="E224" s="225"/>
      <c r="F224" s="225"/>
      <c r="G224" s="225"/>
      <c r="H224" s="201"/>
      <c r="I224" s="226"/>
      <c r="J224" s="226"/>
      <c r="K224" s="226"/>
      <c r="M224" s="226"/>
      <c r="N224" s="228" t="s">
        <v>457</v>
      </c>
      <c r="P224" s="230">
        <f t="shared" si="84"/>
        <v>0</v>
      </c>
    </row>
    <row r="225" spans="1:18" x14ac:dyDescent="0.2">
      <c r="B225" s="225"/>
      <c r="C225" s="225"/>
      <c r="D225" s="225"/>
      <c r="E225" s="225"/>
      <c r="F225" s="225"/>
      <c r="G225" s="225"/>
      <c r="H225" s="201"/>
      <c r="I225" s="226"/>
      <c r="J225" s="226"/>
      <c r="K225" s="226"/>
      <c r="L225" s="226"/>
      <c r="M225" s="226"/>
      <c r="N225" s="226"/>
      <c r="P225" s="230">
        <f t="shared" si="84"/>
        <v>0</v>
      </c>
    </row>
    <row r="226" spans="1:18" x14ac:dyDescent="0.2">
      <c r="B226" s="225"/>
      <c r="C226" s="286" t="s">
        <v>458</v>
      </c>
      <c r="D226" s="286"/>
      <c r="E226" s="286"/>
      <c r="F226" s="286"/>
      <c r="G226" s="286"/>
      <c r="H226" s="286"/>
      <c r="I226" s="286"/>
      <c r="J226" s="286"/>
      <c r="K226" s="286"/>
      <c r="L226" s="286"/>
      <c r="M226" s="226"/>
      <c r="N226" s="226"/>
      <c r="P226" s="230">
        <f t="shared" si="84"/>
        <v>0</v>
      </c>
    </row>
    <row r="227" spans="1:18" x14ac:dyDescent="0.2">
      <c r="B227" s="225"/>
      <c r="C227" s="286" t="s">
        <v>459</v>
      </c>
      <c r="D227" s="286"/>
      <c r="E227" s="286"/>
      <c r="F227" s="286"/>
      <c r="G227" s="286"/>
      <c r="H227" s="286"/>
      <c r="I227" s="286"/>
      <c r="J227" s="286"/>
      <c r="K227" s="286"/>
      <c r="L227" s="286"/>
      <c r="M227" s="226"/>
      <c r="N227" s="226"/>
      <c r="P227" s="230">
        <f t="shared" si="84"/>
        <v>0</v>
      </c>
    </row>
    <row r="228" spans="1:18" x14ac:dyDescent="0.2">
      <c r="B228" s="225" t="s">
        <v>460</v>
      </c>
      <c r="C228" s="234"/>
      <c r="D228" s="234"/>
      <c r="E228" s="234"/>
      <c r="F228" s="234"/>
      <c r="G228" s="234"/>
      <c r="H228" s="234"/>
      <c r="I228" s="235"/>
      <c r="J228" s="235"/>
      <c r="K228" s="235"/>
      <c r="L228" s="287" t="s">
        <v>461</v>
      </c>
      <c r="M228" s="287"/>
      <c r="N228" s="287"/>
      <c r="P228" s="230">
        <f t="shared" si="84"/>
        <v>0</v>
      </c>
    </row>
    <row r="229" spans="1:18" x14ac:dyDescent="0.2">
      <c r="B229" s="225"/>
      <c r="C229" s="234"/>
      <c r="D229" s="234"/>
      <c r="E229" s="234"/>
      <c r="F229" s="234"/>
      <c r="G229" s="234"/>
      <c r="H229" s="234"/>
      <c r="I229" s="235"/>
      <c r="J229" s="235"/>
      <c r="K229" s="235"/>
      <c r="L229" s="235"/>
      <c r="M229" s="235"/>
      <c r="N229" s="235"/>
      <c r="P229" s="230">
        <f t="shared" si="84"/>
        <v>0</v>
      </c>
    </row>
    <row r="230" spans="1:18" x14ac:dyDescent="0.2">
      <c r="B230" s="225" t="s">
        <v>2038</v>
      </c>
      <c r="C230" s="234"/>
      <c r="D230" s="234"/>
      <c r="E230" s="234"/>
      <c r="F230" s="234"/>
      <c r="G230" s="234"/>
      <c r="H230" s="234"/>
      <c r="I230" s="235"/>
      <c r="J230" s="235"/>
      <c r="K230" s="235"/>
      <c r="L230" s="235"/>
      <c r="M230" s="235"/>
      <c r="N230" s="235"/>
      <c r="P230" s="230">
        <f t="shared" si="84"/>
        <v>0</v>
      </c>
    </row>
    <row r="231" spans="1:18" x14ac:dyDescent="0.2">
      <c r="B231" s="225" t="s">
        <v>462</v>
      </c>
      <c r="C231" s="234"/>
      <c r="D231" s="234"/>
      <c r="E231" s="234"/>
      <c r="F231" s="234"/>
      <c r="G231" s="234"/>
      <c r="H231" s="234"/>
      <c r="I231" s="235"/>
      <c r="J231" s="235"/>
      <c r="K231" s="235"/>
      <c r="L231" s="235"/>
      <c r="M231" s="235"/>
      <c r="N231" s="235"/>
      <c r="P231" s="230">
        <f t="shared" si="84"/>
        <v>0</v>
      </c>
    </row>
    <row r="232" spans="1:18" x14ac:dyDescent="0.2">
      <c r="B232" s="225" t="s">
        <v>2037</v>
      </c>
      <c r="C232" s="234"/>
      <c r="D232" s="234"/>
      <c r="E232" s="234"/>
      <c r="F232" s="234"/>
      <c r="G232" s="234"/>
      <c r="H232" s="234"/>
      <c r="I232" s="235"/>
      <c r="J232" s="235"/>
      <c r="K232" s="235"/>
      <c r="L232" s="235"/>
      <c r="M232" s="235"/>
      <c r="N232" s="235"/>
      <c r="P232" s="230">
        <f t="shared" si="84"/>
        <v>0</v>
      </c>
    </row>
    <row r="233" spans="1:18" ht="12.75" customHeight="1" x14ac:dyDescent="0.2">
      <c r="B233" s="225" t="s">
        <v>2052</v>
      </c>
      <c r="C233" s="234"/>
      <c r="D233" s="234"/>
      <c r="E233" s="234"/>
      <c r="F233" s="234"/>
      <c r="G233" s="234"/>
      <c r="H233" s="234"/>
      <c r="I233" s="235"/>
      <c r="J233" s="235"/>
      <c r="K233" s="235"/>
      <c r="L233" s="235"/>
      <c r="M233" s="235"/>
      <c r="N233" s="235"/>
      <c r="P233" s="230">
        <f t="shared" si="84"/>
        <v>0</v>
      </c>
    </row>
    <row r="234" spans="1:18" x14ac:dyDescent="0.2">
      <c r="B234" s="225"/>
      <c r="C234" s="225"/>
      <c r="D234" s="225"/>
      <c r="E234" s="225"/>
      <c r="F234" s="225"/>
      <c r="G234" s="225"/>
      <c r="H234" s="201"/>
      <c r="I234" s="226"/>
      <c r="J234" s="226"/>
      <c r="K234" s="226"/>
      <c r="L234" s="226"/>
      <c r="M234" s="226"/>
      <c r="N234" s="226"/>
      <c r="P234" s="230">
        <f t="shared" si="84"/>
        <v>0</v>
      </c>
    </row>
    <row r="235" spans="1:18" x14ac:dyDescent="0.2">
      <c r="B235" s="288" t="s">
        <v>106</v>
      </c>
      <c r="C235" s="290" t="s">
        <v>463</v>
      </c>
      <c r="D235" s="288" t="s">
        <v>464</v>
      </c>
      <c r="E235" s="288" t="s">
        <v>465</v>
      </c>
      <c r="F235" s="288" t="s">
        <v>490</v>
      </c>
      <c r="G235" s="288" t="s">
        <v>466</v>
      </c>
      <c r="H235" s="292" t="s">
        <v>8</v>
      </c>
      <c r="I235" s="294" t="s">
        <v>467</v>
      </c>
      <c r="J235" s="295"/>
      <c r="K235" s="295"/>
      <c r="L235" s="296"/>
      <c r="M235" s="297" t="s">
        <v>468</v>
      </c>
      <c r="N235" s="299" t="s">
        <v>469</v>
      </c>
      <c r="P235" s="230">
        <f t="shared" si="84"/>
        <v>0</v>
      </c>
    </row>
    <row r="236" spans="1:18" x14ac:dyDescent="0.2">
      <c r="B236" s="289"/>
      <c r="C236" s="291"/>
      <c r="D236" s="289"/>
      <c r="E236" s="289"/>
      <c r="F236" s="289"/>
      <c r="G236" s="289"/>
      <c r="H236" s="293"/>
      <c r="I236" s="236" t="s">
        <v>470</v>
      </c>
      <c r="J236" s="236" t="s">
        <v>471</v>
      </c>
      <c r="K236" s="236" t="s">
        <v>472</v>
      </c>
      <c r="L236" s="236" t="s">
        <v>473</v>
      </c>
      <c r="M236" s="298"/>
      <c r="N236" s="300"/>
      <c r="P236" s="230">
        <f t="shared" si="84"/>
        <v>0</v>
      </c>
    </row>
    <row r="237" spans="1:18" x14ac:dyDescent="0.2">
      <c r="A237" s="224" t="str">
        <f>CONCATENATE("Лот"," ",A238)</f>
        <v>Лот 5</v>
      </c>
      <c r="B237" s="273" t="s">
        <v>2087</v>
      </c>
      <c r="C237" s="274"/>
      <c r="D237" s="274"/>
      <c r="E237" s="274"/>
      <c r="F237" s="274"/>
      <c r="G237" s="275"/>
      <c r="H237" s="238" t="s">
        <v>17</v>
      </c>
      <c r="I237" s="270">
        <f ca="1">ROUND(VLOOKUP($H237,$AJ$4:$AN$13,2,0)*$Q239*1.51,2)</f>
        <v>120.15</v>
      </c>
      <c r="J237" s="270">
        <f ca="1">ROUND(VLOOKUP($H237,$AJ$4:$AN$13,3,0)*$Q239*1.51,2)</f>
        <v>85.62</v>
      </c>
      <c r="K237" s="270">
        <f ca="1">ROUND(VLOOKUP($H237,$AJ$4:$AN$13,4,0)*$Q239*1.51,2)</f>
        <v>43.38</v>
      </c>
      <c r="L237" s="270"/>
      <c r="M237" s="270">
        <f ca="1">ROUND(VLOOKUP($H237,$AJ$4:$AN$13,5,0)*$Q239*1.51,2)</f>
        <v>6.85</v>
      </c>
      <c r="N237" s="270"/>
      <c r="P237" s="230">
        <f t="shared" si="84"/>
        <v>1</v>
      </c>
    </row>
    <row r="238" spans="1:18" x14ac:dyDescent="0.2">
      <c r="A238" s="224">
        <f>A183+1</f>
        <v>5</v>
      </c>
      <c r="B238" s="276"/>
      <c r="C238" s="277"/>
      <c r="D238" s="277"/>
      <c r="E238" s="277"/>
      <c r="F238" s="277"/>
      <c r="G238" s="278"/>
      <c r="H238" s="238" t="s">
        <v>25</v>
      </c>
      <c r="I238" s="270">
        <f ca="1">ROUND(VLOOKUP($H238,$AJ$4:$AN$13,2,0)*$Q239*1.51,2)</f>
        <v>898.69</v>
      </c>
      <c r="J238" s="270">
        <f ca="1">ROUND(VLOOKUP($H238,$AJ$4:$AN$13,3,0)*$Q239*1.51,2)</f>
        <v>642.13</v>
      </c>
      <c r="K238" s="270">
        <f ca="1">ROUND(VLOOKUP($H238,$AJ$4:$AN$13,4,0)*$Q239*1.51,2)</f>
        <v>323.06</v>
      </c>
      <c r="L238" s="270"/>
      <c r="M238" s="270">
        <f ca="1">ROUND(VLOOKUP($H238,$AJ$4:$AN$13,5,0)*$Q239*1.51,2)</f>
        <v>27.97</v>
      </c>
      <c r="N238" s="270"/>
      <c r="P238" s="230">
        <f t="shared" si="84"/>
        <v>1</v>
      </c>
      <c r="Q238" s="240" t="s">
        <v>2045</v>
      </c>
      <c r="R238" s="240" t="s">
        <v>2046</v>
      </c>
    </row>
    <row r="239" spans="1:18" x14ac:dyDescent="0.2">
      <c r="B239" s="276"/>
      <c r="C239" s="277"/>
      <c r="D239" s="277"/>
      <c r="E239" s="277"/>
      <c r="F239" s="277"/>
      <c r="G239" s="278"/>
      <c r="H239" s="238" t="s">
        <v>19</v>
      </c>
      <c r="I239" s="270">
        <f ca="1">ROUND(VLOOKUP($H239,$AJ$4:$AN$13,2,0)*$Q239*1.51,2)</f>
        <v>71.349999999999994</v>
      </c>
      <c r="J239" s="270">
        <f ca="1">ROUND(VLOOKUP($H239,$AJ$4:$AN$13,3,0)*$Q239*1.51,2)</f>
        <v>51.94</v>
      </c>
      <c r="K239" s="270">
        <f ca="1">ROUND(VLOOKUP($H239,$AJ$4:$AN$13,4,0)*$Q239*1.51,2)</f>
        <v>26.54</v>
      </c>
      <c r="L239" s="270"/>
      <c r="M239" s="270">
        <f ca="1">ROUND(VLOOKUP($H239,$AJ$4:$AN$13,5,0)*$Q239*1.51,2)</f>
        <v>1.43</v>
      </c>
      <c r="N239" s="270"/>
      <c r="P239" s="230">
        <f t="shared" si="84"/>
        <v>0</v>
      </c>
      <c r="Q239" s="123">
        <f ca="1">IFERROR(IF(R239="","",IF(OR(R239&lt;100,R239=100),0.9,IF(OR(AND(R239&gt;100,R239&lt;150),R239=150),1,IF(R239&gt;150,1.05,"")))),"0")</f>
        <v>1.05</v>
      </c>
      <c r="R239" s="123">
        <f ca="1">N255/G243</f>
        <v>168.35999999999999</v>
      </c>
    </row>
    <row r="240" spans="1:18" x14ac:dyDescent="0.2">
      <c r="B240" s="276"/>
      <c r="C240" s="277"/>
      <c r="D240" s="277"/>
      <c r="E240" s="277"/>
      <c r="F240" s="277"/>
      <c r="G240" s="278"/>
      <c r="H240" s="238" t="s">
        <v>268</v>
      </c>
      <c r="I240" s="270">
        <f ca="1">ROUND(VLOOKUP($H240,$AJ$4:$AN$13,2,0)*$Q239*1.51,2)</f>
        <v>898.69</v>
      </c>
      <c r="J240" s="270">
        <f ca="1">ROUND(VLOOKUP($H240,$AJ$4:$AN$13,3,0)*$Q239*1.51,2)</f>
        <v>642.13</v>
      </c>
      <c r="K240" s="270">
        <f ca="1">ROUND(VLOOKUP($H240,$AJ$4:$AN$13,4,0)*$Q239*1.51,2)</f>
        <v>323.06</v>
      </c>
      <c r="L240" s="270"/>
      <c r="M240" s="270">
        <f ca="1">ROUND(VLOOKUP($H240,$AJ$4:$AN$13,5,0)*$Q239*1.51,2)</f>
        <v>27.97</v>
      </c>
      <c r="N240" s="270"/>
    </row>
    <row r="241" spans="1:43" x14ac:dyDescent="0.2">
      <c r="B241" s="276"/>
      <c r="C241" s="277"/>
      <c r="D241" s="277"/>
      <c r="E241" s="277"/>
      <c r="F241" s="277"/>
      <c r="G241" s="278"/>
      <c r="H241" s="238" t="s">
        <v>40</v>
      </c>
      <c r="I241" s="270">
        <f ca="1">ROUND(VLOOKUP($H241,$AJ$4:$AN$13,2,0)*$Q239*1.51,2)</f>
        <v>71.349999999999994</v>
      </c>
      <c r="J241" s="270">
        <f ca="1">ROUND(VLOOKUP($H241,$AJ$4:$AN$13,3,0)*$Q239*1.51,2)</f>
        <v>51.94</v>
      </c>
      <c r="K241" s="270">
        <f ca="1">ROUND(VLOOKUP($H241,$AJ$4:$AN$13,4,0)*$Q239*1.51,2)</f>
        <v>26.54</v>
      </c>
      <c r="L241" s="270"/>
      <c r="M241" s="270">
        <f ca="1">ROUND(VLOOKUP($H241,$AJ$4:$AN$13,5,0)*$Q239*1.51,2)</f>
        <v>1.43</v>
      </c>
      <c r="N241" s="270"/>
      <c r="P241" s="230">
        <f t="shared" ref="P241:P254" si="85">IF(A241&gt;0,1,0)</f>
        <v>0</v>
      </c>
    </row>
    <row r="242" spans="1:43" x14ac:dyDescent="0.2">
      <c r="B242" s="279"/>
      <c r="C242" s="280"/>
      <c r="D242" s="280"/>
      <c r="E242" s="280"/>
      <c r="F242" s="280"/>
      <c r="G242" s="281"/>
      <c r="H242" s="238" t="s">
        <v>18</v>
      </c>
      <c r="I242" s="270">
        <f ca="1">ROUND(VLOOKUP($H242,$AJ$4:$AN$13,2,0)*$Q239*1.51,2)</f>
        <v>22.83</v>
      </c>
      <c r="J242" s="270">
        <f ca="1">ROUND(VLOOKUP($H242,$AJ$4:$AN$13,3,0)*$Q239*1.51,2)</f>
        <v>17.41</v>
      </c>
      <c r="K242" s="270">
        <f ca="1">ROUND(VLOOKUP($H242,$AJ$4:$AN$13,4,0)*$Q239*1.51,2)</f>
        <v>8.85</v>
      </c>
      <c r="L242" s="270"/>
      <c r="M242" s="270">
        <f ca="1">ROUND(VLOOKUP($H242,$AJ$4:$AN$13,5,0)*$Q239*1.51*1,2)</f>
        <v>0.56999999999999995</v>
      </c>
      <c r="N242" s="270"/>
      <c r="P242" s="230">
        <f t="shared" si="85"/>
        <v>0</v>
      </c>
      <c r="AP242" s="241" t="s">
        <v>2053</v>
      </c>
      <c r="AQ242" s="242"/>
    </row>
    <row r="243" spans="1:43" x14ac:dyDescent="0.2">
      <c r="A243" s="224">
        <f>A188+37</f>
        <v>148</v>
      </c>
      <c r="B243" s="243" t="str">
        <f ca="1">OFFSET(ЛОТЫ!$L$5,A243,0,1,1)</f>
        <v>Вишнево-Полянское</v>
      </c>
      <c r="C243" s="244" t="s">
        <v>474</v>
      </c>
      <c r="D243" s="243">
        <f ca="1">OFFSET(ЛОТЫ!$M$5,A243,0,1,1)</f>
        <v>32</v>
      </c>
      <c r="E243" s="243">
        <f ca="1">OFFSET(ЛОТЫ!$N$5,A243,0,1,1)</f>
        <v>7</v>
      </c>
      <c r="F243" s="243">
        <f ca="1">OFFSET(ЛОТЫ!$O$5,A243,0,1,1)</f>
        <v>1</v>
      </c>
      <c r="G243" s="271">
        <f ca="1">IFERROR(INDEX('Ведомость расчета мин. платы'!$G$10:$AC$214,MATCH(CONCATENATE(B243,"/",D243,"/",E243,"/",F243),'Ведомость расчета мин. платы'!$AC$10:$AC$214,0),1),"")</f>
        <v>2.5</v>
      </c>
      <c r="H243" s="246" t="s">
        <v>17</v>
      </c>
      <c r="I243" s="247">
        <f ca="1">IFERROR(INDEX('Ведомость расчета мин. платы'!$J$10:$AE$214,MATCH(CONCATENATE(РАСЧЕТ!B243,"/",РАСЧЕТ!D243,"/",РАСЧЕТ!E243,"/",F243,"/",H243),'Ведомость расчета мин. платы'!$AE$10:$AE$214,0),2),"")</f>
        <v>31.46</v>
      </c>
      <c r="J243" s="247">
        <f ca="1">IFERROR(INDEX('Ведомость расчета мин. платы'!$J$10:$AE$214,MATCH(CONCATENATE(РАСЧЕТ!B243,"/",РАСЧЕТ!D243,"/",РАСЧЕТ!E243,"/",F243,"/",H243),'Ведомость расчета мин. платы'!$AE$10:$AE$214,0),3),"")</f>
        <v>34.29</v>
      </c>
      <c r="K243" s="247">
        <f ca="1">IFERROR(INDEX('Ведомость расчета мин. платы'!$J$10:$AE$214,MATCH(CONCATENATE(РАСЧЕТ!B243,"/",РАСЧЕТ!D243,"/",РАСЧЕТ!E243,"/",F243,"/",H243),'Ведомость расчета мин. платы'!$AE$10:$AE$214,0),4),"")</f>
        <v>6.21</v>
      </c>
      <c r="L243" s="248">
        <f t="shared" ref="L243:L255" ca="1" si="86">IFERROR(SUM(I243:K243),"")</f>
        <v>71.959999999999994</v>
      </c>
      <c r="M243" s="214">
        <f ca="1">IFERROR(INDEX('Ведомость расчета мин. платы'!$J$10:$AE$214,MATCH(CONCATENATE(РАСЧЕТ!B243,"/",РАСЧЕТ!D243,"/",РАСЧЕТ!E243,"/",F243,"/",H243),'Ведомость расчета мин. платы'!$AE$10:$AE$214,0),6),"")</f>
        <v>47.99</v>
      </c>
      <c r="N243" s="214">
        <f t="shared" ref="N243:N255" ca="1" si="87">IFERROR(SUM(L243:M243),"")</f>
        <v>119.94999999999999</v>
      </c>
      <c r="O243" s="229">
        <f>IF(H243="стоимость","",1)</f>
        <v>1</v>
      </c>
      <c r="P243" s="230">
        <f t="shared" si="85"/>
        <v>1</v>
      </c>
      <c r="AP243" s="242"/>
      <c r="AQ243" s="242"/>
    </row>
    <row r="244" spans="1:43" x14ac:dyDescent="0.2">
      <c r="B244" s="249"/>
      <c r="C244" s="249"/>
      <c r="D244" s="249"/>
      <c r="E244" s="249"/>
      <c r="F244" s="249"/>
      <c r="G244" s="249"/>
      <c r="H244" s="250" t="s">
        <v>475</v>
      </c>
      <c r="I244" s="251">
        <f ca="1">IFERROR(ROUND(I243*I237,2),"")</f>
        <v>3779.92</v>
      </c>
      <c r="J244" s="251">
        <f t="shared" ref="J244" ca="1" si="88">IFERROR(ROUND(J243*J237,2),"")</f>
        <v>2935.91</v>
      </c>
      <c r="K244" s="251">
        <f t="shared" ref="K244" ca="1" si="89">IFERROR(ROUND(K243*K237,2),"")</f>
        <v>269.39</v>
      </c>
      <c r="L244" s="251">
        <f t="shared" ca="1" si="86"/>
        <v>6985.22</v>
      </c>
      <c r="M244" s="251">
        <v>328.73999999999933</v>
      </c>
      <c r="N244" s="252">
        <f t="shared" ca="1" si="87"/>
        <v>7313.9599999999991</v>
      </c>
      <c r="O244" s="229" t="str">
        <f t="shared" ref="O244:O254" si="90">IF(H244="стоимость","",1)</f>
        <v/>
      </c>
      <c r="P244" s="230">
        <f t="shared" si="85"/>
        <v>0</v>
      </c>
      <c r="AP244" s="242">
        <f ca="1">SUMIFS('Ведомость расчета мин. платы'!$S$10:$S$209,'Ведомость расчета мин. платы'!$AE$10:$AE$209,CONCATENATE(B243,"/",D243,"/",E243,"/",F243,"/",H243))</f>
        <v>7313.96</v>
      </c>
      <c r="AQ244" s="253">
        <f t="shared" ref="AQ244" ca="1" si="91">AP244-N244</f>
        <v>0</v>
      </c>
    </row>
    <row r="245" spans="1:43" x14ac:dyDescent="0.2">
      <c r="B245" s="249"/>
      <c r="C245" s="249"/>
      <c r="D245" s="249"/>
      <c r="E245" s="249"/>
      <c r="F245" s="249"/>
      <c r="G245" s="249"/>
      <c r="H245" s="246" t="s">
        <v>25</v>
      </c>
      <c r="I245" s="247" t="str">
        <f ca="1">IFERROR(INDEX('Ведомость расчета мин. платы'!$J$10:$AE$214,MATCH(CONCATENATE(РАСЧЕТ!B243,"/",РАСЧЕТ!D243,"/",РАСЧЕТ!E243,"/",F243,"/",H245),'Ведомость расчета мин. платы'!$AE$10:$AE$214,0),2),"")</f>
        <v/>
      </c>
      <c r="J245" s="247" t="str">
        <f ca="1">IFERROR(INDEX('Ведомость расчета мин. платы'!$J$10:$AE$214,MATCH(CONCATENATE(РАСЧЕТ!B243,"/",РАСЧЕТ!D243,"/",РАСЧЕТ!E243,"/",F243,"/",H245),'Ведомость расчета мин. платы'!$AE$10:$AE$214,0),3),"")</f>
        <v/>
      </c>
      <c r="K245" s="247" t="str">
        <f ca="1">IFERROR(INDEX('Ведомость расчета мин. платы'!$J$10:$AE$214,MATCH(CONCATENATE(РАСЧЕТ!B243,"/",РАСЧЕТ!D243,"/",РАСЧЕТ!E243,"/",F243,"/",H245),'Ведомость расчета мин. платы'!$AE$10:$AE$214,0),4),"")</f>
        <v/>
      </c>
      <c r="L245" s="248">
        <f t="shared" ca="1" si="86"/>
        <v>0</v>
      </c>
      <c r="M245" s="214" t="str">
        <f ca="1">IFERROR(INDEX('Ведомость расчета мин. платы'!$J$10:$AE$214,MATCH(CONCATENATE(РАСЧЕТ!B243,"/",РАСЧЕТ!D243,"/",РАСЧЕТ!E243,"/",F243,"/",H245),'Ведомость расчета мин. платы'!$AE$10:$AE$214,0),6),"")</f>
        <v/>
      </c>
      <c r="N245" s="214">
        <f t="shared" ca="1" si="87"/>
        <v>0</v>
      </c>
      <c r="O245" s="229">
        <f t="shared" si="90"/>
        <v>1</v>
      </c>
      <c r="P245" s="230">
        <f t="shared" si="85"/>
        <v>0</v>
      </c>
      <c r="AP245" s="242"/>
      <c r="AQ245" s="253"/>
    </row>
    <row r="246" spans="1:43" x14ac:dyDescent="0.2">
      <c r="B246" s="249"/>
      <c r="C246" s="249"/>
      <c r="D246" s="249"/>
      <c r="E246" s="249"/>
      <c r="F246" s="249"/>
      <c r="G246" s="249"/>
      <c r="H246" s="250" t="s">
        <v>475</v>
      </c>
      <c r="I246" s="251" t="str">
        <f ca="1">IFERROR(ROUND(I245*I238,2),"")</f>
        <v/>
      </c>
      <c r="J246" s="251" t="str">
        <f t="shared" ref="J246" ca="1" si="92">IFERROR(ROUND(J245*J238,2),"")</f>
        <v/>
      </c>
      <c r="K246" s="251" t="str">
        <f t="shared" ref="K246" ca="1" si="93">IFERROR(ROUND(K245*K238,2),"")</f>
        <v/>
      </c>
      <c r="L246" s="251">
        <f t="shared" ca="1" si="86"/>
        <v>0</v>
      </c>
      <c r="M246" s="251" t="str">
        <f t="shared" ref="M246" ca="1" si="94">IFERROR(ROUND(M245*M238,2),"")</f>
        <v/>
      </c>
      <c r="N246" s="252">
        <f t="shared" ca="1" si="87"/>
        <v>0</v>
      </c>
      <c r="O246" s="229" t="str">
        <f t="shared" si="90"/>
        <v/>
      </c>
      <c r="P246" s="230">
        <f t="shared" si="85"/>
        <v>0</v>
      </c>
      <c r="AP246" s="242">
        <f ca="1">SUMIFS('Ведомость расчета мин. платы'!$S$10:$S$209,'Ведомость расчета мин. платы'!$AE$10:$AE$209,CONCATENATE(B243,"/",D243,"/",E243,"/",F243,"/",H245))</f>
        <v>0</v>
      </c>
      <c r="AQ246" s="253">
        <f t="shared" ref="AQ246" ca="1" si="95">AP246-N246</f>
        <v>0</v>
      </c>
    </row>
    <row r="247" spans="1:43" x14ac:dyDescent="0.2">
      <c r="B247" s="249"/>
      <c r="C247" s="249"/>
      <c r="D247" s="249"/>
      <c r="E247" s="249"/>
      <c r="F247" s="249"/>
      <c r="G247" s="249"/>
      <c r="H247" s="205" t="s">
        <v>19</v>
      </c>
      <c r="I247" s="248">
        <f ca="1">IFERROR(INDEX('Ведомость расчета мин. платы'!$J$10:$AE$214,MATCH(CONCATENATE(РАСЧЕТ!B243,"/",РАСЧЕТ!D243,"/",РАСЧЕТ!E243,"/",F243,"/",H247),'Ведомость расчета мин. платы'!$AE$10:$AE$214,0),2),"")</f>
        <v>1.63</v>
      </c>
      <c r="J247" s="248">
        <f ca="1">IFERROR(INDEX('Ведомость расчета мин. платы'!$J$10:$AE$214,MATCH(CONCATENATE(РАСЧЕТ!B243,"/",РАСЧЕТ!D243,"/",РАСЧЕТ!E243,"/",F243,"/",H247),'Ведомость расчета мин. платы'!$AE$10:$AE$214,0),3),"")</f>
        <v>12.44</v>
      </c>
      <c r="K247" s="248">
        <f ca="1">IFERROR(INDEX('Ведомость расчета мин. платы'!$J$10:$AE$214,MATCH(CONCATENATE(РАСЧЕТ!B243,"/",РАСЧЕТ!D243,"/",РАСЧЕТ!E243,"/",F243,"/",H247),'Ведомость расчета мин. платы'!$AE$10:$AE$214,0),4),"")</f>
        <v>2.67</v>
      </c>
      <c r="L247" s="248">
        <f t="shared" ca="1" si="86"/>
        <v>16.740000000000002</v>
      </c>
      <c r="M247" s="248">
        <f ca="1">IFERROR(INDEX('Ведомость расчета мин. платы'!$J$10:$AE$214,MATCH(CONCATENATE(РАСЧЕТ!B243,"/",РАСЧЕТ!D243,"/",РАСЧЕТ!E243,"/",F243,"/",H247),'Ведомость расчета мин. платы'!$AE$10:$AE$214,0),6),"")</f>
        <v>21.59</v>
      </c>
      <c r="N247" s="214">
        <f t="shared" ca="1" si="87"/>
        <v>38.33</v>
      </c>
      <c r="O247" s="229">
        <f t="shared" si="90"/>
        <v>1</v>
      </c>
      <c r="P247" s="230">
        <f t="shared" si="85"/>
        <v>0</v>
      </c>
      <c r="AP247" s="242"/>
      <c r="AQ247" s="253"/>
    </row>
    <row r="248" spans="1:43" x14ac:dyDescent="0.2">
      <c r="B248" s="249"/>
      <c r="C248" s="249"/>
      <c r="D248" s="249"/>
      <c r="E248" s="249"/>
      <c r="F248" s="249"/>
      <c r="G248" s="249"/>
      <c r="H248" s="250" t="s">
        <v>475</v>
      </c>
      <c r="I248" s="251">
        <f ca="1">IFERROR(ROUND(I247*I239,2),"")</f>
        <v>116.3</v>
      </c>
      <c r="J248" s="251">
        <f t="shared" ref="J248" ca="1" si="96">IFERROR(ROUND(J247*J239,2),"")</f>
        <v>646.13</v>
      </c>
      <c r="K248" s="251">
        <f t="shared" ref="K248" ca="1" si="97">IFERROR(ROUND(K247*K239,2),"")</f>
        <v>70.86</v>
      </c>
      <c r="L248" s="251">
        <f t="shared" ca="1" si="86"/>
        <v>833.29</v>
      </c>
      <c r="M248" s="251">
        <f t="shared" ref="M248" ca="1" si="98">IFERROR(ROUND(M247*M239,2),"")</f>
        <v>30.87</v>
      </c>
      <c r="N248" s="252">
        <f t="shared" ca="1" si="87"/>
        <v>864.16</v>
      </c>
      <c r="O248" s="229" t="str">
        <f t="shared" si="90"/>
        <v/>
      </c>
      <c r="P248" s="230">
        <f t="shared" si="85"/>
        <v>0</v>
      </c>
      <c r="AP248" s="242">
        <f ca="1">SUMIFS('Ведомость расчета мин. платы'!$S$10:$S$209,'Ведомость расчета мин. платы'!$AE$10:$AE$209,CONCATENATE(B243,"/",D243,"/",E243,"/",F243,"/",H247))</f>
        <v>864.16</v>
      </c>
      <c r="AQ248" s="253">
        <f t="shared" ref="AQ248" ca="1" si="99">AP248-N248</f>
        <v>0</v>
      </c>
    </row>
    <row r="249" spans="1:43" x14ac:dyDescent="0.2">
      <c r="B249" s="249"/>
      <c r="C249" s="249"/>
      <c r="D249" s="249"/>
      <c r="E249" s="249"/>
      <c r="F249" s="249"/>
      <c r="G249" s="249"/>
      <c r="H249" s="205" t="s">
        <v>268</v>
      </c>
      <c r="I249" s="248" t="str">
        <f ca="1">IFERROR(INDEX('Ведомость расчета мин. платы'!$J$10:$AE$214,MATCH(CONCATENATE(РАСЧЕТ!B243,"/",РАСЧЕТ!D243,"/",РАСЧЕТ!E243,"/",F243,"/",H249),'Ведомость расчета мин. платы'!$AE$10:$AE$214,0),2),"")</f>
        <v/>
      </c>
      <c r="J249" s="248" t="str">
        <f ca="1">IFERROR(INDEX('Ведомость расчета мин. платы'!$J$10:$AE$214,MATCH(CONCATENATE(РАСЧЕТ!B243,"/",РАСЧЕТ!D243,"/",РАСЧЕТ!E243,"/",F243,"/",H249),'Ведомость расчета мин. платы'!$AE$10:$AE$214,0),3),"")</f>
        <v/>
      </c>
      <c r="K249" s="248" t="str">
        <f ca="1">IFERROR(INDEX('Ведомость расчета мин. платы'!$J$10:$AE$214,MATCH(CONCATENATE(РАСЧЕТ!B243,"/",РАСЧЕТ!D243,"/",РАСЧЕТ!E243,"/",F243,"/",H249),'Ведомость расчета мин. платы'!$AE$10:$AE$214,0),4),"")</f>
        <v/>
      </c>
      <c r="L249" s="248">
        <f t="shared" ca="1" si="86"/>
        <v>0</v>
      </c>
      <c r="M249" s="248" t="str">
        <f ca="1">IFERROR(INDEX('Ведомость расчета мин. платы'!$J$10:$AE$214,MATCH(CONCATENATE(РАСЧЕТ!B243,"/",РАСЧЕТ!D243,"/",РАСЧЕТ!E243,"/",F243,"/",H249),'Ведомость расчета мин. платы'!$AE$10:$AE$214,0),6),"")</f>
        <v/>
      </c>
      <c r="N249" s="214">
        <f t="shared" ca="1" si="87"/>
        <v>0</v>
      </c>
      <c r="O249" s="229">
        <f t="shared" si="90"/>
        <v>1</v>
      </c>
      <c r="P249" s="230">
        <f t="shared" si="85"/>
        <v>0</v>
      </c>
      <c r="AP249" s="242"/>
      <c r="AQ249" s="253"/>
    </row>
    <row r="250" spans="1:43" x14ac:dyDescent="0.2">
      <c r="B250" s="249"/>
      <c r="C250" s="249"/>
      <c r="D250" s="249"/>
      <c r="E250" s="249"/>
      <c r="F250" s="249"/>
      <c r="G250" s="249"/>
      <c r="H250" s="250" t="s">
        <v>475</v>
      </c>
      <c r="I250" s="251" t="str">
        <f ca="1">IFERROR(ROUND(I249*I242,2),"")</f>
        <v/>
      </c>
      <c r="J250" s="251" t="str">
        <f ca="1">IFERROR(ROUND(J249*J240,2),"")</f>
        <v/>
      </c>
      <c r="K250" s="251" t="str">
        <f ca="1">IFERROR(ROUND(K249*K240,2),"")</f>
        <v/>
      </c>
      <c r="L250" s="251">
        <f t="shared" ca="1" si="86"/>
        <v>0</v>
      </c>
      <c r="M250" s="251" t="str">
        <f ca="1">IFERROR(ROUND(M249*M240,2),"")</f>
        <v/>
      </c>
      <c r="N250" s="252">
        <f t="shared" ca="1" si="87"/>
        <v>0</v>
      </c>
      <c r="O250" s="229" t="str">
        <f t="shared" si="90"/>
        <v/>
      </c>
      <c r="P250" s="230">
        <f t="shared" si="85"/>
        <v>0</v>
      </c>
      <c r="AP250" s="242">
        <f ca="1">SUMIFS('Ведомость расчета мин. платы'!$S$10:$S$209,'Ведомость расчета мин. платы'!$AE$10:$AE$209,CONCATENATE(B243,"/",D243,"/",E243,"/",F243,"/",H249))</f>
        <v>0</v>
      </c>
      <c r="AQ250" s="253">
        <f t="shared" ref="AQ250" ca="1" si="100">AP250-N250</f>
        <v>0</v>
      </c>
    </row>
    <row r="251" spans="1:43" x14ac:dyDescent="0.2">
      <c r="B251" s="249"/>
      <c r="C251" s="249"/>
      <c r="D251" s="249"/>
      <c r="E251" s="249"/>
      <c r="F251" s="249"/>
      <c r="G251" s="249"/>
      <c r="H251" s="205" t="s">
        <v>40</v>
      </c>
      <c r="I251" s="248" t="str">
        <f ca="1">IFERROR(INDEX('Ведомость расчета мин. платы'!$J$10:$AE$214,MATCH(CONCATENATE(РАСЧЕТ!B243,"/",РАСЧЕТ!D243,"/",РАСЧЕТ!E243,"/",F243,"/",H251),'Ведомость расчета мин. платы'!$AE$10:$AE$214,0),2),"")</f>
        <v/>
      </c>
      <c r="J251" s="248" t="str">
        <f ca="1">IFERROR(INDEX('Ведомость расчета мин. платы'!$J$10:$AE$214,MATCH(CONCATENATE(РАСЧЕТ!B243,"/",РАСЧЕТ!D243,"/",РАСЧЕТ!E243,"/",F243,"/",H251),'Ведомость расчета мин. платы'!$AE$10:$AE$214,0),3),"")</f>
        <v/>
      </c>
      <c r="K251" s="248" t="str">
        <f ca="1">IFERROR(INDEX('Ведомость расчета мин. платы'!$J$10:$AE$214,MATCH(CONCATENATE(РАСЧЕТ!B243,"/",РАСЧЕТ!D243,"/",РАСЧЕТ!E243,"/",F243,"/",H251),'Ведомость расчета мин. платы'!$AE$10:$AE$214,0),4),"")</f>
        <v/>
      </c>
      <c r="L251" s="248">
        <f t="shared" ca="1" si="86"/>
        <v>0</v>
      </c>
      <c r="M251" s="248" t="str">
        <f ca="1">IFERROR(INDEX('Ведомость расчета мин. платы'!$J$10:$AE$214,MATCH(CONCATENATE(РАСЧЕТ!B243,"/",РАСЧЕТ!D243,"/",РАСЧЕТ!E243,"/",F243,"/",H251),'Ведомость расчета мин. платы'!$AE$10:$AE$214,0),6),"")</f>
        <v/>
      </c>
      <c r="N251" s="214">
        <f t="shared" ca="1" si="87"/>
        <v>0</v>
      </c>
      <c r="O251" s="229">
        <f t="shared" si="90"/>
        <v>1</v>
      </c>
      <c r="P251" s="230">
        <f t="shared" si="85"/>
        <v>0</v>
      </c>
      <c r="AP251" s="242"/>
      <c r="AQ251" s="253"/>
    </row>
    <row r="252" spans="1:43" x14ac:dyDescent="0.2">
      <c r="B252" s="249"/>
      <c r="C252" s="249"/>
      <c r="D252" s="249"/>
      <c r="E252" s="249"/>
      <c r="F252" s="249"/>
      <c r="G252" s="249"/>
      <c r="H252" s="250" t="s">
        <v>475</v>
      </c>
      <c r="I252" s="251" t="str">
        <f ca="1">IFERROR(ROUND(I251*I241,2),"")</f>
        <v/>
      </c>
      <c r="J252" s="251" t="str">
        <f t="shared" ref="J252" ca="1" si="101">IFERROR(ROUND(J251*J241,2),"")</f>
        <v/>
      </c>
      <c r="K252" s="251" t="str">
        <f t="shared" ref="K252" ca="1" si="102">IFERROR(ROUND(K251*K241,2),"")</f>
        <v/>
      </c>
      <c r="L252" s="251">
        <f t="shared" ca="1" si="86"/>
        <v>0</v>
      </c>
      <c r="M252" s="251" t="str">
        <f t="shared" ref="M252" ca="1" si="103">IFERROR(ROUND(M251*M241,2),"")</f>
        <v/>
      </c>
      <c r="N252" s="252">
        <f t="shared" ca="1" si="87"/>
        <v>0</v>
      </c>
      <c r="O252" s="229" t="str">
        <f t="shared" si="90"/>
        <v/>
      </c>
      <c r="P252" s="230">
        <f t="shared" si="85"/>
        <v>0</v>
      </c>
      <c r="AP252" s="242">
        <f ca="1">SUMIFS('Ведомость расчета мин. платы'!$S$10:$S$209,'Ведомость расчета мин. платы'!$AE$10:$AE$209,CONCATENATE(B243,"/",D243,"/",E243,"/",F243,"/",H251))</f>
        <v>0</v>
      </c>
      <c r="AQ252" s="253">
        <f t="shared" ref="AQ252" ca="1" si="104">AP252-N252</f>
        <v>0</v>
      </c>
    </row>
    <row r="253" spans="1:43" x14ac:dyDescent="0.2">
      <c r="B253" s="249"/>
      <c r="C253" s="249"/>
      <c r="D253" s="249"/>
      <c r="E253" s="249"/>
      <c r="F253" s="249"/>
      <c r="G253" s="249"/>
      <c r="H253" s="205" t="s">
        <v>18</v>
      </c>
      <c r="I253" s="248">
        <f ca="1">IFERROR(INDEX('Ведомость расчета мин. платы'!$J$10:$AE$214,MATCH(CONCATENATE(РАСЧЕТ!B243,"/",РАСЧЕТ!D243,"/",РАСЧЕТ!E243,"/",F243,"/",H253),'Ведомость расчета мин. платы'!$AE$10:$AE$214,0),2),"")</f>
        <v>114.32</v>
      </c>
      <c r="J253" s="248">
        <f ca="1">IFERROR(INDEX('Ведомость расчета мин. платы'!$J$10:$AE$214,MATCH(CONCATENATE(РАСЧЕТ!B243,"/",РАСЧЕТ!D243,"/",РАСЧЕТ!E243,"/",F243,"/",H253),'Ведомость расчета мин. платы'!$AE$10:$AE$214,0),3),"")</f>
        <v>45.57</v>
      </c>
      <c r="K253" s="248">
        <f ca="1">IFERROR(INDEX('Ведомость расчета мин. платы'!$J$10:$AE$214,MATCH(CONCATENATE(РАСЧЕТ!B243,"/",РАСЧЕТ!D243,"/",РАСЧЕТ!E243,"/",F243,"/",H253),'Ведомость расчета мин. платы'!$AE$10:$AE$214,0),4),"")</f>
        <v>2.1</v>
      </c>
      <c r="L253" s="248">
        <f t="shared" ca="1" si="86"/>
        <v>161.98999999999998</v>
      </c>
      <c r="M253" s="248">
        <f ca="1">IFERROR(INDEX('Ведомость расчета мин. платы'!$J$10:$AE$214,MATCH(CONCATENATE(РАСЧЕТ!B243,"/",РАСЧЕТ!D243,"/",РАСЧЕТ!E243,"/",F243,"/",H253),'Ведомость расчета мин. платы'!$AE$10:$AE$214,0),6),"")</f>
        <v>100.63</v>
      </c>
      <c r="N253" s="214">
        <f t="shared" ca="1" si="87"/>
        <v>262.62</v>
      </c>
      <c r="O253" s="229">
        <f t="shared" si="90"/>
        <v>1</v>
      </c>
      <c r="P253" s="230">
        <f t="shared" si="85"/>
        <v>0</v>
      </c>
      <c r="AP253" s="242"/>
      <c r="AQ253" s="253"/>
    </row>
    <row r="254" spans="1:43" x14ac:dyDescent="0.2">
      <c r="B254" s="249"/>
      <c r="C254" s="249"/>
      <c r="D254" s="249"/>
      <c r="E254" s="249"/>
      <c r="F254" s="249"/>
      <c r="G254" s="249"/>
      <c r="H254" s="250" t="s">
        <v>475</v>
      </c>
      <c r="I254" s="251">
        <f ca="1">IFERROR(ROUND(I253*I242,2),"")</f>
        <v>2609.9299999999998</v>
      </c>
      <c r="J254" s="251">
        <f t="shared" ref="J254" ca="1" si="105">IFERROR(ROUND(J253*J242,2),"")</f>
        <v>793.37</v>
      </c>
      <c r="K254" s="251">
        <f t="shared" ref="K254" ca="1" si="106">IFERROR(ROUND(K253*K242,2),"")</f>
        <v>18.59</v>
      </c>
      <c r="L254" s="251">
        <f t="shared" ca="1" si="86"/>
        <v>3421.89</v>
      </c>
      <c r="M254" s="251">
        <f t="shared" ref="M254" ca="1" si="107">IFERROR(ROUND(M253*M242,2),"")</f>
        <v>57.36</v>
      </c>
      <c r="N254" s="252">
        <f t="shared" ca="1" si="87"/>
        <v>3479.25</v>
      </c>
      <c r="O254" s="229" t="str">
        <f t="shared" si="90"/>
        <v/>
      </c>
      <c r="P254" s="230">
        <f t="shared" si="85"/>
        <v>0</v>
      </c>
      <c r="AP254" s="242">
        <f ca="1">SUMIFS('Ведомость расчета мин. платы'!$S$10:$S$209,'Ведомость расчета мин. платы'!$AE$10:$AE$209,CONCATENATE(B243,"/",D243,"/",E243,"/",F243,"/",H253))</f>
        <v>3479.25</v>
      </c>
      <c r="AQ254" s="253">
        <f t="shared" ref="AQ254" ca="1" si="108">AP254-N254</f>
        <v>0</v>
      </c>
    </row>
    <row r="255" spans="1:43" x14ac:dyDescent="0.2">
      <c r="B255" s="249"/>
      <c r="C255" s="249"/>
      <c r="D255" s="249"/>
      <c r="E255" s="249"/>
      <c r="F255" s="249"/>
      <c r="G255" s="249"/>
      <c r="H255" s="254" t="s">
        <v>476</v>
      </c>
      <c r="I255" s="251">
        <f ca="1">SUMIF($O243:$O256,1,I243:I254)</f>
        <v>147.41</v>
      </c>
      <c r="J255" s="251">
        <f ca="1">SUMIF($O243:$O256,1,J243:J254)</f>
        <v>92.3</v>
      </c>
      <c r="K255" s="251">
        <f ca="1">SUMIF($O243:$O256,1,K243:K254)</f>
        <v>10.979999999999999</v>
      </c>
      <c r="L255" s="251">
        <f t="shared" ca="1" si="86"/>
        <v>250.68999999999997</v>
      </c>
      <c r="M255" s="251">
        <f ca="1">SUMIF($O243:$O256,1,M243:M254)</f>
        <v>170.20999999999998</v>
      </c>
      <c r="N255" s="252">
        <f t="shared" ca="1" si="87"/>
        <v>420.9</v>
      </c>
      <c r="AP255" s="242"/>
      <c r="AQ255" s="253"/>
    </row>
    <row r="256" spans="1:43" x14ac:dyDescent="0.2">
      <c r="B256" s="249"/>
      <c r="C256" s="249"/>
      <c r="D256" s="249"/>
      <c r="E256" s="249"/>
      <c r="F256" s="249"/>
      <c r="G256" s="249"/>
      <c r="H256" s="254" t="s">
        <v>491</v>
      </c>
      <c r="I256" s="251">
        <f ca="1">SUMIF(H243:H254,"стоимость",I243:I254)</f>
        <v>6506.15</v>
      </c>
      <c r="J256" s="251">
        <f ca="1">SUMIF(H243:H254,"стоимость",J243:J254)</f>
        <v>4375.41</v>
      </c>
      <c r="K256" s="251">
        <f ca="1">SUMIF(H243:H254,"стоимость",K243:K254)</f>
        <v>358.84</v>
      </c>
      <c r="L256" s="251">
        <f ca="1">IFERROR(SUM(I256:K256),"")</f>
        <v>11240.4</v>
      </c>
      <c r="M256" s="251">
        <f ca="1">SUMIF(H243:H254,"стоимость",M243:M254)</f>
        <v>416.96999999999935</v>
      </c>
      <c r="N256" s="252">
        <f ca="1">IFERROR(SUM(L256:M256),"")</f>
        <v>11657.369999999999</v>
      </c>
      <c r="AP256" s="242">
        <f ca="1">SUMIFS('Ведомость расчета мин. платы'!$S$10:$S$209,'Ведомость расчета мин. платы'!$J$10:$J$209,"Итого",'Ведомость расчета мин. платы'!$AC$10:$AC$209,CONCATENATE(B243,"/",D243,"/",E243,"/",F243))</f>
        <v>11657.369999999999</v>
      </c>
      <c r="AQ256" s="253">
        <f ca="1">AP256-N256</f>
        <v>0</v>
      </c>
    </row>
    <row r="257" spans="2:16" x14ac:dyDescent="0.2">
      <c r="B257" s="255"/>
      <c r="C257" s="255"/>
      <c r="D257" s="255"/>
      <c r="E257" s="255"/>
      <c r="F257" s="255"/>
      <c r="G257" s="256"/>
      <c r="H257" s="257"/>
      <c r="I257" s="258"/>
      <c r="J257" s="258"/>
      <c r="K257" s="258"/>
      <c r="L257" s="258"/>
      <c r="M257" s="258"/>
      <c r="N257" s="258"/>
      <c r="P257" s="230">
        <f t="shared" ref="P257:P275" si="109">IF(A257&gt;0,1,0)</f>
        <v>0</v>
      </c>
    </row>
    <row r="258" spans="2:16" x14ac:dyDescent="0.2">
      <c r="B258" s="282" t="s">
        <v>477</v>
      </c>
      <c r="C258" s="282"/>
      <c r="D258" s="282"/>
      <c r="E258" s="282"/>
      <c r="F258" s="259"/>
      <c r="G258" s="225"/>
      <c r="H258" s="201"/>
      <c r="I258" s="226"/>
      <c r="J258" s="258"/>
      <c r="K258" s="258"/>
      <c r="L258" s="258"/>
      <c r="M258" s="258"/>
      <c r="N258" s="258"/>
      <c r="P258" s="230">
        <f t="shared" si="109"/>
        <v>0</v>
      </c>
    </row>
    <row r="259" spans="2:16" x14ac:dyDescent="0.2">
      <c r="B259" s="283" t="s">
        <v>525</v>
      </c>
      <c r="C259" s="283"/>
      <c r="D259" s="283"/>
      <c r="E259" s="283"/>
      <c r="F259" s="283"/>
      <c r="G259" s="283"/>
      <c r="H259" s="283"/>
      <c r="I259" s="283"/>
      <c r="J259" s="261"/>
      <c r="K259" s="261"/>
      <c r="L259" s="261"/>
      <c r="M259" s="261"/>
      <c r="N259" s="261"/>
      <c r="P259" s="230">
        <f t="shared" si="109"/>
        <v>0</v>
      </c>
    </row>
    <row r="260" spans="2:16" x14ac:dyDescent="0.2">
      <c r="B260" s="284" t="s">
        <v>478</v>
      </c>
      <c r="C260" s="284"/>
      <c r="D260" s="284"/>
      <c r="E260" s="284"/>
      <c r="F260" s="284"/>
      <c r="G260" s="284"/>
      <c r="H260" s="284"/>
      <c r="I260" s="284"/>
      <c r="J260" s="258"/>
      <c r="K260" s="258"/>
      <c r="L260" s="258"/>
      <c r="M260" s="258"/>
      <c r="N260" s="258"/>
      <c r="P260" s="230">
        <f t="shared" si="109"/>
        <v>0</v>
      </c>
    </row>
    <row r="261" spans="2:16" x14ac:dyDescent="0.2">
      <c r="B261" s="284" t="s">
        <v>479</v>
      </c>
      <c r="C261" s="284"/>
      <c r="D261" s="284"/>
      <c r="E261" s="284"/>
      <c r="F261" s="284"/>
      <c r="G261" s="284"/>
      <c r="H261" s="284"/>
      <c r="I261" s="284"/>
      <c r="J261" s="258"/>
      <c r="K261" s="258"/>
      <c r="L261" s="258"/>
      <c r="M261" s="258"/>
      <c r="N261" s="258"/>
      <c r="P261" s="230">
        <f t="shared" si="109"/>
        <v>0</v>
      </c>
    </row>
    <row r="262" spans="2:16" x14ac:dyDescent="0.2">
      <c r="B262" s="284" t="s">
        <v>480</v>
      </c>
      <c r="C262" s="284"/>
      <c r="D262" s="284"/>
      <c r="E262" s="284"/>
      <c r="F262" s="284"/>
      <c r="G262" s="284"/>
      <c r="H262" s="284"/>
      <c r="I262" s="284"/>
      <c r="J262" s="258"/>
      <c r="K262" s="258"/>
      <c r="L262" s="258"/>
      <c r="M262" s="258"/>
      <c r="N262" s="258"/>
      <c r="P262" s="230">
        <f t="shared" si="109"/>
        <v>0</v>
      </c>
    </row>
    <row r="263" spans="2:16" x14ac:dyDescent="0.2">
      <c r="B263" s="284" t="s">
        <v>481</v>
      </c>
      <c r="C263" s="284"/>
      <c r="D263" s="284"/>
      <c r="E263" s="284"/>
      <c r="F263" s="284"/>
      <c r="G263" s="284"/>
      <c r="H263" s="284"/>
      <c r="I263" s="284"/>
      <c r="J263" s="226"/>
      <c r="K263" s="226"/>
      <c r="L263" s="226"/>
      <c r="M263" s="226"/>
      <c r="N263" s="226"/>
      <c r="P263" s="230">
        <f t="shared" si="109"/>
        <v>0</v>
      </c>
    </row>
    <row r="264" spans="2:16" x14ac:dyDescent="0.2">
      <c r="B264" s="284" t="s">
        <v>482</v>
      </c>
      <c r="C264" s="284"/>
      <c r="D264" s="284"/>
      <c r="E264" s="284"/>
      <c r="F264" s="284"/>
      <c r="G264" s="284"/>
      <c r="H264" s="284"/>
      <c r="I264" s="284"/>
      <c r="J264" s="226"/>
      <c r="K264" s="226"/>
      <c r="L264" s="226"/>
      <c r="M264" s="226"/>
      <c r="N264" s="226"/>
      <c r="P264" s="230">
        <f t="shared" si="109"/>
        <v>0</v>
      </c>
    </row>
    <row r="265" spans="2:16" x14ac:dyDescent="0.2">
      <c r="B265" s="284" t="s">
        <v>483</v>
      </c>
      <c r="C265" s="284"/>
      <c r="D265" s="284"/>
      <c r="E265" s="284"/>
      <c r="F265" s="284"/>
      <c r="G265" s="284"/>
      <c r="H265" s="284"/>
      <c r="I265" s="284"/>
      <c r="J265" s="226"/>
      <c r="K265" s="226"/>
      <c r="L265" s="226"/>
      <c r="M265" s="226"/>
      <c r="N265" s="226"/>
      <c r="P265" s="230">
        <f t="shared" si="109"/>
        <v>0</v>
      </c>
    </row>
    <row r="266" spans="2:16" x14ac:dyDescent="0.2">
      <c r="B266" s="284" t="s">
        <v>484</v>
      </c>
      <c r="C266" s="284"/>
      <c r="D266" s="284"/>
      <c r="E266" s="284"/>
      <c r="F266" s="284"/>
      <c r="G266" s="284"/>
      <c r="H266" s="284"/>
      <c r="I266" s="284"/>
      <c r="J266" s="226"/>
      <c r="K266" s="226"/>
      <c r="L266" s="226"/>
      <c r="M266" s="226"/>
      <c r="N266" s="226"/>
      <c r="P266" s="230">
        <f t="shared" si="109"/>
        <v>0</v>
      </c>
    </row>
    <row r="267" spans="2:16" x14ac:dyDescent="0.2">
      <c r="B267" s="264"/>
      <c r="C267" s="264"/>
      <c r="D267" s="264"/>
      <c r="E267" s="264"/>
      <c r="F267" s="264"/>
      <c r="G267" s="264"/>
      <c r="H267" s="264"/>
      <c r="I267" s="265"/>
      <c r="J267" s="226"/>
      <c r="K267" s="226"/>
      <c r="L267" s="226"/>
      <c r="M267" s="226"/>
      <c r="N267" s="226"/>
      <c r="P267" s="230">
        <f t="shared" si="109"/>
        <v>0</v>
      </c>
    </row>
    <row r="268" spans="2:16" x14ac:dyDescent="0.2">
      <c r="B268" s="225" t="s">
        <v>485</v>
      </c>
      <c r="C268" s="225"/>
      <c r="D268" s="225"/>
      <c r="E268" s="225"/>
      <c r="F268" s="225"/>
      <c r="G268" s="225"/>
      <c r="H268" s="201"/>
      <c r="I268" s="226"/>
      <c r="J268" s="226" t="s">
        <v>486</v>
      </c>
      <c r="K268" s="226"/>
      <c r="L268" s="226"/>
      <c r="M268" s="226"/>
      <c r="N268" s="226"/>
      <c r="P268" s="230">
        <f t="shared" si="109"/>
        <v>0</v>
      </c>
    </row>
    <row r="269" spans="2:16" x14ac:dyDescent="0.2">
      <c r="B269" s="266" t="s">
        <v>524</v>
      </c>
      <c r="C269" s="266"/>
      <c r="D269" s="225"/>
      <c r="E269" s="225"/>
      <c r="F269" s="225"/>
      <c r="G269" s="225"/>
      <c r="H269" s="201"/>
      <c r="I269" s="226"/>
      <c r="J269" s="267"/>
      <c r="K269" s="267"/>
      <c r="L269" s="267"/>
      <c r="M269" s="226"/>
      <c r="N269" s="226"/>
      <c r="P269" s="230">
        <f t="shared" si="109"/>
        <v>0</v>
      </c>
    </row>
    <row r="270" spans="2:16" x14ac:dyDescent="0.2">
      <c r="B270" s="268" t="s">
        <v>487</v>
      </c>
      <c r="C270" s="225"/>
      <c r="D270" s="225"/>
      <c r="E270" s="225"/>
      <c r="F270" s="225"/>
      <c r="G270" s="225"/>
      <c r="H270" s="201"/>
      <c r="I270" s="226"/>
      <c r="J270" s="226" t="s">
        <v>487</v>
      </c>
      <c r="K270" s="226"/>
      <c r="L270" s="226"/>
      <c r="M270" s="226"/>
      <c r="N270" s="226"/>
      <c r="P270" s="230">
        <f t="shared" si="109"/>
        <v>0</v>
      </c>
    </row>
    <row r="271" spans="2:16" x14ac:dyDescent="0.2">
      <c r="B271" s="225"/>
      <c r="C271" s="225"/>
      <c r="D271" s="225"/>
      <c r="E271" s="225"/>
      <c r="F271" s="225"/>
      <c r="G271" s="225"/>
      <c r="H271" s="201"/>
      <c r="I271" s="226"/>
      <c r="J271" s="226"/>
      <c r="K271" s="226"/>
      <c r="L271" s="226"/>
      <c r="M271" s="226"/>
      <c r="N271" s="226"/>
      <c r="P271" s="230">
        <f t="shared" si="109"/>
        <v>0</v>
      </c>
    </row>
    <row r="272" spans="2:16" x14ac:dyDescent="0.2">
      <c r="B272" s="266"/>
      <c r="C272" s="266"/>
      <c r="D272" s="225"/>
      <c r="E272" s="225"/>
      <c r="F272" s="225"/>
      <c r="G272" s="225"/>
      <c r="H272" s="201"/>
      <c r="I272" s="226"/>
      <c r="J272" s="267"/>
      <c r="K272" s="267"/>
      <c r="L272" s="267"/>
      <c r="M272" s="226"/>
      <c r="N272" s="226"/>
      <c r="P272" s="230">
        <f t="shared" si="109"/>
        <v>0</v>
      </c>
    </row>
    <row r="273" spans="1:16" x14ac:dyDescent="0.2">
      <c r="B273" s="269" t="s">
        <v>488</v>
      </c>
      <c r="C273" s="225"/>
      <c r="D273" s="225"/>
      <c r="E273" s="225"/>
      <c r="F273" s="225"/>
      <c r="G273" s="225"/>
      <c r="H273" s="201"/>
      <c r="I273" s="226"/>
      <c r="J273" s="285" t="s">
        <v>488</v>
      </c>
      <c r="K273" s="285"/>
      <c r="L273" s="285"/>
      <c r="M273" s="226"/>
      <c r="N273" s="226"/>
      <c r="P273" s="230">
        <f t="shared" si="109"/>
        <v>0</v>
      </c>
    </row>
    <row r="274" spans="1:16" x14ac:dyDescent="0.2">
      <c r="B274" s="225"/>
      <c r="C274" s="225"/>
      <c r="D274" s="225"/>
      <c r="E274" s="225"/>
      <c r="F274" s="225"/>
      <c r="G274" s="225"/>
      <c r="H274" s="201"/>
      <c r="I274" s="226"/>
      <c r="J274" s="226"/>
      <c r="K274" s="226"/>
      <c r="L274" s="226"/>
      <c r="M274" s="226"/>
      <c r="N274" s="226"/>
      <c r="P274" s="230">
        <f t="shared" si="109"/>
        <v>0</v>
      </c>
    </row>
    <row r="275" spans="1:16" x14ac:dyDescent="0.2">
      <c r="B275" s="264" t="s">
        <v>489</v>
      </c>
      <c r="C275" s="225"/>
      <c r="D275" s="225"/>
      <c r="E275" s="225"/>
      <c r="F275" s="225"/>
      <c r="G275" s="225"/>
      <c r="H275" s="201"/>
      <c r="I275" s="226"/>
      <c r="J275" s="226" t="s">
        <v>489</v>
      </c>
      <c r="K275" s="226"/>
      <c r="L275" s="226"/>
      <c r="M275" s="226"/>
      <c r="N275" s="226"/>
      <c r="P275" s="230">
        <f t="shared" si="109"/>
        <v>0</v>
      </c>
    </row>
    <row r="276" spans="1:16" x14ac:dyDescent="0.2">
      <c r="A276" s="272"/>
      <c r="B276" s="225"/>
      <c r="C276" s="225"/>
      <c r="D276" s="225"/>
      <c r="E276" s="225"/>
      <c r="F276" s="225"/>
      <c r="G276" s="225"/>
      <c r="H276" s="201"/>
      <c r="I276" s="226"/>
      <c r="J276" s="226"/>
      <c r="K276" s="226"/>
      <c r="M276" s="226"/>
      <c r="N276" s="228"/>
    </row>
    <row r="277" spans="1:16" x14ac:dyDescent="0.2">
      <c r="A277" s="260"/>
      <c r="B277" s="225"/>
      <c r="C277" s="225"/>
      <c r="D277" s="225"/>
      <c r="E277" s="225"/>
      <c r="F277" s="225"/>
      <c r="G277" s="225"/>
      <c r="H277" s="201"/>
      <c r="I277" s="226"/>
      <c r="J277" s="226"/>
      <c r="K277" s="226"/>
      <c r="M277" s="226"/>
      <c r="N277" s="228" t="s">
        <v>455</v>
      </c>
      <c r="P277" s="230">
        <f t="shared" ref="P277:P294" si="110">IF(A277&gt;0,1,0)</f>
        <v>0</v>
      </c>
    </row>
    <row r="278" spans="1:16" x14ac:dyDescent="0.2">
      <c r="B278" s="225"/>
      <c r="C278" s="225"/>
      <c r="D278" s="225"/>
      <c r="E278" s="225"/>
      <c r="F278" s="225"/>
      <c r="G278" s="225"/>
      <c r="H278" s="201"/>
      <c r="I278" s="226"/>
      <c r="J278" s="226"/>
      <c r="K278" s="226"/>
      <c r="M278" s="226"/>
      <c r="N278" s="228" t="s">
        <v>456</v>
      </c>
      <c r="P278" s="230">
        <f t="shared" si="110"/>
        <v>0</v>
      </c>
    </row>
    <row r="279" spans="1:16" x14ac:dyDescent="0.2">
      <c r="B279" s="225"/>
      <c r="C279" s="225"/>
      <c r="D279" s="225"/>
      <c r="E279" s="225"/>
      <c r="F279" s="225"/>
      <c r="G279" s="225"/>
      <c r="H279" s="201"/>
      <c r="I279" s="226"/>
      <c r="J279" s="226"/>
      <c r="K279" s="226"/>
      <c r="M279" s="226"/>
      <c r="N279" s="228" t="s">
        <v>457</v>
      </c>
      <c r="P279" s="230">
        <f t="shared" si="110"/>
        <v>0</v>
      </c>
    </row>
    <row r="280" spans="1:16" x14ac:dyDescent="0.2">
      <c r="B280" s="225"/>
      <c r="C280" s="225"/>
      <c r="D280" s="225"/>
      <c r="E280" s="225"/>
      <c r="F280" s="225"/>
      <c r="G280" s="225"/>
      <c r="H280" s="201"/>
      <c r="I280" s="226"/>
      <c r="J280" s="226"/>
      <c r="K280" s="226"/>
      <c r="L280" s="226"/>
      <c r="M280" s="226"/>
      <c r="N280" s="226"/>
      <c r="P280" s="230">
        <f t="shared" si="110"/>
        <v>0</v>
      </c>
    </row>
    <row r="281" spans="1:16" x14ac:dyDescent="0.2">
      <c r="B281" s="225"/>
      <c r="C281" s="286" t="s">
        <v>458</v>
      </c>
      <c r="D281" s="286"/>
      <c r="E281" s="286"/>
      <c r="F281" s="286"/>
      <c r="G281" s="286"/>
      <c r="H281" s="286"/>
      <c r="I281" s="286"/>
      <c r="J281" s="286"/>
      <c r="K281" s="286"/>
      <c r="L281" s="286"/>
      <c r="M281" s="226"/>
      <c r="N281" s="226"/>
      <c r="P281" s="230">
        <f t="shared" si="110"/>
        <v>0</v>
      </c>
    </row>
    <row r="282" spans="1:16" x14ac:dyDescent="0.2">
      <c r="B282" s="225"/>
      <c r="C282" s="286" t="s">
        <v>459</v>
      </c>
      <c r="D282" s="286"/>
      <c r="E282" s="286"/>
      <c r="F282" s="286"/>
      <c r="G282" s="286"/>
      <c r="H282" s="286"/>
      <c r="I282" s="286"/>
      <c r="J282" s="286"/>
      <c r="K282" s="286"/>
      <c r="L282" s="286"/>
      <c r="M282" s="226"/>
      <c r="N282" s="226"/>
      <c r="P282" s="230">
        <f t="shared" si="110"/>
        <v>0</v>
      </c>
    </row>
    <row r="283" spans="1:16" x14ac:dyDescent="0.2">
      <c r="B283" s="225" t="s">
        <v>460</v>
      </c>
      <c r="C283" s="234"/>
      <c r="D283" s="234"/>
      <c r="E283" s="234"/>
      <c r="F283" s="234"/>
      <c r="G283" s="234"/>
      <c r="H283" s="234"/>
      <c r="I283" s="235"/>
      <c r="J283" s="235"/>
      <c r="K283" s="235"/>
      <c r="L283" s="287" t="s">
        <v>461</v>
      </c>
      <c r="M283" s="287"/>
      <c r="N283" s="287"/>
      <c r="P283" s="230">
        <f t="shared" si="110"/>
        <v>0</v>
      </c>
    </row>
    <row r="284" spans="1:16" x14ac:dyDescent="0.2">
      <c r="B284" s="225"/>
      <c r="C284" s="234"/>
      <c r="D284" s="234"/>
      <c r="E284" s="234"/>
      <c r="F284" s="234"/>
      <c r="G284" s="234"/>
      <c r="H284" s="234"/>
      <c r="I284" s="235"/>
      <c r="J284" s="235"/>
      <c r="K284" s="235"/>
      <c r="L284" s="235"/>
      <c r="M284" s="235"/>
      <c r="N284" s="235"/>
      <c r="P284" s="230">
        <f t="shared" si="110"/>
        <v>0</v>
      </c>
    </row>
    <row r="285" spans="1:16" x14ac:dyDescent="0.2">
      <c r="B285" s="225" t="s">
        <v>2038</v>
      </c>
      <c r="C285" s="234"/>
      <c r="D285" s="234"/>
      <c r="E285" s="234"/>
      <c r="F285" s="234"/>
      <c r="G285" s="234"/>
      <c r="H285" s="234"/>
      <c r="I285" s="235"/>
      <c r="J285" s="235"/>
      <c r="K285" s="235"/>
      <c r="L285" s="235"/>
      <c r="M285" s="235"/>
      <c r="N285" s="235"/>
      <c r="P285" s="230">
        <f t="shared" si="110"/>
        <v>0</v>
      </c>
    </row>
    <row r="286" spans="1:16" x14ac:dyDescent="0.2">
      <c r="B286" s="225" t="s">
        <v>462</v>
      </c>
      <c r="C286" s="234"/>
      <c r="D286" s="234"/>
      <c r="E286" s="234"/>
      <c r="F286" s="234"/>
      <c r="G286" s="234"/>
      <c r="H286" s="234"/>
      <c r="I286" s="235"/>
      <c r="J286" s="235"/>
      <c r="K286" s="235"/>
      <c r="L286" s="235"/>
      <c r="M286" s="235"/>
      <c r="N286" s="235"/>
      <c r="P286" s="230">
        <f t="shared" si="110"/>
        <v>0</v>
      </c>
    </row>
    <row r="287" spans="1:16" x14ac:dyDescent="0.2">
      <c r="B287" s="225" t="s">
        <v>2037</v>
      </c>
      <c r="C287" s="234"/>
      <c r="D287" s="234"/>
      <c r="E287" s="234"/>
      <c r="F287" s="234"/>
      <c r="G287" s="234"/>
      <c r="H287" s="234"/>
      <c r="I287" s="235"/>
      <c r="J287" s="235"/>
      <c r="K287" s="235"/>
      <c r="L287" s="235"/>
      <c r="M287" s="235"/>
      <c r="N287" s="235"/>
      <c r="P287" s="230">
        <f t="shared" si="110"/>
        <v>0</v>
      </c>
    </row>
    <row r="288" spans="1:16" x14ac:dyDescent="0.2">
      <c r="B288" s="225" t="s">
        <v>2052</v>
      </c>
      <c r="C288" s="234"/>
      <c r="D288" s="234"/>
      <c r="E288" s="234"/>
      <c r="F288" s="234"/>
      <c r="G288" s="234"/>
      <c r="H288" s="234"/>
      <c r="I288" s="235"/>
      <c r="J288" s="235"/>
      <c r="K288" s="235"/>
      <c r="L288" s="235"/>
      <c r="M288" s="235"/>
      <c r="N288" s="235"/>
      <c r="P288" s="230">
        <f t="shared" si="110"/>
        <v>0</v>
      </c>
    </row>
    <row r="289" spans="1:43" x14ac:dyDescent="0.2">
      <c r="B289" s="225"/>
      <c r="C289" s="225"/>
      <c r="D289" s="225"/>
      <c r="E289" s="225"/>
      <c r="F289" s="225"/>
      <c r="G289" s="225"/>
      <c r="H289" s="201"/>
      <c r="I289" s="226"/>
      <c r="J289" s="226"/>
      <c r="K289" s="226"/>
      <c r="L289" s="226"/>
      <c r="M289" s="226"/>
      <c r="N289" s="226"/>
      <c r="P289" s="230">
        <f t="shared" si="110"/>
        <v>0</v>
      </c>
    </row>
    <row r="290" spans="1:43" x14ac:dyDescent="0.2">
      <c r="B290" s="288" t="s">
        <v>106</v>
      </c>
      <c r="C290" s="290" t="s">
        <v>463</v>
      </c>
      <c r="D290" s="288" t="s">
        <v>464</v>
      </c>
      <c r="E290" s="288" t="s">
        <v>465</v>
      </c>
      <c r="F290" s="288" t="s">
        <v>490</v>
      </c>
      <c r="G290" s="288" t="s">
        <v>466</v>
      </c>
      <c r="H290" s="292" t="s">
        <v>8</v>
      </c>
      <c r="I290" s="294" t="s">
        <v>467</v>
      </c>
      <c r="J290" s="295"/>
      <c r="K290" s="295"/>
      <c r="L290" s="296"/>
      <c r="M290" s="297" t="s">
        <v>468</v>
      </c>
      <c r="N290" s="299" t="s">
        <v>469</v>
      </c>
      <c r="P290" s="230">
        <f t="shared" si="110"/>
        <v>0</v>
      </c>
    </row>
    <row r="291" spans="1:43" x14ac:dyDescent="0.2">
      <c r="B291" s="289"/>
      <c r="C291" s="291"/>
      <c r="D291" s="289"/>
      <c r="E291" s="289"/>
      <c r="F291" s="289"/>
      <c r="G291" s="289"/>
      <c r="H291" s="293"/>
      <c r="I291" s="236" t="s">
        <v>470</v>
      </c>
      <c r="J291" s="236" t="s">
        <v>471</v>
      </c>
      <c r="K291" s="236" t="s">
        <v>472</v>
      </c>
      <c r="L291" s="236" t="s">
        <v>473</v>
      </c>
      <c r="M291" s="298"/>
      <c r="N291" s="300"/>
      <c r="P291" s="230">
        <f t="shared" si="110"/>
        <v>0</v>
      </c>
    </row>
    <row r="292" spans="1:43" x14ac:dyDescent="0.2">
      <c r="A292" s="224" t="str">
        <f>CONCATENATE("Лот"," ",A293)</f>
        <v>Лот 6</v>
      </c>
      <c r="B292" s="273" t="s">
        <v>2087</v>
      </c>
      <c r="C292" s="274"/>
      <c r="D292" s="274"/>
      <c r="E292" s="274"/>
      <c r="F292" s="274"/>
      <c r="G292" s="275"/>
      <c r="H292" s="238" t="s">
        <v>17</v>
      </c>
      <c r="I292" s="270">
        <f ca="1">ROUND(VLOOKUP($H292,$AJ$4:$AN$13,2,0)*$Q294*1.51,2)</f>
        <v>120.15</v>
      </c>
      <c r="J292" s="270">
        <f ca="1">ROUND(VLOOKUP($H292,$AJ$4:$AN$13,3,0)*$Q294*1.51,2)</f>
        <v>85.62</v>
      </c>
      <c r="K292" s="270">
        <f ca="1">ROUND(VLOOKUP($H292,$AJ$4:$AN$13,4,0)*$Q294*1.51,2)</f>
        <v>43.38</v>
      </c>
      <c r="L292" s="270"/>
      <c r="M292" s="270">
        <f ca="1">ROUND(VLOOKUP($H292,$AJ$4:$AN$13,5,0)*$Q294*1.51,2)</f>
        <v>6.85</v>
      </c>
      <c r="N292" s="270"/>
      <c r="P292" s="230">
        <f t="shared" si="110"/>
        <v>1</v>
      </c>
    </row>
    <row r="293" spans="1:43" x14ac:dyDescent="0.2">
      <c r="A293" s="224">
        <f>A238+1</f>
        <v>6</v>
      </c>
      <c r="B293" s="276"/>
      <c r="C293" s="277"/>
      <c r="D293" s="277"/>
      <c r="E293" s="277"/>
      <c r="F293" s="277"/>
      <c r="G293" s="278"/>
      <c r="H293" s="238" t="s">
        <v>25</v>
      </c>
      <c r="I293" s="270">
        <f ca="1">ROUND(VLOOKUP($H293,$AJ$4:$AN$13,2,0)*$Q294*1.51,2)</f>
        <v>898.69</v>
      </c>
      <c r="J293" s="270">
        <f ca="1">ROUND(VLOOKUP($H293,$AJ$4:$AN$13,3,0)*$Q294*1.51,2)</f>
        <v>642.13</v>
      </c>
      <c r="K293" s="270">
        <f ca="1">ROUND(VLOOKUP($H293,$AJ$4:$AN$13,4,0)*$Q294*1.51,2)</f>
        <v>323.06</v>
      </c>
      <c r="L293" s="270"/>
      <c r="M293" s="270">
        <f ca="1">ROUND(VLOOKUP($H293,$AJ$4:$AN$13,5,0)*$Q294*1.51,2)</f>
        <v>27.97</v>
      </c>
      <c r="N293" s="270"/>
      <c r="P293" s="230">
        <f t="shared" si="110"/>
        <v>1</v>
      </c>
      <c r="Q293" s="240" t="s">
        <v>2045</v>
      </c>
      <c r="R293" s="240" t="s">
        <v>2046</v>
      </c>
    </row>
    <row r="294" spans="1:43" x14ac:dyDescent="0.2">
      <c r="B294" s="276"/>
      <c r="C294" s="277"/>
      <c r="D294" s="277"/>
      <c r="E294" s="277"/>
      <c r="F294" s="277"/>
      <c r="G294" s="278"/>
      <c r="H294" s="238" t="s">
        <v>19</v>
      </c>
      <c r="I294" s="270">
        <f ca="1">ROUND(VLOOKUP($H294,$AJ$4:$AN$13,2,0)*$Q294*1.51,2)</f>
        <v>71.349999999999994</v>
      </c>
      <c r="J294" s="270">
        <f ca="1">ROUND(VLOOKUP($H294,$AJ$4:$AN$13,3,0)*$Q294*1.51,2)</f>
        <v>51.94</v>
      </c>
      <c r="K294" s="270">
        <f ca="1">ROUND(VLOOKUP($H294,$AJ$4:$AN$13,4,0)*$Q294*1.51,2)</f>
        <v>26.54</v>
      </c>
      <c r="L294" s="270"/>
      <c r="M294" s="270">
        <f ca="1">ROUND(VLOOKUP($H294,$AJ$4:$AN$13,5,0)*$Q294*1.51,2)</f>
        <v>1.43</v>
      </c>
      <c r="N294" s="270"/>
      <c r="P294" s="230">
        <f t="shared" si="110"/>
        <v>0</v>
      </c>
      <c r="Q294" s="123">
        <f ca="1">IFERROR(IF(R294="","",IF(OR(R294&lt;100,R294=100),0.9,IF(OR(AND(R294&gt;100,R294&lt;150),R294=150),1,IF(R294&gt;150,1.05,"")))),"0")</f>
        <v>1.05</v>
      </c>
      <c r="R294" s="123">
        <f ca="1">N310/G298</f>
        <v>161.56</v>
      </c>
    </row>
    <row r="295" spans="1:43" x14ac:dyDescent="0.2">
      <c r="B295" s="276"/>
      <c r="C295" s="277"/>
      <c r="D295" s="277"/>
      <c r="E295" s="277"/>
      <c r="F295" s="277"/>
      <c r="G295" s="278"/>
      <c r="H295" s="238" t="s">
        <v>268</v>
      </c>
      <c r="I295" s="270">
        <f ca="1">ROUND(VLOOKUP($H295,$AJ$4:$AN$13,2,0)*$Q294*1.51,2)</f>
        <v>898.69</v>
      </c>
      <c r="J295" s="270">
        <f ca="1">ROUND(VLOOKUP($H295,$AJ$4:$AN$13,3,0)*$Q294*1.51,2)</f>
        <v>642.13</v>
      </c>
      <c r="K295" s="270">
        <f ca="1">ROUND(VLOOKUP($H295,$AJ$4:$AN$13,4,0)*$Q294*1.51,2)</f>
        <v>323.06</v>
      </c>
      <c r="L295" s="270"/>
      <c r="M295" s="270">
        <f ca="1">ROUND(VLOOKUP($H295,$AJ$4:$AN$13,5,0)*$Q294*1.51,2)</f>
        <v>27.97</v>
      </c>
      <c r="N295" s="270"/>
    </row>
    <row r="296" spans="1:43" x14ac:dyDescent="0.2">
      <c r="B296" s="276"/>
      <c r="C296" s="277"/>
      <c r="D296" s="277"/>
      <c r="E296" s="277"/>
      <c r="F296" s="277"/>
      <c r="G296" s="278"/>
      <c r="H296" s="238" t="s">
        <v>40</v>
      </c>
      <c r="I296" s="270">
        <f ca="1">ROUND(VLOOKUP($H296,$AJ$4:$AN$13,2,0)*$Q294*1.51,2)</f>
        <v>71.349999999999994</v>
      </c>
      <c r="J296" s="270">
        <f ca="1">ROUND(VLOOKUP($H296,$AJ$4:$AN$13,3,0)*$Q294*1.51,2)</f>
        <v>51.94</v>
      </c>
      <c r="K296" s="270">
        <f ca="1">ROUND(VLOOKUP($H296,$AJ$4:$AN$13,4,0)*$Q294*1.51,2)</f>
        <v>26.54</v>
      </c>
      <c r="L296" s="270"/>
      <c r="M296" s="270">
        <f ca="1">ROUND(VLOOKUP($H296,$AJ$4:$AN$13,5,0)*$Q294*1.51,2)</f>
        <v>1.43</v>
      </c>
      <c r="N296" s="270"/>
      <c r="P296" s="230">
        <f t="shared" ref="P296:P309" si="111">IF(A296&gt;0,1,0)</f>
        <v>0</v>
      </c>
    </row>
    <row r="297" spans="1:43" x14ac:dyDescent="0.2">
      <c r="B297" s="279"/>
      <c r="C297" s="280"/>
      <c r="D297" s="280"/>
      <c r="E297" s="280"/>
      <c r="F297" s="280"/>
      <c r="G297" s="281"/>
      <c r="H297" s="238" t="s">
        <v>18</v>
      </c>
      <c r="I297" s="270">
        <f ca="1">ROUND(VLOOKUP($H297,$AJ$4:$AN$13,2,0)*$Q294*1.51,2)</f>
        <v>22.83</v>
      </c>
      <c r="J297" s="270">
        <f ca="1">ROUND(VLOOKUP($H297,$AJ$4:$AN$13,3,0)*$Q294*1.51,2)</f>
        <v>17.41</v>
      </c>
      <c r="K297" s="270">
        <f ca="1">ROUND(VLOOKUP($H297,$AJ$4:$AN$13,4,0)*$Q294*1.51,2)</f>
        <v>8.85</v>
      </c>
      <c r="L297" s="270"/>
      <c r="M297" s="270">
        <f ca="1">ROUND(VLOOKUP($H297,$AJ$4:$AN$13,5,0)*$Q294*1.51*1,2)</f>
        <v>0.56999999999999995</v>
      </c>
      <c r="N297" s="270"/>
      <c r="P297" s="230">
        <f t="shared" si="111"/>
        <v>0</v>
      </c>
      <c r="AP297" s="241" t="s">
        <v>2053</v>
      </c>
      <c r="AQ297" s="242"/>
    </row>
    <row r="298" spans="1:43" x14ac:dyDescent="0.2">
      <c r="A298" s="224">
        <f>A243+37</f>
        <v>185</v>
      </c>
      <c r="B298" s="243" t="str">
        <f ca="1">OFFSET(ЛОТЫ!$L$5,A298,0,1,1)</f>
        <v>Вишнево-Полянское</v>
      </c>
      <c r="C298" s="244" t="s">
        <v>474</v>
      </c>
      <c r="D298" s="243">
        <f ca="1">OFFSET(ЛОТЫ!$M$5,A298,0,1,1)</f>
        <v>32</v>
      </c>
      <c r="E298" s="243">
        <f ca="1">OFFSET(ЛОТЫ!$N$5,A298,0,1,1)</f>
        <v>7</v>
      </c>
      <c r="F298" s="243">
        <f ca="1">OFFSET(ЛОТЫ!$O$5,A298,0,1,1)</f>
        <v>2</v>
      </c>
      <c r="G298" s="271">
        <f ca="1">IFERROR(INDEX('Ведомость расчета мин. платы'!$G$10:$AC$214,MATCH(CONCATENATE(B298,"/",D298,"/",E298,"/",F298),'Ведомость расчета мин. платы'!$AC$10:$AC$214,0),1),"")</f>
        <v>2.5</v>
      </c>
      <c r="H298" s="246" t="s">
        <v>17</v>
      </c>
      <c r="I298" s="247">
        <f ca="1">IFERROR(INDEX('Ведомость расчета мин. платы'!$J$10:$AE$214,MATCH(CONCATENATE(РАСЧЕТ!B298,"/",РАСЧЕТ!D298,"/",РАСЧЕТ!E298,"/",F298,"/",H298),'Ведомость расчета мин. платы'!$AE$10:$AE$214,0),2),"")</f>
        <v>33.85</v>
      </c>
      <c r="J298" s="247">
        <f ca="1">IFERROR(INDEX('Ведомость расчета мин. платы'!$J$10:$AE$214,MATCH(CONCATENATE(РАСЧЕТ!B298,"/",РАСЧЕТ!D298,"/",РАСЧЕТ!E298,"/",F298,"/",H298),'Ведомость расчета мин. платы'!$AE$10:$AE$214,0),3),"")</f>
        <v>38.74</v>
      </c>
      <c r="K298" s="247">
        <f ca="1">IFERROR(INDEX('Ведомость расчета мин. платы'!$J$10:$AE$214,MATCH(CONCATENATE(РАСЧЕТ!B298,"/",РАСЧЕТ!D298,"/",РАСЧЕТ!E298,"/",F298,"/",H298),'Ведомость расчета мин. платы'!$AE$10:$AE$214,0),4),"")</f>
        <v>6.15</v>
      </c>
      <c r="L298" s="248">
        <f t="shared" ref="L298:L310" ca="1" si="112">IFERROR(SUM(I298:K298),"")</f>
        <v>78.740000000000009</v>
      </c>
      <c r="M298" s="214">
        <f ca="1">IFERROR(INDEX('Ведомость расчета мин. платы'!$J$10:$AE$214,MATCH(CONCATENATE(РАСЧЕТ!B298,"/",РАСЧЕТ!D298,"/",РАСЧЕТ!E298,"/",F298,"/",H298),'Ведомость расчета мин. платы'!$AE$10:$AE$214,0),6),"")</f>
        <v>56.35</v>
      </c>
      <c r="N298" s="214">
        <f t="shared" ref="N298:N310" ca="1" si="113">IFERROR(SUM(L298:M298),"")</f>
        <v>135.09</v>
      </c>
      <c r="O298" s="229">
        <f>IF(H298="стоимость","",1)</f>
        <v>1</v>
      </c>
      <c r="P298" s="230">
        <f t="shared" si="111"/>
        <v>1</v>
      </c>
      <c r="AP298" s="242"/>
      <c r="AQ298" s="242"/>
    </row>
    <row r="299" spans="1:43" x14ac:dyDescent="0.2">
      <c r="B299" s="249"/>
      <c r="C299" s="249"/>
      <c r="D299" s="249"/>
      <c r="E299" s="249"/>
      <c r="F299" s="249"/>
      <c r="G299" s="249"/>
      <c r="H299" s="250" t="s">
        <v>475</v>
      </c>
      <c r="I299" s="251">
        <f ca="1">IFERROR(ROUND(I298*I292,2),"")</f>
        <v>4067.08</v>
      </c>
      <c r="J299" s="251">
        <f t="shared" ref="J299" ca="1" si="114">IFERROR(ROUND(J298*J292,2),"")</f>
        <v>3316.92</v>
      </c>
      <c r="K299" s="251">
        <f t="shared" ref="K299" ca="1" si="115">IFERROR(ROUND(K298*K292,2),"")</f>
        <v>266.79000000000002</v>
      </c>
      <c r="L299" s="251">
        <f t="shared" ca="1" si="112"/>
        <v>7650.79</v>
      </c>
      <c r="M299" s="251">
        <v>385.98999999999978</v>
      </c>
      <c r="N299" s="252">
        <f t="shared" ca="1" si="113"/>
        <v>8036.78</v>
      </c>
      <c r="O299" s="229" t="str">
        <f t="shared" ref="O299:O309" si="116">IF(H299="стоимость","",1)</f>
        <v/>
      </c>
      <c r="P299" s="230">
        <f t="shared" si="111"/>
        <v>0</v>
      </c>
      <c r="AP299" s="242">
        <f ca="1">SUMIFS('Ведомость расчета мин. платы'!$S$10:$S$209,'Ведомость расчета мин. платы'!$AE$10:$AE$209,CONCATENATE(B298,"/",D298,"/",E298,"/",F298,"/",H298))</f>
        <v>8036.78</v>
      </c>
      <c r="AQ299" s="253">
        <f t="shared" ref="AQ299" ca="1" si="117">AP299-N299</f>
        <v>0</v>
      </c>
    </row>
    <row r="300" spans="1:43" x14ac:dyDescent="0.2">
      <c r="B300" s="249"/>
      <c r="C300" s="249"/>
      <c r="D300" s="249"/>
      <c r="E300" s="249"/>
      <c r="F300" s="249"/>
      <c r="G300" s="249"/>
      <c r="H300" s="246" t="s">
        <v>25</v>
      </c>
      <c r="I300" s="247" t="str">
        <f ca="1">IFERROR(INDEX('Ведомость расчета мин. платы'!$J$10:$AE$214,MATCH(CONCATENATE(РАСЧЕТ!B298,"/",РАСЧЕТ!D298,"/",РАСЧЕТ!E298,"/",F298,"/",H300),'Ведомость расчета мин. платы'!$AE$10:$AE$214,0),2),"")</f>
        <v/>
      </c>
      <c r="J300" s="247" t="str">
        <f ca="1">IFERROR(INDEX('Ведомость расчета мин. платы'!$J$10:$AE$214,MATCH(CONCATENATE(РАСЧЕТ!B298,"/",РАСЧЕТ!D298,"/",РАСЧЕТ!E298,"/",F298,"/",H300),'Ведомость расчета мин. платы'!$AE$10:$AE$214,0),3),"")</f>
        <v/>
      </c>
      <c r="K300" s="247" t="str">
        <f ca="1">IFERROR(INDEX('Ведомость расчета мин. платы'!$J$10:$AE$214,MATCH(CONCATENATE(РАСЧЕТ!B298,"/",РАСЧЕТ!D298,"/",РАСЧЕТ!E298,"/",F298,"/",H300),'Ведомость расчета мин. платы'!$AE$10:$AE$214,0),4),"")</f>
        <v/>
      </c>
      <c r="L300" s="248">
        <f t="shared" ca="1" si="112"/>
        <v>0</v>
      </c>
      <c r="M300" s="214" t="str">
        <f ca="1">IFERROR(INDEX('Ведомость расчета мин. платы'!$J$10:$AE$214,MATCH(CONCATENATE(РАСЧЕТ!B298,"/",РАСЧЕТ!D298,"/",РАСЧЕТ!E298,"/",F298,"/",H300),'Ведомость расчета мин. платы'!$AE$10:$AE$214,0),6),"")</f>
        <v/>
      </c>
      <c r="N300" s="214">
        <f t="shared" ca="1" si="113"/>
        <v>0</v>
      </c>
      <c r="O300" s="229">
        <f t="shared" si="116"/>
        <v>1</v>
      </c>
      <c r="P300" s="230">
        <f t="shared" si="111"/>
        <v>0</v>
      </c>
      <c r="AP300" s="242"/>
      <c r="AQ300" s="253"/>
    </row>
    <row r="301" spans="1:43" x14ac:dyDescent="0.2">
      <c r="B301" s="249"/>
      <c r="C301" s="249"/>
      <c r="D301" s="249"/>
      <c r="E301" s="249"/>
      <c r="F301" s="249"/>
      <c r="G301" s="249"/>
      <c r="H301" s="250" t="s">
        <v>475</v>
      </c>
      <c r="I301" s="251" t="str">
        <f ca="1">IFERROR(ROUND(I300*I293,2),"")</f>
        <v/>
      </c>
      <c r="J301" s="251" t="str">
        <f t="shared" ref="J301" ca="1" si="118">IFERROR(ROUND(J300*J293,2),"")</f>
        <v/>
      </c>
      <c r="K301" s="251" t="str">
        <f t="shared" ref="K301" ca="1" si="119">IFERROR(ROUND(K300*K293,2),"")</f>
        <v/>
      </c>
      <c r="L301" s="251">
        <f t="shared" ca="1" si="112"/>
        <v>0</v>
      </c>
      <c r="M301" s="251" t="str">
        <f t="shared" ref="M301" ca="1" si="120">IFERROR(ROUND(M300*M293,2),"")</f>
        <v/>
      </c>
      <c r="N301" s="252">
        <f t="shared" ca="1" si="113"/>
        <v>0</v>
      </c>
      <c r="O301" s="229" t="str">
        <f t="shared" si="116"/>
        <v/>
      </c>
      <c r="P301" s="230">
        <f t="shared" si="111"/>
        <v>0</v>
      </c>
      <c r="AP301" s="242">
        <f ca="1">SUMIFS('Ведомость расчета мин. платы'!$S$10:$S$209,'Ведомость расчета мин. платы'!$AE$10:$AE$209,CONCATENATE(B298,"/",D298,"/",E298,"/",F298,"/",H300))</f>
        <v>0</v>
      </c>
      <c r="AQ301" s="253">
        <f t="shared" ref="AQ301" ca="1" si="121">AP301-N301</f>
        <v>0</v>
      </c>
    </row>
    <row r="302" spans="1:43" x14ac:dyDescent="0.2">
      <c r="B302" s="249"/>
      <c r="C302" s="249"/>
      <c r="D302" s="249"/>
      <c r="E302" s="249"/>
      <c r="F302" s="249"/>
      <c r="G302" s="249"/>
      <c r="H302" s="205" t="s">
        <v>19</v>
      </c>
      <c r="I302" s="248">
        <f ca="1">IFERROR(INDEX('Ведомость расчета мин. платы'!$J$10:$AE$214,MATCH(CONCATENATE(РАСЧЕТ!B298,"/",РАСЧЕТ!D298,"/",РАСЧЕТ!E298,"/",F298,"/",H302),'Ведомость расчета мин. платы'!$AE$10:$AE$214,0),2),"")</f>
        <v>1.26</v>
      </c>
      <c r="J302" s="248">
        <f ca="1">IFERROR(INDEX('Ведомость расчета мин. платы'!$J$10:$AE$214,MATCH(CONCATENATE(РАСЧЕТ!B298,"/",РАСЧЕТ!D298,"/",РАСЧЕТ!E298,"/",F298,"/",H302),'Ведомость расчета мин. платы'!$AE$10:$AE$214,0),3),"")</f>
        <v>12.17</v>
      </c>
      <c r="K302" s="248">
        <f ca="1">IFERROR(INDEX('Ведомость расчета мин. платы'!$J$10:$AE$214,MATCH(CONCATENATE(РАСЧЕТ!B298,"/",РАСЧЕТ!D298,"/",РАСЧЕТ!E298,"/",F298,"/",H302),'Ведомость расчета мин. платы'!$AE$10:$AE$214,0),4),"")</f>
        <v>3.11</v>
      </c>
      <c r="L302" s="248">
        <f t="shared" ca="1" si="112"/>
        <v>16.54</v>
      </c>
      <c r="M302" s="248">
        <f ca="1">IFERROR(INDEX('Ведомость расчета мин. платы'!$J$10:$AE$214,MATCH(CONCATENATE(РАСЧЕТ!B298,"/",РАСЧЕТ!D298,"/",РАСЧЕТ!E298,"/",F298,"/",H302),'Ведомость расчета мин. платы'!$AE$10:$AE$214,0),6),"")</f>
        <v>22.34</v>
      </c>
      <c r="N302" s="214">
        <f t="shared" ca="1" si="113"/>
        <v>38.879999999999995</v>
      </c>
      <c r="O302" s="229">
        <f t="shared" si="116"/>
        <v>1</v>
      </c>
      <c r="P302" s="230">
        <f t="shared" si="111"/>
        <v>0</v>
      </c>
      <c r="AP302" s="242"/>
      <c r="AQ302" s="253"/>
    </row>
    <row r="303" spans="1:43" x14ac:dyDescent="0.2">
      <c r="B303" s="249"/>
      <c r="C303" s="249"/>
      <c r="D303" s="249"/>
      <c r="E303" s="249"/>
      <c r="F303" s="249"/>
      <c r="G303" s="249"/>
      <c r="H303" s="250" t="s">
        <v>475</v>
      </c>
      <c r="I303" s="251">
        <f ca="1">IFERROR(ROUND(I302*I294,2),"")</f>
        <v>89.9</v>
      </c>
      <c r="J303" s="251">
        <f t="shared" ref="J303" ca="1" si="122">IFERROR(ROUND(J302*J294,2),"")</f>
        <v>632.11</v>
      </c>
      <c r="K303" s="251">
        <f t="shared" ref="K303" ca="1" si="123">IFERROR(ROUND(K302*K294,2),"")</f>
        <v>82.54</v>
      </c>
      <c r="L303" s="251">
        <f t="shared" ca="1" si="112"/>
        <v>804.55</v>
      </c>
      <c r="M303" s="251">
        <f t="shared" ref="M303" ca="1" si="124">IFERROR(ROUND(M302*M294,2),"")</f>
        <v>31.95</v>
      </c>
      <c r="N303" s="252">
        <f t="shared" ca="1" si="113"/>
        <v>836.5</v>
      </c>
      <c r="O303" s="229" t="str">
        <f t="shared" si="116"/>
        <v/>
      </c>
      <c r="P303" s="230">
        <f t="shared" si="111"/>
        <v>0</v>
      </c>
      <c r="AP303" s="242">
        <f ca="1">SUMIFS('Ведомость расчета мин. платы'!$S$10:$S$209,'Ведомость расчета мин. платы'!$AE$10:$AE$209,CONCATENATE(B298,"/",D298,"/",E298,"/",F298,"/",H302))</f>
        <v>836.5</v>
      </c>
      <c r="AQ303" s="253">
        <f t="shared" ref="AQ303" ca="1" si="125">AP303-N303</f>
        <v>0</v>
      </c>
    </row>
    <row r="304" spans="1:43" x14ac:dyDescent="0.2">
      <c r="B304" s="249"/>
      <c r="C304" s="249"/>
      <c r="D304" s="249"/>
      <c r="E304" s="249"/>
      <c r="F304" s="249"/>
      <c r="G304" s="249"/>
      <c r="H304" s="205" t="s">
        <v>268</v>
      </c>
      <c r="I304" s="248" t="str">
        <f ca="1">IFERROR(INDEX('Ведомость расчета мин. платы'!$J$10:$AE$214,MATCH(CONCATENATE(РАСЧЕТ!B298,"/",РАСЧЕТ!D298,"/",РАСЧЕТ!E298,"/",F298,"/",H304),'Ведомость расчета мин. платы'!$AE$10:$AE$214,0),2),"")</f>
        <v/>
      </c>
      <c r="J304" s="248" t="str">
        <f ca="1">IFERROR(INDEX('Ведомость расчета мин. платы'!$J$10:$AE$214,MATCH(CONCATENATE(РАСЧЕТ!B298,"/",РАСЧЕТ!D298,"/",РАСЧЕТ!E298,"/",F298,"/",H304),'Ведомость расчета мин. платы'!$AE$10:$AE$214,0),3),"")</f>
        <v/>
      </c>
      <c r="K304" s="248" t="str">
        <f ca="1">IFERROR(INDEX('Ведомость расчета мин. платы'!$J$10:$AE$214,MATCH(CONCATENATE(РАСЧЕТ!B298,"/",РАСЧЕТ!D298,"/",РАСЧЕТ!E298,"/",F298,"/",H304),'Ведомость расчета мин. платы'!$AE$10:$AE$214,0),4),"")</f>
        <v/>
      </c>
      <c r="L304" s="248">
        <f t="shared" ca="1" si="112"/>
        <v>0</v>
      </c>
      <c r="M304" s="248" t="str">
        <f ca="1">IFERROR(INDEX('Ведомость расчета мин. платы'!$J$10:$AE$214,MATCH(CONCATENATE(РАСЧЕТ!B298,"/",РАСЧЕТ!D298,"/",РАСЧЕТ!E298,"/",F298,"/",H304),'Ведомость расчета мин. платы'!$AE$10:$AE$214,0),6),"")</f>
        <v/>
      </c>
      <c r="N304" s="214">
        <f t="shared" ca="1" si="113"/>
        <v>0</v>
      </c>
      <c r="O304" s="229">
        <f t="shared" si="116"/>
        <v>1</v>
      </c>
      <c r="P304" s="230">
        <f t="shared" si="111"/>
        <v>0</v>
      </c>
      <c r="AP304" s="242"/>
      <c r="AQ304" s="253"/>
    </row>
    <row r="305" spans="2:43" x14ac:dyDescent="0.2">
      <c r="B305" s="249"/>
      <c r="C305" s="249"/>
      <c r="D305" s="249"/>
      <c r="E305" s="249"/>
      <c r="F305" s="249"/>
      <c r="G305" s="249"/>
      <c r="H305" s="250" t="s">
        <v>475</v>
      </c>
      <c r="I305" s="251" t="str">
        <f ca="1">IFERROR(ROUND(I304*I295,2),"")</f>
        <v/>
      </c>
      <c r="J305" s="251" t="str">
        <f ca="1">IFERROR(ROUND(J304*J295,2),"")</f>
        <v/>
      </c>
      <c r="K305" s="251" t="str">
        <f ca="1">IFERROR(ROUND(K304*K295,2),"")</f>
        <v/>
      </c>
      <c r="L305" s="251">
        <f t="shared" ca="1" si="112"/>
        <v>0</v>
      </c>
      <c r="M305" s="251" t="str">
        <f ca="1">IFERROR(ROUND(M304*M295,2),"")</f>
        <v/>
      </c>
      <c r="N305" s="252">
        <f t="shared" ca="1" si="113"/>
        <v>0</v>
      </c>
      <c r="O305" s="229" t="str">
        <f t="shared" si="116"/>
        <v/>
      </c>
      <c r="P305" s="230">
        <f t="shared" si="111"/>
        <v>0</v>
      </c>
      <c r="AP305" s="242">
        <f ca="1">SUMIFS('Ведомость расчета мин. платы'!$S$10:$S$209,'Ведомость расчета мин. платы'!$AE$10:$AE$209,CONCATENATE(B298,"/",D298,"/",E298,"/",F298,"/",H304))</f>
        <v>0</v>
      </c>
      <c r="AQ305" s="253">
        <f t="shared" ref="AQ305" ca="1" si="126">AP305-N305</f>
        <v>0</v>
      </c>
    </row>
    <row r="306" spans="2:43" x14ac:dyDescent="0.2">
      <c r="B306" s="249"/>
      <c r="C306" s="249"/>
      <c r="D306" s="249"/>
      <c r="E306" s="249"/>
      <c r="F306" s="249"/>
      <c r="G306" s="249"/>
      <c r="H306" s="205" t="s">
        <v>40</v>
      </c>
      <c r="I306" s="248" t="str">
        <f ca="1">IFERROR(INDEX('Ведомость расчета мин. платы'!$J$10:$AE$214,MATCH(CONCATENATE(РАСЧЕТ!B298,"/",РАСЧЕТ!D298,"/",РАСЧЕТ!E298,"/",F298,"/",H306),'Ведомость расчета мин. платы'!$AE$10:$AE$214,0),2),"")</f>
        <v/>
      </c>
      <c r="J306" s="248" t="str">
        <f ca="1">IFERROR(INDEX('Ведомость расчета мин. платы'!$J$10:$AE$214,MATCH(CONCATENATE(РАСЧЕТ!B298,"/",РАСЧЕТ!D298,"/",РАСЧЕТ!E298,"/",F298,"/",H306),'Ведомость расчета мин. платы'!$AE$10:$AE$214,0),3),"")</f>
        <v/>
      </c>
      <c r="K306" s="248" t="str">
        <f ca="1">IFERROR(INDEX('Ведомость расчета мин. платы'!$J$10:$AE$214,MATCH(CONCATENATE(РАСЧЕТ!B298,"/",РАСЧЕТ!D298,"/",РАСЧЕТ!E298,"/",F298,"/",H306),'Ведомость расчета мин. платы'!$AE$10:$AE$214,0),4),"")</f>
        <v/>
      </c>
      <c r="L306" s="248">
        <f t="shared" ca="1" si="112"/>
        <v>0</v>
      </c>
      <c r="M306" s="248" t="str">
        <f ca="1">IFERROR(INDEX('Ведомость расчета мин. платы'!$J$10:$AE$214,MATCH(CONCATENATE(РАСЧЕТ!B298,"/",РАСЧЕТ!D298,"/",РАСЧЕТ!E298,"/",F298,"/",H306),'Ведомость расчета мин. платы'!$AE$10:$AE$214,0),6),"")</f>
        <v/>
      </c>
      <c r="N306" s="214">
        <f t="shared" ca="1" si="113"/>
        <v>0</v>
      </c>
      <c r="O306" s="229">
        <f t="shared" si="116"/>
        <v>1</v>
      </c>
      <c r="P306" s="230">
        <f t="shared" si="111"/>
        <v>0</v>
      </c>
      <c r="AP306" s="242"/>
      <c r="AQ306" s="253"/>
    </row>
    <row r="307" spans="2:43" x14ac:dyDescent="0.2">
      <c r="B307" s="249"/>
      <c r="C307" s="249"/>
      <c r="D307" s="249"/>
      <c r="E307" s="249"/>
      <c r="F307" s="249"/>
      <c r="G307" s="249"/>
      <c r="H307" s="250" t="s">
        <v>475</v>
      </c>
      <c r="I307" s="251" t="str">
        <f ca="1">IFERROR(ROUND(I306*I296,2),"")</f>
        <v/>
      </c>
      <c r="J307" s="251" t="str">
        <f t="shared" ref="J307" ca="1" si="127">IFERROR(ROUND(J306*J296,2),"")</f>
        <v/>
      </c>
      <c r="K307" s="251" t="str">
        <f t="shared" ref="K307" ca="1" si="128">IFERROR(ROUND(K306*K296,2),"")</f>
        <v/>
      </c>
      <c r="L307" s="251">
        <f t="shared" ca="1" si="112"/>
        <v>0</v>
      </c>
      <c r="M307" s="251" t="str">
        <f t="shared" ref="M307" ca="1" si="129">IFERROR(ROUND(M306*M296,2),"")</f>
        <v/>
      </c>
      <c r="N307" s="252">
        <f t="shared" ca="1" si="113"/>
        <v>0</v>
      </c>
      <c r="O307" s="229" t="str">
        <f t="shared" si="116"/>
        <v/>
      </c>
      <c r="P307" s="230">
        <f t="shared" si="111"/>
        <v>0</v>
      </c>
      <c r="AP307" s="242">
        <f ca="1">SUMIFS('Ведомость расчета мин. платы'!$S$10:$S$209,'Ведомость расчета мин. платы'!$AE$10:$AE$209,CONCATENATE(B298,"/",D298,"/",E298,"/",F298,"/",H306))</f>
        <v>0</v>
      </c>
      <c r="AQ307" s="253">
        <f t="shared" ref="AQ307" ca="1" si="130">AP307-N307</f>
        <v>0</v>
      </c>
    </row>
    <row r="308" spans="2:43" x14ac:dyDescent="0.2">
      <c r="B308" s="249"/>
      <c r="C308" s="249"/>
      <c r="D308" s="249"/>
      <c r="E308" s="249"/>
      <c r="F308" s="249"/>
      <c r="G308" s="249"/>
      <c r="H308" s="205" t="s">
        <v>18</v>
      </c>
      <c r="I308" s="248">
        <f ca="1">IFERROR(INDEX('Ведомость расчета мин. платы'!$J$10:$AE$214,MATCH(CONCATENATE(РАСЧЕТ!B298,"/",РАСЧЕТ!D298,"/",РАСЧЕТ!E298,"/",F298,"/",H308),'Ведомость расчета мин. платы'!$AE$10:$AE$214,0),2),"")</f>
        <v>93.47</v>
      </c>
      <c r="J308" s="248">
        <f ca="1">IFERROR(INDEX('Ведомость расчета мин. платы'!$J$10:$AE$214,MATCH(CONCATENATE(РАСЧЕТ!B298,"/",РАСЧЕТ!D298,"/",РАСЧЕТ!E298,"/",F298,"/",H308),'Ведомость расчета мин. платы'!$AE$10:$AE$214,0),3),"")</f>
        <v>39.549999999999997</v>
      </c>
      <c r="K308" s="248">
        <f ca="1">IFERROR(INDEX('Ведомость расчета мин. платы'!$J$10:$AE$214,MATCH(CONCATENATE(РАСЧЕТ!B298,"/",РАСЧЕТ!D298,"/",РАСЧЕТ!E298,"/",F298,"/",H308),'Ведомость расчета мин. платы'!$AE$10:$AE$214,0),4),"")</f>
        <v>2.2799999999999998</v>
      </c>
      <c r="L308" s="248">
        <f t="shared" ca="1" si="112"/>
        <v>135.29999999999998</v>
      </c>
      <c r="M308" s="248">
        <f ca="1">IFERROR(INDEX('Ведомость расчета мин. платы'!$J$10:$AE$214,MATCH(CONCATENATE(РАСЧЕТ!B298,"/",РАСЧЕТ!D298,"/",РАСЧЕТ!E298,"/",F298,"/",H308),'Ведомость расчета мин. платы'!$AE$10:$AE$214,0),6),"")</f>
        <v>94.63</v>
      </c>
      <c r="N308" s="214">
        <f t="shared" ca="1" si="113"/>
        <v>229.92999999999998</v>
      </c>
      <c r="O308" s="229">
        <f t="shared" si="116"/>
        <v>1</v>
      </c>
      <c r="P308" s="230">
        <f t="shared" si="111"/>
        <v>0</v>
      </c>
      <c r="AP308" s="242"/>
      <c r="AQ308" s="253"/>
    </row>
    <row r="309" spans="2:43" x14ac:dyDescent="0.2">
      <c r="B309" s="249"/>
      <c r="C309" s="249"/>
      <c r="D309" s="249"/>
      <c r="E309" s="249"/>
      <c r="F309" s="249"/>
      <c r="G309" s="249"/>
      <c r="H309" s="250" t="s">
        <v>475</v>
      </c>
      <c r="I309" s="251">
        <f ca="1">IFERROR(ROUND(I308*I297,2),"")</f>
        <v>2133.92</v>
      </c>
      <c r="J309" s="251">
        <f t="shared" ref="J309" ca="1" si="131">IFERROR(ROUND(J308*J297,2),"")</f>
        <v>688.57</v>
      </c>
      <c r="K309" s="251">
        <f t="shared" ref="K309" ca="1" si="132">IFERROR(ROUND(K308*K297,2),"")</f>
        <v>20.18</v>
      </c>
      <c r="L309" s="251">
        <f t="shared" ca="1" si="112"/>
        <v>2842.67</v>
      </c>
      <c r="M309" s="251">
        <f t="shared" ref="M309" ca="1" si="133">IFERROR(ROUND(M308*M297,2),"")</f>
        <v>53.94</v>
      </c>
      <c r="N309" s="252">
        <f t="shared" ca="1" si="113"/>
        <v>2896.61</v>
      </c>
      <c r="O309" s="229" t="str">
        <f t="shared" si="116"/>
        <v/>
      </c>
      <c r="P309" s="230">
        <f t="shared" si="111"/>
        <v>0</v>
      </c>
      <c r="AP309" s="242">
        <f ca="1">SUMIFS('Ведомость расчета мин. платы'!$S$10:$S$209,'Ведомость расчета мин. платы'!$AE$10:$AE$209,CONCATENATE(B298,"/",D298,"/",E298,"/",F298,"/",H308))</f>
        <v>2896.61</v>
      </c>
      <c r="AQ309" s="253">
        <f t="shared" ref="AQ309" ca="1" si="134">AP309-N309</f>
        <v>0</v>
      </c>
    </row>
    <row r="310" spans="2:43" x14ac:dyDescent="0.2">
      <c r="B310" s="249"/>
      <c r="C310" s="249"/>
      <c r="D310" s="249"/>
      <c r="E310" s="249"/>
      <c r="F310" s="249"/>
      <c r="G310" s="249"/>
      <c r="H310" s="254" t="s">
        <v>476</v>
      </c>
      <c r="I310" s="251">
        <f ca="1">SUMIF($O298:$O311,1,I298:I309)</f>
        <v>128.57999999999998</v>
      </c>
      <c r="J310" s="251">
        <f ca="1">SUMIF($O298:$O311,1,J298:J309)</f>
        <v>90.460000000000008</v>
      </c>
      <c r="K310" s="251">
        <f ca="1">SUMIF($O298:$O311,1,K298:K309)</f>
        <v>11.54</v>
      </c>
      <c r="L310" s="251">
        <f t="shared" ca="1" si="112"/>
        <v>230.57999999999998</v>
      </c>
      <c r="M310" s="251">
        <f ca="1">SUMIF($O298:$O311,1,M298:M309)</f>
        <v>173.32</v>
      </c>
      <c r="N310" s="252">
        <f t="shared" ca="1" si="113"/>
        <v>403.9</v>
      </c>
      <c r="AP310" s="242"/>
      <c r="AQ310" s="253"/>
    </row>
    <row r="311" spans="2:43" x14ac:dyDescent="0.2">
      <c r="B311" s="249"/>
      <c r="C311" s="249"/>
      <c r="D311" s="249"/>
      <c r="E311" s="249"/>
      <c r="F311" s="249"/>
      <c r="G311" s="249"/>
      <c r="H311" s="254" t="s">
        <v>491</v>
      </c>
      <c r="I311" s="251">
        <f ca="1">SUMIF(H298:H309,"стоимость",I298:I309)</f>
        <v>6290.9</v>
      </c>
      <c r="J311" s="251">
        <f ca="1">SUMIF(H298:H309,"стоимость",J298:J309)</f>
        <v>4637.6000000000004</v>
      </c>
      <c r="K311" s="251">
        <f ca="1">SUMIF(H298:H309,"стоимость",K298:K309)</f>
        <v>369.51000000000005</v>
      </c>
      <c r="L311" s="251">
        <f ca="1">IFERROR(SUM(I311:K311),"")</f>
        <v>11298.01</v>
      </c>
      <c r="M311" s="251">
        <f ca="1">SUMIF(H298:H309,"стоимость",M298:M309)</f>
        <v>471.87999999999977</v>
      </c>
      <c r="N311" s="252">
        <f ca="1">IFERROR(SUM(L311:M311),"")</f>
        <v>11769.89</v>
      </c>
      <c r="AP311" s="242">
        <f ca="1">SUMIFS('Ведомость расчета мин. платы'!$S$10:$S$209,'Ведомость расчета мин. платы'!$J$10:$J$209,"Итого",'Ведомость расчета мин. платы'!$AC$10:$AC$209,CONCATENATE(B298,"/",D298,"/",E298,"/",F298))</f>
        <v>11769.89</v>
      </c>
      <c r="AQ311" s="253">
        <f ca="1">AP311-N311</f>
        <v>0</v>
      </c>
    </row>
    <row r="312" spans="2:43" x14ac:dyDescent="0.2">
      <c r="B312" s="255"/>
      <c r="C312" s="255"/>
      <c r="D312" s="255"/>
      <c r="E312" s="255"/>
      <c r="F312" s="255"/>
      <c r="G312" s="256"/>
      <c r="H312" s="257"/>
      <c r="I312" s="258"/>
      <c r="J312" s="258"/>
      <c r="K312" s="258"/>
      <c r="L312" s="258"/>
      <c r="M312" s="258"/>
      <c r="N312" s="258"/>
      <c r="P312" s="230">
        <f t="shared" ref="P312:P330" si="135">IF(A312&gt;0,1,0)</f>
        <v>0</v>
      </c>
    </row>
    <row r="313" spans="2:43" x14ac:dyDescent="0.2">
      <c r="B313" s="282" t="s">
        <v>477</v>
      </c>
      <c r="C313" s="282"/>
      <c r="D313" s="282"/>
      <c r="E313" s="282"/>
      <c r="F313" s="259"/>
      <c r="G313" s="225"/>
      <c r="H313" s="201"/>
      <c r="I313" s="226"/>
      <c r="J313" s="258"/>
      <c r="K313" s="258"/>
      <c r="L313" s="258"/>
      <c r="M313" s="258"/>
      <c r="N313" s="258"/>
      <c r="P313" s="230">
        <f t="shared" si="135"/>
        <v>0</v>
      </c>
    </row>
    <row r="314" spans="2:43" x14ac:dyDescent="0.2">
      <c r="B314" s="283" t="s">
        <v>525</v>
      </c>
      <c r="C314" s="283"/>
      <c r="D314" s="283"/>
      <c r="E314" s="283"/>
      <c r="F314" s="283"/>
      <c r="G314" s="283"/>
      <c r="H314" s="283"/>
      <c r="I314" s="283"/>
      <c r="J314" s="261"/>
      <c r="K314" s="261"/>
      <c r="L314" s="261"/>
      <c r="M314" s="261"/>
      <c r="N314" s="261"/>
      <c r="P314" s="230">
        <f t="shared" si="135"/>
        <v>0</v>
      </c>
    </row>
    <row r="315" spans="2:43" x14ac:dyDescent="0.2">
      <c r="B315" s="284" t="s">
        <v>478</v>
      </c>
      <c r="C315" s="284"/>
      <c r="D315" s="284"/>
      <c r="E315" s="284"/>
      <c r="F315" s="284"/>
      <c r="G315" s="284"/>
      <c r="H315" s="284"/>
      <c r="I315" s="284"/>
      <c r="J315" s="258"/>
      <c r="K315" s="258"/>
      <c r="L315" s="258"/>
      <c r="M315" s="258"/>
      <c r="N315" s="258"/>
      <c r="P315" s="230">
        <f t="shared" si="135"/>
        <v>0</v>
      </c>
    </row>
    <row r="316" spans="2:43" x14ac:dyDescent="0.2">
      <c r="B316" s="284" t="s">
        <v>479</v>
      </c>
      <c r="C316" s="284"/>
      <c r="D316" s="284"/>
      <c r="E316" s="284"/>
      <c r="F316" s="284"/>
      <c r="G316" s="284"/>
      <c r="H316" s="284"/>
      <c r="I316" s="284"/>
      <c r="J316" s="258"/>
      <c r="K316" s="258"/>
      <c r="L316" s="258"/>
      <c r="M316" s="258"/>
      <c r="N316" s="258"/>
      <c r="P316" s="230">
        <f t="shared" si="135"/>
        <v>0</v>
      </c>
    </row>
    <row r="317" spans="2:43" x14ac:dyDescent="0.2">
      <c r="B317" s="284" t="s">
        <v>480</v>
      </c>
      <c r="C317" s="284"/>
      <c r="D317" s="284"/>
      <c r="E317" s="284"/>
      <c r="F317" s="284"/>
      <c r="G317" s="284"/>
      <c r="H317" s="284"/>
      <c r="I317" s="284"/>
      <c r="J317" s="258"/>
      <c r="K317" s="258"/>
      <c r="L317" s="258"/>
      <c r="M317" s="258"/>
      <c r="N317" s="258"/>
      <c r="P317" s="230">
        <f t="shared" si="135"/>
        <v>0</v>
      </c>
    </row>
    <row r="318" spans="2:43" x14ac:dyDescent="0.2">
      <c r="B318" s="284" t="s">
        <v>481</v>
      </c>
      <c r="C318" s="284"/>
      <c r="D318" s="284"/>
      <c r="E318" s="284"/>
      <c r="F318" s="284"/>
      <c r="G318" s="284"/>
      <c r="H318" s="284"/>
      <c r="I318" s="284"/>
      <c r="J318" s="226"/>
      <c r="K318" s="226"/>
      <c r="L318" s="226"/>
      <c r="M318" s="226"/>
      <c r="N318" s="226"/>
      <c r="P318" s="230">
        <f t="shared" si="135"/>
        <v>0</v>
      </c>
    </row>
    <row r="319" spans="2:43" x14ac:dyDescent="0.2">
      <c r="B319" s="284" t="s">
        <v>482</v>
      </c>
      <c r="C319" s="284"/>
      <c r="D319" s="284"/>
      <c r="E319" s="284"/>
      <c r="F319" s="284"/>
      <c r="G319" s="284"/>
      <c r="H319" s="284"/>
      <c r="I319" s="284"/>
      <c r="J319" s="226"/>
      <c r="K319" s="226"/>
      <c r="L319" s="226"/>
      <c r="M319" s="226"/>
      <c r="N319" s="226"/>
      <c r="P319" s="230">
        <f t="shared" si="135"/>
        <v>0</v>
      </c>
    </row>
    <row r="320" spans="2:43" x14ac:dyDescent="0.2">
      <c r="B320" s="284" t="s">
        <v>483</v>
      </c>
      <c r="C320" s="284"/>
      <c r="D320" s="284"/>
      <c r="E320" s="284"/>
      <c r="F320" s="284"/>
      <c r="G320" s="284"/>
      <c r="H320" s="284"/>
      <c r="I320" s="284"/>
      <c r="J320" s="226"/>
      <c r="K320" s="226"/>
      <c r="L320" s="226"/>
      <c r="M320" s="226"/>
      <c r="N320" s="226"/>
      <c r="P320" s="230">
        <f t="shared" si="135"/>
        <v>0</v>
      </c>
    </row>
    <row r="321" spans="1:16" x14ac:dyDescent="0.2">
      <c r="B321" s="284" t="s">
        <v>484</v>
      </c>
      <c r="C321" s="284"/>
      <c r="D321" s="284"/>
      <c r="E321" s="284"/>
      <c r="F321" s="284"/>
      <c r="G321" s="284"/>
      <c r="H321" s="284"/>
      <c r="I321" s="284"/>
      <c r="J321" s="226"/>
      <c r="K321" s="226"/>
      <c r="L321" s="226"/>
      <c r="M321" s="226"/>
      <c r="N321" s="226"/>
      <c r="P321" s="230">
        <f t="shared" si="135"/>
        <v>0</v>
      </c>
    </row>
    <row r="322" spans="1:16" x14ac:dyDescent="0.2">
      <c r="B322" s="264"/>
      <c r="C322" s="264"/>
      <c r="D322" s="264"/>
      <c r="E322" s="264"/>
      <c r="F322" s="264"/>
      <c r="G322" s="264"/>
      <c r="H322" s="264"/>
      <c r="I322" s="265"/>
      <c r="J322" s="226"/>
      <c r="K322" s="226"/>
      <c r="L322" s="226"/>
      <c r="M322" s="226"/>
      <c r="N322" s="226"/>
      <c r="P322" s="230">
        <f t="shared" si="135"/>
        <v>0</v>
      </c>
    </row>
    <row r="323" spans="1:16" x14ac:dyDescent="0.2">
      <c r="B323" s="225" t="s">
        <v>485</v>
      </c>
      <c r="C323" s="225"/>
      <c r="D323" s="225"/>
      <c r="E323" s="225"/>
      <c r="F323" s="225"/>
      <c r="G323" s="225"/>
      <c r="H323" s="201"/>
      <c r="I323" s="226"/>
      <c r="J323" s="226" t="s">
        <v>486</v>
      </c>
      <c r="K323" s="226"/>
      <c r="L323" s="226"/>
      <c r="M323" s="226"/>
      <c r="N323" s="226"/>
      <c r="P323" s="230">
        <f t="shared" si="135"/>
        <v>0</v>
      </c>
    </row>
    <row r="324" spans="1:16" x14ac:dyDescent="0.2">
      <c r="B324" s="266" t="s">
        <v>524</v>
      </c>
      <c r="C324" s="266"/>
      <c r="D324" s="225"/>
      <c r="E324" s="225"/>
      <c r="F324" s="225"/>
      <c r="G324" s="225"/>
      <c r="H324" s="201"/>
      <c r="I324" s="226"/>
      <c r="J324" s="267"/>
      <c r="K324" s="267"/>
      <c r="L324" s="267"/>
      <c r="M324" s="226"/>
      <c r="N324" s="226"/>
      <c r="P324" s="230">
        <f t="shared" si="135"/>
        <v>0</v>
      </c>
    </row>
    <row r="325" spans="1:16" x14ac:dyDescent="0.2">
      <c r="B325" s="268" t="s">
        <v>487</v>
      </c>
      <c r="C325" s="225"/>
      <c r="D325" s="225"/>
      <c r="E325" s="225"/>
      <c r="F325" s="225"/>
      <c r="G325" s="225"/>
      <c r="H325" s="201"/>
      <c r="I325" s="226"/>
      <c r="J325" s="226" t="s">
        <v>487</v>
      </c>
      <c r="K325" s="226"/>
      <c r="L325" s="226"/>
      <c r="M325" s="226"/>
      <c r="N325" s="226"/>
      <c r="P325" s="230">
        <f t="shared" si="135"/>
        <v>0</v>
      </c>
    </row>
    <row r="326" spans="1:16" x14ac:dyDescent="0.2">
      <c r="B326" s="225"/>
      <c r="C326" s="225"/>
      <c r="D326" s="225"/>
      <c r="E326" s="225"/>
      <c r="F326" s="225"/>
      <c r="G326" s="225"/>
      <c r="H326" s="201"/>
      <c r="I326" s="226"/>
      <c r="J326" s="226"/>
      <c r="K326" s="226"/>
      <c r="L326" s="226"/>
      <c r="M326" s="226"/>
      <c r="N326" s="226"/>
      <c r="P326" s="230">
        <f t="shared" si="135"/>
        <v>0</v>
      </c>
    </row>
    <row r="327" spans="1:16" x14ac:dyDescent="0.2">
      <c r="B327" s="266"/>
      <c r="C327" s="266"/>
      <c r="D327" s="225"/>
      <c r="E327" s="225"/>
      <c r="F327" s="225"/>
      <c r="G327" s="225"/>
      <c r="H327" s="201"/>
      <c r="I327" s="226"/>
      <c r="J327" s="267"/>
      <c r="K327" s="267"/>
      <c r="L327" s="267"/>
      <c r="M327" s="226"/>
      <c r="N327" s="226"/>
      <c r="P327" s="230">
        <f t="shared" si="135"/>
        <v>0</v>
      </c>
    </row>
    <row r="328" spans="1:16" x14ac:dyDescent="0.2">
      <c r="B328" s="269" t="s">
        <v>488</v>
      </c>
      <c r="C328" s="225"/>
      <c r="D328" s="225"/>
      <c r="E328" s="225"/>
      <c r="F328" s="225"/>
      <c r="G328" s="225"/>
      <c r="H328" s="201"/>
      <c r="I328" s="226"/>
      <c r="J328" s="285" t="s">
        <v>488</v>
      </c>
      <c r="K328" s="285"/>
      <c r="L328" s="285"/>
      <c r="M328" s="226"/>
      <c r="N328" s="226"/>
      <c r="P328" s="230">
        <f t="shared" si="135"/>
        <v>0</v>
      </c>
    </row>
    <row r="329" spans="1:16" x14ac:dyDescent="0.2">
      <c r="B329" s="225"/>
      <c r="C329" s="225"/>
      <c r="D329" s="225"/>
      <c r="E329" s="225"/>
      <c r="F329" s="225"/>
      <c r="G329" s="225"/>
      <c r="H329" s="201"/>
      <c r="I329" s="226"/>
      <c r="J329" s="226"/>
      <c r="K329" s="226"/>
      <c r="L329" s="226"/>
      <c r="M329" s="226"/>
      <c r="N329" s="226"/>
      <c r="P329" s="230">
        <f t="shared" si="135"/>
        <v>0</v>
      </c>
    </row>
    <row r="330" spans="1:16" x14ac:dyDescent="0.2">
      <c r="B330" s="264" t="s">
        <v>489</v>
      </c>
      <c r="C330" s="225"/>
      <c r="D330" s="225"/>
      <c r="E330" s="225"/>
      <c r="F330" s="225"/>
      <c r="G330" s="225"/>
      <c r="H330" s="201"/>
      <c r="I330" s="226"/>
      <c r="J330" s="226" t="s">
        <v>489</v>
      </c>
      <c r="K330" s="226"/>
      <c r="L330" s="226"/>
      <c r="M330" s="226"/>
      <c r="N330" s="226"/>
      <c r="P330" s="230">
        <f t="shared" si="135"/>
        <v>0</v>
      </c>
    </row>
    <row r="331" spans="1:16" x14ac:dyDescent="0.2">
      <c r="A331" s="272"/>
      <c r="B331" s="225"/>
      <c r="C331" s="225"/>
      <c r="D331" s="225"/>
      <c r="E331" s="225"/>
      <c r="F331" s="225"/>
      <c r="G331" s="225"/>
      <c r="H331" s="201"/>
      <c r="I331" s="226"/>
      <c r="J331" s="226"/>
      <c r="K331" s="226"/>
      <c r="M331" s="226"/>
      <c r="N331" s="228"/>
    </row>
    <row r="332" spans="1:16" x14ac:dyDescent="0.2">
      <c r="A332" s="260"/>
      <c r="B332" s="225"/>
      <c r="C332" s="225"/>
      <c r="D332" s="225"/>
      <c r="E332" s="225"/>
      <c r="F332" s="225"/>
      <c r="G332" s="225"/>
      <c r="H332" s="201"/>
      <c r="I332" s="226"/>
      <c r="J332" s="226"/>
      <c r="K332" s="226"/>
      <c r="M332" s="226"/>
      <c r="N332" s="228" t="s">
        <v>455</v>
      </c>
      <c r="P332" s="230">
        <f t="shared" ref="P332:P349" si="136">IF(A332&gt;0,1,0)</f>
        <v>0</v>
      </c>
    </row>
    <row r="333" spans="1:16" x14ac:dyDescent="0.2">
      <c r="B333" s="225"/>
      <c r="C333" s="225"/>
      <c r="D333" s="225"/>
      <c r="E333" s="225"/>
      <c r="F333" s="225"/>
      <c r="G333" s="225"/>
      <c r="H333" s="201"/>
      <c r="I333" s="226"/>
      <c r="J333" s="226"/>
      <c r="K333" s="226"/>
      <c r="M333" s="226"/>
      <c r="N333" s="228" t="s">
        <v>456</v>
      </c>
      <c r="P333" s="230">
        <f t="shared" si="136"/>
        <v>0</v>
      </c>
    </row>
    <row r="334" spans="1:16" x14ac:dyDescent="0.2">
      <c r="B334" s="225"/>
      <c r="C334" s="225"/>
      <c r="D334" s="225"/>
      <c r="E334" s="225"/>
      <c r="F334" s="225"/>
      <c r="G334" s="225"/>
      <c r="H334" s="201"/>
      <c r="I334" s="226"/>
      <c r="J334" s="226"/>
      <c r="K334" s="226"/>
      <c r="M334" s="226"/>
      <c r="N334" s="228" t="s">
        <v>457</v>
      </c>
      <c r="P334" s="230">
        <f t="shared" si="136"/>
        <v>0</v>
      </c>
    </row>
    <row r="335" spans="1:16" x14ac:dyDescent="0.2">
      <c r="B335" s="225"/>
      <c r="C335" s="225"/>
      <c r="D335" s="225"/>
      <c r="E335" s="225"/>
      <c r="F335" s="225"/>
      <c r="G335" s="225"/>
      <c r="H335" s="201"/>
      <c r="I335" s="226"/>
      <c r="J335" s="226"/>
      <c r="K335" s="226"/>
      <c r="L335" s="226"/>
      <c r="M335" s="226"/>
      <c r="N335" s="226"/>
      <c r="P335" s="230">
        <f t="shared" si="136"/>
        <v>0</v>
      </c>
    </row>
    <row r="336" spans="1:16" x14ac:dyDescent="0.2">
      <c r="B336" s="225"/>
      <c r="C336" s="286" t="s">
        <v>458</v>
      </c>
      <c r="D336" s="286"/>
      <c r="E336" s="286"/>
      <c r="F336" s="286"/>
      <c r="G336" s="286"/>
      <c r="H336" s="286"/>
      <c r="I336" s="286"/>
      <c r="J336" s="286"/>
      <c r="K336" s="286"/>
      <c r="L336" s="286"/>
      <c r="M336" s="226"/>
      <c r="N336" s="226"/>
      <c r="P336" s="230">
        <f t="shared" si="136"/>
        <v>0</v>
      </c>
    </row>
    <row r="337" spans="1:43" x14ac:dyDescent="0.2">
      <c r="B337" s="225"/>
      <c r="C337" s="286" t="s">
        <v>459</v>
      </c>
      <c r="D337" s="286"/>
      <c r="E337" s="286"/>
      <c r="F337" s="286"/>
      <c r="G337" s="286"/>
      <c r="H337" s="286"/>
      <c r="I337" s="286"/>
      <c r="J337" s="286"/>
      <c r="K337" s="286"/>
      <c r="L337" s="286"/>
      <c r="M337" s="226"/>
      <c r="N337" s="226"/>
      <c r="P337" s="230">
        <f t="shared" si="136"/>
        <v>0</v>
      </c>
    </row>
    <row r="338" spans="1:43" x14ac:dyDescent="0.2">
      <c r="B338" s="225" t="s">
        <v>460</v>
      </c>
      <c r="C338" s="234"/>
      <c r="D338" s="234"/>
      <c r="E338" s="234"/>
      <c r="F338" s="234"/>
      <c r="G338" s="234"/>
      <c r="H338" s="234"/>
      <c r="I338" s="235"/>
      <c r="J338" s="235"/>
      <c r="K338" s="235"/>
      <c r="L338" s="287" t="s">
        <v>461</v>
      </c>
      <c r="M338" s="287"/>
      <c r="N338" s="287"/>
      <c r="P338" s="230">
        <f t="shared" si="136"/>
        <v>0</v>
      </c>
    </row>
    <row r="339" spans="1:43" x14ac:dyDescent="0.2">
      <c r="B339" s="225"/>
      <c r="C339" s="234"/>
      <c r="D339" s="234"/>
      <c r="E339" s="234"/>
      <c r="F339" s="234"/>
      <c r="G339" s="234"/>
      <c r="H339" s="234"/>
      <c r="I339" s="235"/>
      <c r="J339" s="235"/>
      <c r="K339" s="235"/>
      <c r="L339" s="235"/>
      <c r="M339" s="235"/>
      <c r="N339" s="235"/>
      <c r="P339" s="230">
        <f t="shared" si="136"/>
        <v>0</v>
      </c>
    </row>
    <row r="340" spans="1:43" x14ac:dyDescent="0.2">
      <c r="B340" s="225" t="s">
        <v>2038</v>
      </c>
      <c r="C340" s="234"/>
      <c r="D340" s="234"/>
      <c r="E340" s="234"/>
      <c r="F340" s="234"/>
      <c r="G340" s="234"/>
      <c r="H340" s="234"/>
      <c r="I340" s="235"/>
      <c r="J340" s="235"/>
      <c r="K340" s="235"/>
      <c r="L340" s="235"/>
      <c r="M340" s="235"/>
      <c r="N340" s="235"/>
      <c r="P340" s="230">
        <f t="shared" si="136"/>
        <v>0</v>
      </c>
    </row>
    <row r="341" spans="1:43" x14ac:dyDescent="0.2">
      <c r="B341" s="225" t="s">
        <v>462</v>
      </c>
      <c r="C341" s="234"/>
      <c r="D341" s="234"/>
      <c r="E341" s="234"/>
      <c r="F341" s="234"/>
      <c r="G341" s="234"/>
      <c r="H341" s="234"/>
      <c r="I341" s="235"/>
      <c r="J341" s="235"/>
      <c r="K341" s="235"/>
      <c r="L341" s="235"/>
      <c r="M341" s="235"/>
      <c r="N341" s="235"/>
      <c r="P341" s="230">
        <f t="shared" si="136"/>
        <v>0</v>
      </c>
    </row>
    <row r="342" spans="1:43" x14ac:dyDescent="0.2">
      <c r="B342" s="225" t="s">
        <v>2037</v>
      </c>
      <c r="C342" s="234"/>
      <c r="D342" s="234"/>
      <c r="E342" s="234"/>
      <c r="F342" s="234"/>
      <c r="G342" s="234"/>
      <c r="H342" s="234"/>
      <c r="I342" s="235"/>
      <c r="J342" s="235"/>
      <c r="K342" s="235"/>
      <c r="L342" s="235"/>
      <c r="M342" s="235"/>
      <c r="N342" s="235"/>
      <c r="P342" s="230">
        <f t="shared" si="136"/>
        <v>0</v>
      </c>
    </row>
    <row r="343" spans="1:43" x14ac:dyDescent="0.2">
      <c r="B343" s="225" t="s">
        <v>2052</v>
      </c>
      <c r="C343" s="234"/>
      <c r="D343" s="234"/>
      <c r="E343" s="234"/>
      <c r="F343" s="234"/>
      <c r="G343" s="234"/>
      <c r="H343" s="234"/>
      <c r="I343" s="235"/>
      <c r="J343" s="235"/>
      <c r="K343" s="235"/>
      <c r="L343" s="235"/>
      <c r="M343" s="235"/>
      <c r="N343" s="235"/>
      <c r="P343" s="230">
        <f t="shared" si="136"/>
        <v>0</v>
      </c>
    </row>
    <row r="344" spans="1:43" x14ac:dyDescent="0.2">
      <c r="B344" s="225"/>
      <c r="C344" s="225"/>
      <c r="D344" s="225"/>
      <c r="E344" s="225"/>
      <c r="F344" s="225"/>
      <c r="G344" s="225"/>
      <c r="H344" s="201"/>
      <c r="I344" s="226"/>
      <c r="J344" s="226"/>
      <c r="K344" s="226"/>
      <c r="L344" s="226"/>
      <c r="M344" s="226"/>
      <c r="N344" s="226"/>
      <c r="P344" s="230">
        <f t="shared" si="136"/>
        <v>0</v>
      </c>
    </row>
    <row r="345" spans="1:43" x14ac:dyDescent="0.2">
      <c r="B345" s="288" t="s">
        <v>106</v>
      </c>
      <c r="C345" s="290" t="s">
        <v>463</v>
      </c>
      <c r="D345" s="288" t="s">
        <v>464</v>
      </c>
      <c r="E345" s="288" t="s">
        <v>465</v>
      </c>
      <c r="F345" s="288" t="s">
        <v>490</v>
      </c>
      <c r="G345" s="288" t="s">
        <v>466</v>
      </c>
      <c r="H345" s="292" t="s">
        <v>8</v>
      </c>
      <c r="I345" s="294" t="s">
        <v>467</v>
      </c>
      <c r="J345" s="295"/>
      <c r="K345" s="295"/>
      <c r="L345" s="296"/>
      <c r="M345" s="297" t="s">
        <v>468</v>
      </c>
      <c r="N345" s="299" t="s">
        <v>469</v>
      </c>
      <c r="P345" s="230">
        <f t="shared" si="136"/>
        <v>0</v>
      </c>
    </row>
    <row r="346" spans="1:43" x14ac:dyDescent="0.2">
      <c r="B346" s="289"/>
      <c r="C346" s="291"/>
      <c r="D346" s="289"/>
      <c r="E346" s="289"/>
      <c r="F346" s="289"/>
      <c r="G346" s="289"/>
      <c r="H346" s="293"/>
      <c r="I346" s="236" t="s">
        <v>470</v>
      </c>
      <c r="J346" s="236" t="s">
        <v>471</v>
      </c>
      <c r="K346" s="236" t="s">
        <v>472</v>
      </c>
      <c r="L346" s="236" t="s">
        <v>473</v>
      </c>
      <c r="M346" s="298"/>
      <c r="N346" s="300"/>
      <c r="P346" s="230">
        <f t="shared" si="136"/>
        <v>0</v>
      </c>
    </row>
    <row r="347" spans="1:43" x14ac:dyDescent="0.2">
      <c r="A347" s="224" t="str">
        <f>CONCATENATE("Лот"," ",A348)</f>
        <v>Лот 7</v>
      </c>
      <c r="B347" s="273" t="s">
        <v>2087</v>
      </c>
      <c r="C347" s="274"/>
      <c r="D347" s="274"/>
      <c r="E347" s="274"/>
      <c r="F347" s="274"/>
      <c r="G347" s="275"/>
      <c r="H347" s="238" t="s">
        <v>17</v>
      </c>
      <c r="I347" s="270">
        <f ca="1">ROUND(VLOOKUP($H347,$AJ$4:$AN$13,2,0)*$Q349*1.51,2)</f>
        <v>120.15</v>
      </c>
      <c r="J347" s="270">
        <f ca="1">ROUND(VLOOKUP($H347,$AJ$4:$AN$13,3,0)*$Q349*1.51,2)</f>
        <v>85.62</v>
      </c>
      <c r="K347" s="270">
        <f ca="1">ROUND(VLOOKUP($H347,$AJ$4:$AN$13,4,0)*$Q349*1.51,2)</f>
        <v>43.38</v>
      </c>
      <c r="L347" s="270"/>
      <c r="M347" s="270">
        <f ca="1">ROUND(VLOOKUP($H347,$AJ$4:$AN$13,5,0)*$Q349*1.51,2)</f>
        <v>6.85</v>
      </c>
      <c r="N347" s="270"/>
      <c r="P347" s="230">
        <f t="shared" si="136"/>
        <v>1</v>
      </c>
    </row>
    <row r="348" spans="1:43" x14ac:dyDescent="0.2">
      <c r="A348" s="224">
        <f>A293+1</f>
        <v>7</v>
      </c>
      <c r="B348" s="276"/>
      <c r="C348" s="277"/>
      <c r="D348" s="277"/>
      <c r="E348" s="277"/>
      <c r="F348" s="277"/>
      <c r="G348" s="278"/>
      <c r="H348" s="238" t="s">
        <v>25</v>
      </c>
      <c r="I348" s="270">
        <f ca="1">ROUND(VLOOKUP($H348,$AJ$4:$AN$13,2,0)*$Q349*1.51,2)</f>
        <v>898.69</v>
      </c>
      <c r="J348" s="270">
        <f ca="1">ROUND(VLOOKUP($H348,$AJ$4:$AN$13,3,0)*$Q349*1.51,2)</f>
        <v>642.13</v>
      </c>
      <c r="K348" s="270">
        <f ca="1">ROUND(VLOOKUP($H348,$AJ$4:$AN$13,4,0)*$Q349*1.51,2)</f>
        <v>323.06</v>
      </c>
      <c r="L348" s="270"/>
      <c r="M348" s="270">
        <f ca="1">ROUND(VLOOKUP($H348,$AJ$4:$AN$13,5,0)*$Q349*1.51,2)</f>
        <v>27.97</v>
      </c>
      <c r="N348" s="270"/>
      <c r="P348" s="230">
        <f t="shared" si="136"/>
        <v>1</v>
      </c>
      <c r="Q348" s="240" t="s">
        <v>2045</v>
      </c>
      <c r="R348" s="240" t="s">
        <v>2046</v>
      </c>
    </row>
    <row r="349" spans="1:43" x14ac:dyDescent="0.2">
      <c r="B349" s="276"/>
      <c r="C349" s="277"/>
      <c r="D349" s="277"/>
      <c r="E349" s="277"/>
      <c r="F349" s="277"/>
      <c r="G349" s="278"/>
      <c r="H349" s="238" t="s">
        <v>19</v>
      </c>
      <c r="I349" s="270">
        <f ca="1">ROUND(VLOOKUP($H349,$AJ$4:$AN$13,2,0)*$Q349*1.51,2)</f>
        <v>71.349999999999994</v>
      </c>
      <c r="J349" s="270">
        <f ca="1">ROUND(VLOOKUP($H349,$AJ$4:$AN$13,3,0)*$Q349*1.51,2)</f>
        <v>51.94</v>
      </c>
      <c r="K349" s="270">
        <f ca="1">ROUND(VLOOKUP($H349,$AJ$4:$AN$13,4,0)*$Q349*1.51,2)</f>
        <v>26.54</v>
      </c>
      <c r="L349" s="270"/>
      <c r="M349" s="270">
        <f ca="1">ROUND(VLOOKUP($H349,$AJ$4:$AN$13,5,0)*$Q349*1.51,2)</f>
        <v>1.43</v>
      </c>
      <c r="N349" s="270"/>
      <c r="P349" s="230">
        <f t="shared" si="136"/>
        <v>0</v>
      </c>
      <c r="Q349" s="123">
        <f ca="1">IFERROR(IF(R349="","",IF(OR(R349&lt;100,R349=100),0.9,IF(OR(AND(R349&gt;100,R349&lt;150),R349=150),1,IF(R349&gt;150,1.05,"")))),"0")</f>
        <v>1.05</v>
      </c>
      <c r="R349" s="123">
        <f ca="1">N365/G353</f>
        <v>161.44090909090909</v>
      </c>
    </row>
    <row r="350" spans="1:43" x14ac:dyDescent="0.2">
      <c r="B350" s="276"/>
      <c r="C350" s="277"/>
      <c r="D350" s="277"/>
      <c r="E350" s="277"/>
      <c r="F350" s="277"/>
      <c r="G350" s="278"/>
      <c r="H350" s="238" t="s">
        <v>268</v>
      </c>
      <c r="I350" s="270">
        <f ca="1">ROUND(VLOOKUP($H350,$AJ$4:$AN$13,2,0)*$Q349*1.51,2)</f>
        <v>898.69</v>
      </c>
      <c r="J350" s="270">
        <f ca="1">ROUND(VLOOKUP($H350,$AJ$4:$AN$13,3,0)*$Q349*1.51,2)</f>
        <v>642.13</v>
      </c>
      <c r="K350" s="270">
        <f ca="1">ROUND(VLOOKUP($H350,$AJ$4:$AN$13,4,0)*$Q349*1.51,2)</f>
        <v>323.06</v>
      </c>
      <c r="L350" s="270"/>
      <c r="M350" s="270">
        <f ca="1">ROUND(VLOOKUP($H350,$AJ$4:$AN$13,5,0)*$Q349*1.51,2)</f>
        <v>27.97</v>
      </c>
      <c r="N350" s="270"/>
    </row>
    <row r="351" spans="1:43" x14ac:dyDescent="0.2">
      <c r="B351" s="276"/>
      <c r="C351" s="277"/>
      <c r="D351" s="277"/>
      <c r="E351" s="277"/>
      <c r="F351" s="277"/>
      <c r="G351" s="278"/>
      <c r="H351" s="238" t="s">
        <v>40</v>
      </c>
      <c r="I351" s="270">
        <f ca="1">ROUND(VLOOKUP($H351,$AJ$4:$AN$13,2,0)*$Q349*1.51,2)</f>
        <v>71.349999999999994</v>
      </c>
      <c r="J351" s="270">
        <f ca="1">ROUND(VLOOKUP($H351,$AJ$4:$AN$13,3,0)*$Q349*1.51,2)</f>
        <v>51.94</v>
      </c>
      <c r="K351" s="270">
        <f ca="1">ROUND(VLOOKUP($H351,$AJ$4:$AN$13,4,0)*$Q349*1.51,2)</f>
        <v>26.54</v>
      </c>
      <c r="L351" s="270"/>
      <c r="M351" s="270">
        <f ca="1">ROUND(VLOOKUP($H351,$AJ$4:$AN$13,5,0)*$Q349*1.51,2)</f>
        <v>1.43</v>
      </c>
      <c r="N351" s="270"/>
      <c r="P351" s="230">
        <f t="shared" ref="P351:P364" si="137">IF(A351&gt;0,1,0)</f>
        <v>0</v>
      </c>
    </row>
    <row r="352" spans="1:43" x14ac:dyDescent="0.2">
      <c r="B352" s="279"/>
      <c r="C352" s="280"/>
      <c r="D352" s="280"/>
      <c r="E352" s="280"/>
      <c r="F352" s="280"/>
      <c r="G352" s="281"/>
      <c r="H352" s="238" t="s">
        <v>18</v>
      </c>
      <c r="I352" s="270">
        <f ca="1">ROUND(VLOOKUP($H352,$AJ$4:$AN$13,2,0)*$Q349*1.51,2)</f>
        <v>22.83</v>
      </c>
      <c r="J352" s="270">
        <f ca="1">ROUND(VLOOKUP($H352,$AJ$4:$AN$13,3,0)*$Q349*1.51,2)</f>
        <v>17.41</v>
      </c>
      <c r="K352" s="270">
        <f ca="1">ROUND(VLOOKUP($H352,$AJ$4:$AN$13,4,0)*$Q349*1.51,2)</f>
        <v>8.85</v>
      </c>
      <c r="L352" s="270"/>
      <c r="M352" s="270">
        <f ca="1">ROUND(VLOOKUP($H352,$AJ$4:$AN$13,5,0)*$Q349*1.51*1,2)</f>
        <v>0.56999999999999995</v>
      </c>
      <c r="N352" s="270"/>
      <c r="P352" s="230">
        <f t="shared" si="137"/>
        <v>0</v>
      </c>
      <c r="AP352" s="241" t="s">
        <v>2053</v>
      </c>
      <c r="AQ352" s="242"/>
    </row>
    <row r="353" spans="1:43" x14ac:dyDescent="0.2">
      <c r="A353" s="224">
        <f>A298+37</f>
        <v>222</v>
      </c>
      <c r="B353" s="243" t="str">
        <f ca="1">OFFSET(ЛОТЫ!$L$5,A353,0,1,1)</f>
        <v>Вишнево-Полянское</v>
      </c>
      <c r="C353" s="244" t="s">
        <v>474</v>
      </c>
      <c r="D353" s="243">
        <f ca="1">OFFSET(ЛОТЫ!$M$5,A353,0,1,1)</f>
        <v>32</v>
      </c>
      <c r="E353" s="243">
        <f ca="1">OFFSET(ЛОТЫ!$N$5,A353,0,1,1)</f>
        <v>7</v>
      </c>
      <c r="F353" s="243">
        <f ca="1">OFFSET(ЛОТЫ!$O$5,A353,0,1,1)</f>
        <v>3</v>
      </c>
      <c r="G353" s="271">
        <f ca="1">IFERROR(INDEX('Ведомость расчета мин. платы'!$G$10:$AC$214,MATCH(CONCATENATE(B353,"/",D353,"/",E353,"/",F353),'Ведомость расчета мин. платы'!$AC$10:$AC$214,0),1),"")</f>
        <v>4.4000000000000004</v>
      </c>
      <c r="H353" s="246" t="s">
        <v>17</v>
      </c>
      <c r="I353" s="247">
        <f ca="1">IFERROR(INDEX('Ведомость расчета мин. платы'!$J$10:$AE$214,MATCH(CONCATENATE(РАСЧЕТ!B353,"/",РАСЧЕТ!D353,"/",РАСЧЕТ!E353,"/",F353,"/",H353),'Ведомость расчета мин. платы'!$AE$10:$AE$214,0),2),"")</f>
        <v>51.67</v>
      </c>
      <c r="J353" s="247">
        <f ca="1">IFERROR(INDEX('Ведомость расчета мин. платы'!$J$10:$AE$214,MATCH(CONCATENATE(РАСЧЕТ!B353,"/",РАСЧЕТ!D353,"/",РАСЧЕТ!E353,"/",F353,"/",H353),'Ведомость расчета мин. платы'!$AE$10:$AE$214,0),3),"")</f>
        <v>65.5</v>
      </c>
      <c r="K353" s="247">
        <f ca="1">IFERROR(INDEX('Ведомость расчета мин. платы'!$J$10:$AE$214,MATCH(CONCATENATE(РАСЧЕТ!B353,"/",РАСЧЕТ!D353,"/",РАСЧЕТ!E353,"/",F353,"/",H353),'Ведомость расчета мин. платы'!$AE$10:$AE$214,0),4),"")</f>
        <v>9.81</v>
      </c>
      <c r="L353" s="248">
        <f t="shared" ref="L353:L365" ca="1" si="138">IFERROR(SUM(I353:K353),"")</f>
        <v>126.98</v>
      </c>
      <c r="M353" s="214">
        <f ca="1">IFERROR(INDEX('Ведомость расчета мин. платы'!$J$10:$AE$214,MATCH(CONCATENATE(РАСЧЕТ!B353,"/",РАСЧЕТ!D353,"/",РАСЧЕТ!E353,"/",F353,"/",H353),'Ведомость расчета мин. платы'!$AE$10:$AE$214,0),6),"")</f>
        <v>88.57</v>
      </c>
      <c r="N353" s="214">
        <f t="shared" ref="N353:N365" ca="1" si="139">IFERROR(SUM(L353:M353),"")</f>
        <v>215.55</v>
      </c>
      <c r="O353" s="229">
        <f>IF(H353="стоимость","",1)</f>
        <v>1</v>
      </c>
      <c r="P353" s="230">
        <f t="shared" si="137"/>
        <v>1</v>
      </c>
      <c r="AP353" s="242"/>
      <c r="AQ353" s="242"/>
    </row>
    <row r="354" spans="1:43" x14ac:dyDescent="0.2">
      <c r="B354" s="249"/>
      <c r="C354" s="249"/>
      <c r="D354" s="249"/>
      <c r="E354" s="249"/>
      <c r="F354" s="249"/>
      <c r="G354" s="249"/>
      <c r="H354" s="250" t="s">
        <v>475</v>
      </c>
      <c r="I354" s="251">
        <f ca="1">IFERROR(ROUND(I353*I347,2),"")</f>
        <v>6208.15</v>
      </c>
      <c r="J354" s="251">
        <f t="shared" ref="J354" ca="1" si="140">IFERROR(ROUND(J353*J347,2),"")</f>
        <v>5608.11</v>
      </c>
      <c r="K354" s="251">
        <f t="shared" ref="K354" ca="1" si="141">IFERROR(ROUND(K353*K347,2),"")</f>
        <v>425.56</v>
      </c>
      <c r="L354" s="251">
        <f t="shared" ca="1" si="138"/>
        <v>12241.819999999998</v>
      </c>
      <c r="M354" s="251">
        <f t="shared" ref="M354" ca="1" si="142">IFERROR(ROUND(M353*M347,2),"")</f>
        <v>606.70000000000005</v>
      </c>
      <c r="N354" s="252">
        <f t="shared" ca="1" si="139"/>
        <v>12848.519999999999</v>
      </c>
      <c r="O354" s="229" t="str">
        <f t="shared" ref="O354:O364" si="143">IF(H354="стоимость","",1)</f>
        <v/>
      </c>
      <c r="P354" s="230">
        <f t="shared" si="137"/>
        <v>0</v>
      </c>
      <c r="AP354" s="242">
        <f ca="1">SUMIFS('Ведомость расчета мин. платы'!$S$10:$S$209,'Ведомость расчета мин. платы'!$AE$10:$AE$209,CONCATENATE(B353,"/",D353,"/",E353,"/",F353,"/",H353))</f>
        <v>12848.52</v>
      </c>
      <c r="AQ354" s="253">
        <f t="shared" ref="AQ354" ca="1" si="144">AP354-N354</f>
        <v>0</v>
      </c>
    </row>
    <row r="355" spans="1:43" x14ac:dyDescent="0.2">
      <c r="B355" s="249"/>
      <c r="C355" s="249"/>
      <c r="D355" s="249"/>
      <c r="E355" s="249"/>
      <c r="F355" s="249"/>
      <c r="G355" s="249"/>
      <c r="H355" s="246" t="s">
        <v>25</v>
      </c>
      <c r="I355" s="247" t="str">
        <f ca="1">IFERROR(INDEX('Ведомость расчета мин. платы'!$J$10:$AE$214,MATCH(CONCATENATE(РАСЧЕТ!B353,"/",РАСЧЕТ!D353,"/",РАСЧЕТ!E353,"/",F353,"/",H355),'Ведомость расчета мин. платы'!$AE$10:$AE$214,0),2),"")</f>
        <v/>
      </c>
      <c r="J355" s="247" t="str">
        <f ca="1">IFERROR(INDEX('Ведомость расчета мин. платы'!$J$10:$AE$214,MATCH(CONCATENATE(РАСЧЕТ!B353,"/",РАСЧЕТ!D353,"/",РАСЧЕТ!E353,"/",F353,"/",H355),'Ведомость расчета мин. платы'!$AE$10:$AE$214,0),3),"")</f>
        <v/>
      </c>
      <c r="K355" s="247" t="str">
        <f ca="1">IFERROR(INDEX('Ведомость расчета мин. платы'!$J$10:$AE$214,MATCH(CONCATENATE(РАСЧЕТ!B353,"/",РАСЧЕТ!D353,"/",РАСЧЕТ!E353,"/",F353,"/",H355),'Ведомость расчета мин. платы'!$AE$10:$AE$214,0),4),"")</f>
        <v/>
      </c>
      <c r="L355" s="248">
        <f t="shared" ca="1" si="138"/>
        <v>0</v>
      </c>
      <c r="M355" s="214" t="str">
        <f ca="1">IFERROR(INDEX('Ведомость расчета мин. платы'!$J$10:$AE$214,MATCH(CONCATENATE(РАСЧЕТ!B353,"/",РАСЧЕТ!D353,"/",РАСЧЕТ!E353,"/",F353,"/",H355),'Ведомость расчета мин. платы'!$AE$10:$AE$214,0),6),"")</f>
        <v/>
      </c>
      <c r="N355" s="214">
        <f t="shared" ca="1" si="139"/>
        <v>0</v>
      </c>
      <c r="O355" s="229">
        <f t="shared" si="143"/>
        <v>1</v>
      </c>
      <c r="P355" s="230">
        <f t="shared" si="137"/>
        <v>0</v>
      </c>
      <c r="AP355" s="242"/>
      <c r="AQ355" s="253"/>
    </row>
    <row r="356" spans="1:43" x14ac:dyDescent="0.2">
      <c r="B356" s="249"/>
      <c r="C356" s="249"/>
      <c r="D356" s="249"/>
      <c r="E356" s="249"/>
      <c r="F356" s="249"/>
      <c r="G356" s="249"/>
      <c r="H356" s="250" t="s">
        <v>475</v>
      </c>
      <c r="I356" s="251" t="str">
        <f ca="1">IFERROR(ROUND(I355*I348,2),"")</f>
        <v/>
      </c>
      <c r="J356" s="251" t="str">
        <f t="shared" ref="J356" ca="1" si="145">IFERROR(ROUND(J355*J348,2),"")</f>
        <v/>
      </c>
      <c r="K356" s="251" t="str">
        <f t="shared" ref="K356" ca="1" si="146">IFERROR(ROUND(K355*K348,2),"")</f>
        <v/>
      </c>
      <c r="L356" s="251">
        <f t="shared" ca="1" si="138"/>
        <v>0</v>
      </c>
      <c r="M356" s="251" t="str">
        <f t="shared" ref="M356" ca="1" si="147">IFERROR(ROUND(M355*M348,2),"")</f>
        <v/>
      </c>
      <c r="N356" s="252">
        <f t="shared" ca="1" si="139"/>
        <v>0</v>
      </c>
      <c r="O356" s="229" t="str">
        <f t="shared" si="143"/>
        <v/>
      </c>
      <c r="P356" s="230">
        <f t="shared" si="137"/>
        <v>0</v>
      </c>
      <c r="AP356" s="242">
        <f ca="1">SUMIFS('Ведомость расчета мин. платы'!$S$10:$S$209,'Ведомость расчета мин. платы'!$AE$10:$AE$209,CONCATENATE(B353,"/",D353,"/",E353,"/",F353,"/",H355))</f>
        <v>0</v>
      </c>
      <c r="AQ356" s="253">
        <f t="shared" ref="AQ356" ca="1" si="148">AP356-N356</f>
        <v>0</v>
      </c>
    </row>
    <row r="357" spans="1:43" x14ac:dyDescent="0.2">
      <c r="B357" s="249"/>
      <c r="C357" s="249"/>
      <c r="D357" s="249"/>
      <c r="E357" s="249"/>
      <c r="F357" s="249"/>
      <c r="G357" s="249"/>
      <c r="H357" s="205" t="s">
        <v>19</v>
      </c>
      <c r="I357" s="248">
        <f ca="1">IFERROR(INDEX('Ведомость расчета мин. платы'!$J$10:$AE$214,MATCH(CONCATENATE(РАСЧЕТ!B353,"/",РАСЧЕТ!D353,"/",РАСЧЕТ!E353,"/",F353,"/",H357),'Ведомость расчета мин. платы'!$AE$10:$AE$214,0),2),"")</f>
        <v>3.14</v>
      </c>
      <c r="J357" s="248">
        <f ca="1">IFERROR(INDEX('Ведомость расчета мин. платы'!$J$10:$AE$214,MATCH(CONCATENATE(РАСЧЕТ!B353,"/",РАСЧЕТ!D353,"/",РАСЧЕТ!E353,"/",F353,"/",H357),'Ведомость расчета мин. платы'!$AE$10:$AE$214,0),3),"")</f>
        <v>20.87</v>
      </c>
      <c r="K357" s="248">
        <f ca="1">IFERROR(INDEX('Ведомость расчета мин. платы'!$J$10:$AE$214,MATCH(CONCATENATE(РАСЧЕТ!B353,"/",РАСЧЕТ!D353,"/",РАСЧЕТ!E353,"/",F353,"/",H357),'Ведомость расчета мин. платы'!$AE$10:$AE$214,0),4),"")</f>
        <v>4.8</v>
      </c>
      <c r="L357" s="248">
        <f t="shared" ca="1" si="138"/>
        <v>28.810000000000002</v>
      </c>
      <c r="M357" s="248">
        <f ca="1">IFERROR(INDEX('Ведомость расчета мин. платы'!$J$10:$AE$214,MATCH(CONCATENATE(РАСЧЕТ!B353,"/",РАСЧЕТ!D353,"/",РАСЧЕТ!E353,"/",F353,"/",H357),'Ведомость расчета мин. платы'!$AE$10:$AE$214,0),6),"")</f>
        <v>34.520000000000003</v>
      </c>
      <c r="N357" s="214">
        <f t="shared" ca="1" si="139"/>
        <v>63.330000000000005</v>
      </c>
      <c r="O357" s="229">
        <f t="shared" si="143"/>
        <v>1</v>
      </c>
      <c r="P357" s="230">
        <f t="shared" si="137"/>
        <v>0</v>
      </c>
      <c r="AP357" s="242"/>
      <c r="AQ357" s="253"/>
    </row>
    <row r="358" spans="1:43" x14ac:dyDescent="0.2">
      <c r="B358" s="249"/>
      <c r="C358" s="249"/>
      <c r="D358" s="249"/>
      <c r="E358" s="249"/>
      <c r="F358" s="249"/>
      <c r="G358" s="249"/>
      <c r="H358" s="250" t="s">
        <v>475</v>
      </c>
      <c r="I358" s="251">
        <f ca="1">IFERROR(ROUND(I357*I349,2),"")</f>
        <v>224.04</v>
      </c>
      <c r="J358" s="251">
        <f t="shared" ref="J358" ca="1" si="149">IFERROR(ROUND(J357*J349,2),"")</f>
        <v>1083.99</v>
      </c>
      <c r="K358" s="251">
        <f t="shared" ref="K358" ca="1" si="150">IFERROR(ROUND(K357*K349,2),"")</f>
        <v>127.39</v>
      </c>
      <c r="L358" s="251">
        <f t="shared" ca="1" si="138"/>
        <v>1435.42</v>
      </c>
      <c r="M358" s="251">
        <f t="shared" ref="M358" ca="1" si="151">IFERROR(ROUND(M357*M349,2),"")</f>
        <v>49.36</v>
      </c>
      <c r="N358" s="252">
        <f t="shared" ca="1" si="139"/>
        <v>1484.78</v>
      </c>
      <c r="O358" s="229" t="str">
        <f t="shared" si="143"/>
        <v/>
      </c>
      <c r="P358" s="230">
        <f t="shared" si="137"/>
        <v>0</v>
      </c>
      <c r="AP358" s="242">
        <f ca="1">SUMIFS('Ведомость расчета мин. платы'!$S$10:$S$209,'Ведомость расчета мин. платы'!$AE$10:$AE$209,CONCATENATE(B353,"/",D353,"/",E353,"/",F353,"/",H357))</f>
        <v>1484.78</v>
      </c>
      <c r="AQ358" s="253">
        <f t="shared" ref="AQ358" ca="1" si="152">AP358-N358</f>
        <v>0</v>
      </c>
    </row>
    <row r="359" spans="1:43" x14ac:dyDescent="0.2">
      <c r="B359" s="249"/>
      <c r="C359" s="249"/>
      <c r="D359" s="249"/>
      <c r="E359" s="249"/>
      <c r="F359" s="249"/>
      <c r="G359" s="249"/>
      <c r="H359" s="205" t="s">
        <v>268</v>
      </c>
      <c r="I359" s="248" t="str">
        <f ca="1">IFERROR(INDEX('Ведомость расчета мин. платы'!$J$10:$AE$214,MATCH(CONCATENATE(РАСЧЕТ!B353,"/",РАСЧЕТ!D353,"/",РАСЧЕТ!E353,"/",F353,"/",H359),'Ведомость расчета мин. платы'!$AE$10:$AE$214,0),2),"")</f>
        <v/>
      </c>
      <c r="J359" s="248" t="str">
        <f ca="1">IFERROR(INDEX('Ведомость расчета мин. платы'!$J$10:$AE$214,MATCH(CONCATENATE(РАСЧЕТ!B353,"/",РАСЧЕТ!D353,"/",РАСЧЕТ!E353,"/",F353,"/",H359),'Ведомость расчета мин. платы'!$AE$10:$AE$214,0),3),"")</f>
        <v/>
      </c>
      <c r="K359" s="248" t="str">
        <f ca="1">IFERROR(INDEX('Ведомость расчета мин. платы'!$J$10:$AE$214,MATCH(CONCATENATE(РАСЧЕТ!B353,"/",РАСЧЕТ!D353,"/",РАСЧЕТ!E353,"/",F353,"/",H359),'Ведомость расчета мин. платы'!$AE$10:$AE$214,0),4),"")</f>
        <v/>
      </c>
      <c r="L359" s="248">
        <f t="shared" ca="1" si="138"/>
        <v>0</v>
      </c>
      <c r="M359" s="248" t="str">
        <f ca="1">IFERROR(INDEX('Ведомость расчета мин. платы'!$J$10:$AE$214,MATCH(CONCATENATE(РАСЧЕТ!B353,"/",РАСЧЕТ!D353,"/",РАСЧЕТ!E353,"/",F353,"/",H359),'Ведомость расчета мин. платы'!$AE$10:$AE$214,0),6),"")</f>
        <v/>
      </c>
      <c r="N359" s="214">
        <f t="shared" ca="1" si="139"/>
        <v>0</v>
      </c>
      <c r="O359" s="229">
        <f t="shared" si="143"/>
        <v>1</v>
      </c>
      <c r="P359" s="230">
        <f t="shared" si="137"/>
        <v>0</v>
      </c>
      <c r="AP359" s="242"/>
      <c r="AQ359" s="253"/>
    </row>
    <row r="360" spans="1:43" x14ac:dyDescent="0.2">
      <c r="B360" s="249"/>
      <c r="C360" s="249"/>
      <c r="D360" s="249"/>
      <c r="E360" s="249"/>
      <c r="F360" s="249"/>
      <c r="G360" s="249"/>
      <c r="H360" s="250" t="s">
        <v>475</v>
      </c>
      <c r="I360" s="251" t="str">
        <f ca="1">IFERROR(ROUND(I359*I350,2),"")</f>
        <v/>
      </c>
      <c r="J360" s="251" t="str">
        <f ca="1">IFERROR(ROUND(J359*J350,2),"")</f>
        <v/>
      </c>
      <c r="K360" s="251" t="str">
        <f ca="1">IFERROR(ROUND(K359*K350,2),"")</f>
        <v/>
      </c>
      <c r="L360" s="251">
        <f t="shared" ca="1" si="138"/>
        <v>0</v>
      </c>
      <c r="M360" s="251" t="str">
        <f ca="1">IFERROR(ROUND(M359*M350,2),"")</f>
        <v/>
      </c>
      <c r="N360" s="252">
        <f t="shared" ca="1" si="139"/>
        <v>0</v>
      </c>
      <c r="O360" s="229" t="str">
        <f t="shared" si="143"/>
        <v/>
      </c>
      <c r="P360" s="230">
        <f t="shared" si="137"/>
        <v>0</v>
      </c>
      <c r="AP360" s="242">
        <f ca="1">SUMIFS('Ведомость расчета мин. платы'!$S$10:$S$209,'Ведомость расчета мин. платы'!$AE$10:$AE$209,CONCATENATE(B353,"/",D353,"/",E353,"/",F353,"/",H359))</f>
        <v>0</v>
      </c>
      <c r="AQ360" s="253">
        <f t="shared" ref="AQ360" ca="1" si="153">AP360-N360</f>
        <v>0</v>
      </c>
    </row>
    <row r="361" spans="1:43" x14ac:dyDescent="0.2">
      <c r="B361" s="249"/>
      <c r="C361" s="249"/>
      <c r="D361" s="249"/>
      <c r="E361" s="249"/>
      <c r="F361" s="249"/>
      <c r="G361" s="249"/>
      <c r="H361" s="205" t="s">
        <v>40</v>
      </c>
      <c r="I361" s="248" t="str">
        <f ca="1">IFERROR(INDEX('Ведомость расчета мин. платы'!$J$10:$AE$214,MATCH(CONCATENATE(РАСЧЕТ!B353,"/",РАСЧЕТ!D353,"/",РАСЧЕТ!E353,"/",F353,"/",H361),'Ведомость расчета мин. платы'!$AE$10:$AE$214,0),2),"")</f>
        <v/>
      </c>
      <c r="J361" s="248" t="str">
        <f ca="1">IFERROR(INDEX('Ведомость расчета мин. платы'!$J$10:$AE$214,MATCH(CONCATENATE(РАСЧЕТ!B353,"/",РАСЧЕТ!D353,"/",РАСЧЕТ!E353,"/",F353,"/",H361),'Ведомость расчета мин. платы'!$AE$10:$AE$214,0),3),"")</f>
        <v/>
      </c>
      <c r="K361" s="248" t="str">
        <f ca="1">IFERROR(INDEX('Ведомость расчета мин. платы'!$J$10:$AE$214,MATCH(CONCATENATE(РАСЧЕТ!B353,"/",РАСЧЕТ!D353,"/",РАСЧЕТ!E353,"/",F353,"/",H361),'Ведомость расчета мин. платы'!$AE$10:$AE$214,0),4),"")</f>
        <v/>
      </c>
      <c r="L361" s="248">
        <f t="shared" ca="1" si="138"/>
        <v>0</v>
      </c>
      <c r="M361" s="248" t="str">
        <f ca="1">IFERROR(INDEX('Ведомость расчета мин. платы'!$J$10:$AE$214,MATCH(CONCATENATE(РАСЧЕТ!B353,"/",РАСЧЕТ!D353,"/",РАСЧЕТ!E353,"/",F353,"/",H361),'Ведомость расчета мин. платы'!$AE$10:$AE$214,0),6),"")</f>
        <v/>
      </c>
      <c r="N361" s="214">
        <f t="shared" ca="1" si="139"/>
        <v>0</v>
      </c>
      <c r="O361" s="229">
        <f t="shared" si="143"/>
        <v>1</v>
      </c>
      <c r="P361" s="230">
        <f t="shared" si="137"/>
        <v>0</v>
      </c>
      <c r="AP361" s="242"/>
      <c r="AQ361" s="253"/>
    </row>
    <row r="362" spans="1:43" x14ac:dyDescent="0.2">
      <c r="B362" s="249"/>
      <c r="C362" s="249"/>
      <c r="D362" s="249"/>
      <c r="E362" s="249"/>
      <c r="F362" s="249"/>
      <c r="G362" s="249"/>
      <c r="H362" s="250" t="s">
        <v>475</v>
      </c>
      <c r="I362" s="251" t="str">
        <f ca="1">IFERROR(ROUND(I361*I351,2),"")</f>
        <v/>
      </c>
      <c r="J362" s="251" t="str">
        <f t="shared" ref="J362" ca="1" si="154">IFERROR(ROUND(J361*J351,2),"")</f>
        <v/>
      </c>
      <c r="K362" s="251" t="str">
        <f t="shared" ref="K362" ca="1" si="155">IFERROR(ROUND(K361*K351,2),"")</f>
        <v/>
      </c>
      <c r="L362" s="251">
        <f t="shared" ca="1" si="138"/>
        <v>0</v>
      </c>
      <c r="M362" s="251" t="str">
        <f t="shared" ref="M362" ca="1" si="156">IFERROR(ROUND(M361*M351,2),"")</f>
        <v/>
      </c>
      <c r="N362" s="252">
        <f t="shared" ca="1" si="139"/>
        <v>0</v>
      </c>
      <c r="O362" s="229" t="str">
        <f t="shared" si="143"/>
        <v/>
      </c>
      <c r="P362" s="230">
        <f t="shared" si="137"/>
        <v>0</v>
      </c>
      <c r="AP362" s="242">
        <f ca="1">SUMIFS('Ведомость расчета мин. платы'!$S$10:$S$209,'Ведомость расчета мин. платы'!$AE$10:$AE$209,CONCATENATE(B353,"/",D353,"/",E353,"/",F353,"/",H361))</f>
        <v>0</v>
      </c>
      <c r="AQ362" s="253">
        <f t="shared" ref="AQ362" ca="1" si="157">AP362-N362</f>
        <v>0</v>
      </c>
    </row>
    <row r="363" spans="1:43" x14ac:dyDescent="0.2">
      <c r="B363" s="249"/>
      <c r="C363" s="249"/>
      <c r="D363" s="249"/>
      <c r="E363" s="249"/>
      <c r="F363" s="249"/>
      <c r="G363" s="249"/>
      <c r="H363" s="205" t="s">
        <v>18</v>
      </c>
      <c r="I363" s="248">
        <f ca="1">IFERROR(INDEX('Ведомость расчета мин. платы'!$J$10:$AE$214,MATCH(CONCATENATE(РАСЧЕТ!B353,"/",РАСЧЕТ!D353,"/",РАСЧЕТ!E353,"/",F353,"/",H363),'Ведомость расчета мин. платы'!$AE$10:$AE$214,0),2),"")</f>
        <v>162.93</v>
      </c>
      <c r="J363" s="248">
        <f ca="1">IFERROR(INDEX('Ведомость расчета мин. платы'!$J$10:$AE$214,MATCH(CONCATENATE(РАСЧЕТ!B353,"/",РАСЧЕТ!D353,"/",РАСЧЕТ!E353,"/",F353,"/",H363),'Ведомость расчета мин. платы'!$AE$10:$AE$214,0),3),"")</f>
        <v>94.54</v>
      </c>
      <c r="K363" s="248">
        <f ca="1">IFERROR(INDEX('Ведомость расчета мин. платы'!$J$10:$AE$214,MATCH(CONCATENATE(РАСЧЕТ!B353,"/",РАСЧЕТ!D353,"/",РАСЧЕТ!E353,"/",F353,"/",H363),'Ведомость расчета мин. платы'!$AE$10:$AE$214,0),4),"")</f>
        <v>3.77</v>
      </c>
      <c r="L363" s="248">
        <f t="shared" ca="1" si="138"/>
        <v>261.24</v>
      </c>
      <c r="M363" s="248">
        <f ca="1">IFERROR(INDEX('Ведомость расчета мин. платы'!$J$10:$AE$214,MATCH(CONCATENATE(РАСЧЕТ!B353,"/",РАСЧЕТ!D353,"/",РАСЧЕТ!E353,"/",F353,"/",H363),'Ведомость расчета мин. платы'!$AE$10:$AE$214,0),6),"")</f>
        <v>170.22</v>
      </c>
      <c r="N363" s="214">
        <f t="shared" ca="1" si="139"/>
        <v>431.46000000000004</v>
      </c>
      <c r="O363" s="229">
        <f t="shared" si="143"/>
        <v>1</v>
      </c>
      <c r="P363" s="230">
        <f t="shared" si="137"/>
        <v>0</v>
      </c>
      <c r="AP363" s="242"/>
      <c r="AQ363" s="253"/>
    </row>
    <row r="364" spans="1:43" x14ac:dyDescent="0.2">
      <c r="B364" s="249"/>
      <c r="C364" s="249"/>
      <c r="D364" s="249"/>
      <c r="E364" s="249"/>
      <c r="F364" s="249"/>
      <c r="G364" s="249"/>
      <c r="H364" s="250" t="s">
        <v>475</v>
      </c>
      <c r="I364" s="251">
        <f ca="1">IFERROR(ROUND(I363*I352,2),"")</f>
        <v>3719.69</v>
      </c>
      <c r="J364" s="251">
        <f t="shared" ref="J364" ca="1" si="158">IFERROR(ROUND(J363*J352,2),"")</f>
        <v>1645.94</v>
      </c>
      <c r="K364" s="251">
        <f t="shared" ref="K364" ca="1" si="159">IFERROR(ROUND(K363*K352,2),"")</f>
        <v>33.36</v>
      </c>
      <c r="L364" s="251">
        <f t="shared" ca="1" si="138"/>
        <v>5398.99</v>
      </c>
      <c r="M364" s="251">
        <f t="shared" ref="M364" ca="1" si="160">IFERROR(ROUND(M363*M352,2),"")</f>
        <v>97.03</v>
      </c>
      <c r="N364" s="252">
        <f t="shared" ca="1" si="139"/>
        <v>5496.0199999999995</v>
      </c>
      <c r="O364" s="229" t="str">
        <f t="shared" si="143"/>
        <v/>
      </c>
      <c r="P364" s="230">
        <f t="shared" si="137"/>
        <v>0</v>
      </c>
      <c r="AP364" s="242">
        <f ca="1">SUMIFS('Ведомость расчета мин. платы'!$S$10:$S$209,'Ведомость расчета мин. платы'!$AE$10:$AE$209,CONCATENATE(B353,"/",D353,"/",E353,"/",F353,"/",H363))</f>
        <v>5496.02</v>
      </c>
      <c r="AQ364" s="253">
        <f t="shared" ref="AQ364" ca="1" si="161">AP364-N364</f>
        <v>0</v>
      </c>
    </row>
    <row r="365" spans="1:43" x14ac:dyDescent="0.2">
      <c r="B365" s="249"/>
      <c r="C365" s="249"/>
      <c r="D365" s="249"/>
      <c r="E365" s="249"/>
      <c r="F365" s="249"/>
      <c r="G365" s="249"/>
      <c r="H365" s="254" t="s">
        <v>476</v>
      </c>
      <c r="I365" s="251">
        <f ca="1">SUMIF($O353:$O366,1,I353:I364)</f>
        <v>217.74</v>
      </c>
      <c r="J365" s="251">
        <f ca="1">SUMIF($O353:$O366,1,J353:J364)</f>
        <v>180.91000000000003</v>
      </c>
      <c r="K365" s="251">
        <f ca="1">SUMIF($O353:$O366,1,K353:K364)</f>
        <v>18.38</v>
      </c>
      <c r="L365" s="251">
        <f t="shared" ca="1" si="138"/>
        <v>417.03000000000003</v>
      </c>
      <c r="M365" s="251">
        <f ca="1">SUMIF($O353:$O366,1,M353:M364)</f>
        <v>293.31</v>
      </c>
      <c r="N365" s="252">
        <f t="shared" ca="1" si="139"/>
        <v>710.34</v>
      </c>
      <c r="AP365" s="242"/>
      <c r="AQ365" s="253"/>
    </row>
    <row r="366" spans="1:43" x14ac:dyDescent="0.2">
      <c r="B366" s="249"/>
      <c r="C366" s="249"/>
      <c r="D366" s="249"/>
      <c r="E366" s="249"/>
      <c r="F366" s="249"/>
      <c r="G366" s="249"/>
      <c r="H366" s="254" t="s">
        <v>491</v>
      </c>
      <c r="I366" s="251">
        <f ca="1">SUMIF(H353:H364,"стоимость",I353:I364)</f>
        <v>10151.879999999999</v>
      </c>
      <c r="J366" s="251">
        <f ca="1">SUMIF(H353:H364,"стоимость",J353:J364)</f>
        <v>8338.0399999999991</v>
      </c>
      <c r="K366" s="251">
        <f ca="1">SUMIF(H353:H364,"стоимость",K353:K364)</f>
        <v>586.31000000000006</v>
      </c>
      <c r="L366" s="251">
        <f ca="1">IFERROR(SUM(I366:K366),"")</f>
        <v>19076.23</v>
      </c>
      <c r="M366" s="251">
        <f ca="1">SUMIF(H353:H364,"стоимость",M353:M364)</f>
        <v>753.09</v>
      </c>
      <c r="N366" s="252">
        <f ca="1">IFERROR(SUM(L366:M366),"")</f>
        <v>19829.32</v>
      </c>
      <c r="AP366" s="242">
        <f ca="1">SUMIFS('Ведомость расчета мин. платы'!$S$10:$S$209,'Ведомость расчета мин. платы'!$J$10:$J$209,"Итого",'Ведомость расчета мин. платы'!$AC$10:$AC$209,CONCATENATE(B353,"/",D353,"/",E353,"/",F353))</f>
        <v>19829.32</v>
      </c>
      <c r="AQ366" s="253">
        <f ca="1">AP366-N366</f>
        <v>0</v>
      </c>
    </row>
    <row r="367" spans="1:43" x14ac:dyDescent="0.2">
      <c r="B367" s="255"/>
      <c r="C367" s="255"/>
      <c r="D367" s="255"/>
      <c r="E367" s="255"/>
      <c r="F367" s="255"/>
      <c r="G367" s="256"/>
      <c r="H367" s="257"/>
      <c r="I367" s="258"/>
      <c r="J367" s="258"/>
      <c r="K367" s="258"/>
      <c r="L367" s="258"/>
      <c r="M367" s="258"/>
      <c r="N367" s="258"/>
      <c r="P367" s="230">
        <f t="shared" ref="P367:P385" si="162">IF(A367&gt;0,1,0)</f>
        <v>0</v>
      </c>
    </row>
    <row r="368" spans="1:43" x14ac:dyDescent="0.2">
      <c r="B368" s="282" t="s">
        <v>477</v>
      </c>
      <c r="C368" s="282"/>
      <c r="D368" s="282"/>
      <c r="E368" s="282"/>
      <c r="F368" s="259"/>
      <c r="G368" s="225"/>
      <c r="H368" s="201"/>
      <c r="I368" s="226"/>
      <c r="J368" s="258"/>
      <c r="K368" s="258"/>
      <c r="L368" s="258"/>
      <c r="M368" s="258"/>
      <c r="N368" s="258"/>
      <c r="P368" s="230">
        <f t="shared" si="162"/>
        <v>0</v>
      </c>
    </row>
    <row r="369" spans="2:16" x14ac:dyDescent="0.2">
      <c r="B369" s="283" t="s">
        <v>525</v>
      </c>
      <c r="C369" s="283"/>
      <c r="D369" s="283"/>
      <c r="E369" s="283"/>
      <c r="F369" s="283"/>
      <c r="G369" s="283"/>
      <c r="H369" s="283"/>
      <c r="I369" s="283"/>
      <c r="J369" s="261"/>
      <c r="K369" s="261"/>
      <c r="L369" s="261"/>
      <c r="M369" s="261"/>
      <c r="N369" s="261"/>
      <c r="P369" s="230">
        <f t="shared" si="162"/>
        <v>0</v>
      </c>
    </row>
    <row r="370" spans="2:16" x14ac:dyDescent="0.2">
      <c r="B370" s="284" t="s">
        <v>478</v>
      </c>
      <c r="C370" s="284"/>
      <c r="D370" s="284"/>
      <c r="E370" s="284"/>
      <c r="F370" s="284"/>
      <c r="G370" s="284"/>
      <c r="H370" s="284"/>
      <c r="I370" s="284"/>
      <c r="J370" s="258"/>
      <c r="K370" s="258"/>
      <c r="L370" s="258"/>
      <c r="M370" s="258"/>
      <c r="N370" s="258"/>
      <c r="P370" s="230">
        <f t="shared" si="162"/>
        <v>0</v>
      </c>
    </row>
    <row r="371" spans="2:16" x14ac:dyDescent="0.2">
      <c r="B371" s="284" t="s">
        <v>479</v>
      </c>
      <c r="C371" s="284"/>
      <c r="D371" s="284"/>
      <c r="E371" s="284"/>
      <c r="F371" s="284"/>
      <c r="G371" s="284"/>
      <c r="H371" s="284"/>
      <c r="I371" s="284"/>
      <c r="J371" s="258"/>
      <c r="K371" s="258"/>
      <c r="L371" s="258"/>
      <c r="M371" s="258"/>
      <c r="N371" s="258"/>
      <c r="P371" s="230">
        <f t="shared" si="162"/>
        <v>0</v>
      </c>
    </row>
    <row r="372" spans="2:16" x14ac:dyDescent="0.2">
      <c r="B372" s="284" t="s">
        <v>480</v>
      </c>
      <c r="C372" s="284"/>
      <c r="D372" s="284"/>
      <c r="E372" s="284"/>
      <c r="F372" s="284"/>
      <c r="G372" s="284"/>
      <c r="H372" s="284"/>
      <c r="I372" s="284"/>
      <c r="J372" s="258"/>
      <c r="K372" s="258"/>
      <c r="L372" s="258"/>
      <c r="M372" s="258"/>
      <c r="N372" s="258"/>
      <c r="P372" s="230">
        <f t="shared" si="162"/>
        <v>0</v>
      </c>
    </row>
    <row r="373" spans="2:16" x14ac:dyDescent="0.2">
      <c r="B373" s="284" t="s">
        <v>481</v>
      </c>
      <c r="C373" s="284"/>
      <c r="D373" s="284"/>
      <c r="E373" s="284"/>
      <c r="F373" s="284"/>
      <c r="G373" s="284"/>
      <c r="H373" s="284"/>
      <c r="I373" s="284"/>
      <c r="J373" s="226"/>
      <c r="K373" s="226"/>
      <c r="L373" s="226"/>
      <c r="M373" s="226"/>
      <c r="N373" s="226"/>
      <c r="P373" s="230">
        <f t="shared" si="162"/>
        <v>0</v>
      </c>
    </row>
    <row r="374" spans="2:16" x14ac:dyDescent="0.2">
      <c r="B374" s="284" t="s">
        <v>482</v>
      </c>
      <c r="C374" s="284"/>
      <c r="D374" s="284"/>
      <c r="E374" s="284"/>
      <c r="F374" s="284"/>
      <c r="G374" s="284"/>
      <c r="H374" s="284"/>
      <c r="I374" s="284"/>
      <c r="J374" s="226"/>
      <c r="K374" s="226"/>
      <c r="L374" s="226"/>
      <c r="M374" s="226"/>
      <c r="N374" s="226"/>
      <c r="P374" s="230">
        <f t="shared" si="162"/>
        <v>0</v>
      </c>
    </row>
    <row r="375" spans="2:16" x14ac:dyDescent="0.2">
      <c r="B375" s="284" t="s">
        <v>483</v>
      </c>
      <c r="C375" s="284"/>
      <c r="D375" s="284"/>
      <c r="E375" s="284"/>
      <c r="F375" s="284"/>
      <c r="G375" s="284"/>
      <c r="H375" s="284"/>
      <c r="I375" s="284"/>
      <c r="J375" s="226"/>
      <c r="K375" s="226"/>
      <c r="L375" s="226"/>
      <c r="M375" s="226"/>
      <c r="N375" s="226"/>
      <c r="P375" s="230">
        <f t="shared" si="162"/>
        <v>0</v>
      </c>
    </row>
    <row r="376" spans="2:16" x14ac:dyDescent="0.2">
      <c r="B376" s="284" t="s">
        <v>484</v>
      </c>
      <c r="C376" s="284"/>
      <c r="D376" s="284"/>
      <c r="E376" s="284"/>
      <c r="F376" s="284"/>
      <c r="G376" s="284"/>
      <c r="H376" s="284"/>
      <c r="I376" s="284"/>
      <c r="J376" s="226"/>
      <c r="K376" s="226"/>
      <c r="L376" s="226"/>
      <c r="M376" s="226"/>
      <c r="N376" s="226"/>
      <c r="P376" s="230">
        <f t="shared" si="162"/>
        <v>0</v>
      </c>
    </row>
    <row r="377" spans="2:16" x14ac:dyDescent="0.2">
      <c r="B377" s="264"/>
      <c r="C377" s="264"/>
      <c r="D377" s="264"/>
      <c r="E377" s="264"/>
      <c r="F377" s="264"/>
      <c r="G377" s="264"/>
      <c r="H377" s="264"/>
      <c r="I377" s="265"/>
      <c r="J377" s="226"/>
      <c r="K377" s="226"/>
      <c r="L377" s="226"/>
      <c r="M377" s="226"/>
      <c r="N377" s="226"/>
      <c r="P377" s="230">
        <f t="shared" si="162"/>
        <v>0</v>
      </c>
    </row>
    <row r="378" spans="2:16" x14ac:dyDescent="0.2">
      <c r="B378" s="225" t="s">
        <v>485</v>
      </c>
      <c r="C378" s="225"/>
      <c r="D378" s="225"/>
      <c r="E378" s="225"/>
      <c r="F378" s="225"/>
      <c r="G378" s="225"/>
      <c r="H378" s="201"/>
      <c r="I378" s="226"/>
      <c r="J378" s="226" t="s">
        <v>486</v>
      </c>
      <c r="K378" s="226"/>
      <c r="L378" s="226"/>
      <c r="M378" s="226"/>
      <c r="N378" s="226"/>
      <c r="P378" s="230">
        <f t="shared" si="162"/>
        <v>0</v>
      </c>
    </row>
    <row r="379" spans="2:16" x14ac:dyDescent="0.2">
      <c r="B379" s="266" t="s">
        <v>524</v>
      </c>
      <c r="C379" s="266"/>
      <c r="D379" s="225"/>
      <c r="E379" s="225"/>
      <c r="F379" s="225"/>
      <c r="G379" s="225"/>
      <c r="H379" s="201"/>
      <c r="I379" s="226"/>
      <c r="J379" s="267"/>
      <c r="K379" s="267"/>
      <c r="L379" s="267"/>
      <c r="M379" s="226"/>
      <c r="N379" s="226"/>
      <c r="P379" s="230">
        <f t="shared" si="162"/>
        <v>0</v>
      </c>
    </row>
    <row r="380" spans="2:16" x14ac:dyDescent="0.2">
      <c r="B380" s="268" t="s">
        <v>487</v>
      </c>
      <c r="C380" s="225"/>
      <c r="D380" s="225"/>
      <c r="E380" s="225"/>
      <c r="F380" s="225"/>
      <c r="G380" s="225"/>
      <c r="H380" s="201"/>
      <c r="I380" s="226"/>
      <c r="J380" s="226" t="s">
        <v>487</v>
      </c>
      <c r="K380" s="226"/>
      <c r="L380" s="226"/>
      <c r="M380" s="226"/>
      <c r="N380" s="226"/>
      <c r="P380" s="230">
        <f t="shared" si="162"/>
        <v>0</v>
      </c>
    </row>
    <row r="381" spans="2:16" x14ac:dyDescent="0.2">
      <c r="B381" s="225"/>
      <c r="C381" s="225"/>
      <c r="D381" s="225"/>
      <c r="E381" s="225"/>
      <c r="F381" s="225"/>
      <c r="G381" s="225"/>
      <c r="H381" s="201"/>
      <c r="I381" s="226"/>
      <c r="J381" s="226"/>
      <c r="K381" s="226"/>
      <c r="L381" s="226"/>
      <c r="M381" s="226"/>
      <c r="N381" s="226"/>
      <c r="P381" s="230">
        <f t="shared" si="162"/>
        <v>0</v>
      </c>
    </row>
    <row r="382" spans="2:16" x14ac:dyDescent="0.2">
      <c r="B382" s="266"/>
      <c r="C382" s="266"/>
      <c r="D382" s="225"/>
      <c r="E382" s="225"/>
      <c r="F382" s="225"/>
      <c r="G382" s="225"/>
      <c r="H382" s="201"/>
      <c r="I382" s="226"/>
      <c r="J382" s="267"/>
      <c r="K382" s="267"/>
      <c r="L382" s="267"/>
      <c r="M382" s="226"/>
      <c r="N382" s="226"/>
      <c r="P382" s="230">
        <f t="shared" si="162"/>
        <v>0</v>
      </c>
    </row>
    <row r="383" spans="2:16" x14ac:dyDescent="0.2">
      <c r="B383" s="269" t="s">
        <v>488</v>
      </c>
      <c r="C383" s="225"/>
      <c r="D383" s="225"/>
      <c r="E383" s="225"/>
      <c r="F383" s="225"/>
      <c r="G383" s="225"/>
      <c r="H383" s="201"/>
      <c r="I383" s="226"/>
      <c r="J383" s="285" t="s">
        <v>488</v>
      </c>
      <c r="K383" s="285"/>
      <c r="L383" s="285"/>
      <c r="M383" s="226"/>
      <c r="N383" s="226"/>
      <c r="P383" s="230">
        <f t="shared" si="162"/>
        <v>0</v>
      </c>
    </row>
    <row r="384" spans="2:16" x14ac:dyDescent="0.2">
      <c r="B384" s="225"/>
      <c r="C384" s="225"/>
      <c r="D384" s="225"/>
      <c r="E384" s="225"/>
      <c r="F384" s="225"/>
      <c r="G384" s="225"/>
      <c r="H384" s="201"/>
      <c r="I384" s="226"/>
      <c r="J384" s="226"/>
      <c r="K384" s="226"/>
      <c r="L384" s="226"/>
      <c r="M384" s="226"/>
      <c r="N384" s="226"/>
      <c r="P384" s="230">
        <f t="shared" si="162"/>
        <v>0</v>
      </c>
    </row>
    <row r="385" spans="1:16" x14ac:dyDescent="0.2">
      <c r="B385" s="264" t="s">
        <v>489</v>
      </c>
      <c r="C385" s="225"/>
      <c r="D385" s="225"/>
      <c r="E385" s="225"/>
      <c r="F385" s="225"/>
      <c r="G385" s="225"/>
      <c r="H385" s="201"/>
      <c r="I385" s="226"/>
      <c r="J385" s="226" t="s">
        <v>489</v>
      </c>
      <c r="K385" s="226"/>
      <c r="L385" s="226"/>
      <c r="M385" s="226"/>
      <c r="N385" s="226"/>
      <c r="P385" s="230">
        <f t="shared" si="162"/>
        <v>0</v>
      </c>
    </row>
    <row r="386" spans="1:16" x14ac:dyDescent="0.2">
      <c r="A386" s="272"/>
      <c r="B386" s="225"/>
      <c r="C386" s="225"/>
      <c r="D386" s="225"/>
      <c r="E386" s="225"/>
      <c r="F386" s="225"/>
      <c r="G386" s="225"/>
      <c r="H386" s="201"/>
      <c r="I386" s="226"/>
      <c r="J386" s="226"/>
      <c r="K386" s="226"/>
      <c r="M386" s="226"/>
      <c r="N386" s="228"/>
    </row>
    <row r="387" spans="1:16" x14ac:dyDescent="0.2">
      <c r="A387" s="260"/>
      <c r="B387" s="225"/>
      <c r="C387" s="225"/>
      <c r="D387" s="225"/>
      <c r="E387" s="225"/>
      <c r="F387" s="225"/>
      <c r="G387" s="225"/>
      <c r="H387" s="201"/>
      <c r="I387" s="226"/>
      <c r="J387" s="226"/>
      <c r="K387" s="226"/>
      <c r="M387" s="226"/>
      <c r="N387" s="228" t="s">
        <v>455</v>
      </c>
      <c r="P387" s="230">
        <f t="shared" ref="P387:P404" si="163">IF(A387&gt;0,1,0)</f>
        <v>0</v>
      </c>
    </row>
    <row r="388" spans="1:16" x14ac:dyDescent="0.2">
      <c r="B388" s="225"/>
      <c r="C388" s="225"/>
      <c r="D388" s="225"/>
      <c r="E388" s="225"/>
      <c r="F388" s="225"/>
      <c r="G388" s="225"/>
      <c r="H388" s="201"/>
      <c r="I388" s="226"/>
      <c r="J388" s="226"/>
      <c r="K388" s="226"/>
      <c r="M388" s="226"/>
      <c r="N388" s="228" t="s">
        <v>456</v>
      </c>
      <c r="P388" s="230">
        <f t="shared" si="163"/>
        <v>0</v>
      </c>
    </row>
    <row r="389" spans="1:16" x14ac:dyDescent="0.2">
      <c r="B389" s="225"/>
      <c r="C389" s="225"/>
      <c r="D389" s="225"/>
      <c r="E389" s="225"/>
      <c r="F389" s="225"/>
      <c r="G389" s="225"/>
      <c r="H389" s="201"/>
      <c r="I389" s="226"/>
      <c r="J389" s="226"/>
      <c r="K389" s="226"/>
      <c r="M389" s="226"/>
      <c r="N389" s="228" t="s">
        <v>457</v>
      </c>
      <c r="P389" s="230">
        <f t="shared" si="163"/>
        <v>0</v>
      </c>
    </row>
    <row r="390" spans="1:16" x14ac:dyDescent="0.2">
      <c r="B390" s="225"/>
      <c r="C390" s="225"/>
      <c r="D390" s="225"/>
      <c r="E390" s="225"/>
      <c r="F390" s="225"/>
      <c r="G390" s="225"/>
      <c r="H390" s="201"/>
      <c r="I390" s="226"/>
      <c r="J390" s="226"/>
      <c r="K390" s="226"/>
      <c r="L390" s="226"/>
      <c r="M390" s="226"/>
      <c r="N390" s="226"/>
      <c r="P390" s="230">
        <f t="shared" si="163"/>
        <v>0</v>
      </c>
    </row>
    <row r="391" spans="1:16" x14ac:dyDescent="0.2">
      <c r="B391" s="225"/>
      <c r="C391" s="286" t="s">
        <v>458</v>
      </c>
      <c r="D391" s="286"/>
      <c r="E391" s="286"/>
      <c r="F391" s="286"/>
      <c r="G391" s="286"/>
      <c r="H391" s="286"/>
      <c r="I391" s="286"/>
      <c r="J391" s="286"/>
      <c r="K391" s="286"/>
      <c r="L391" s="286"/>
      <c r="M391" s="226"/>
      <c r="N391" s="226"/>
      <c r="P391" s="230">
        <f t="shared" si="163"/>
        <v>0</v>
      </c>
    </row>
    <row r="392" spans="1:16" x14ac:dyDescent="0.2">
      <c r="B392" s="225"/>
      <c r="C392" s="286" t="s">
        <v>459</v>
      </c>
      <c r="D392" s="286"/>
      <c r="E392" s="286"/>
      <c r="F392" s="286"/>
      <c r="G392" s="286"/>
      <c r="H392" s="286"/>
      <c r="I392" s="286"/>
      <c r="J392" s="286"/>
      <c r="K392" s="286"/>
      <c r="L392" s="286"/>
      <c r="M392" s="226"/>
      <c r="N392" s="226"/>
      <c r="P392" s="230">
        <f t="shared" si="163"/>
        <v>0</v>
      </c>
    </row>
    <row r="393" spans="1:16" x14ac:dyDescent="0.2">
      <c r="B393" s="225" t="s">
        <v>460</v>
      </c>
      <c r="C393" s="234"/>
      <c r="D393" s="234"/>
      <c r="E393" s="234"/>
      <c r="F393" s="234"/>
      <c r="G393" s="234"/>
      <c r="H393" s="234"/>
      <c r="I393" s="235"/>
      <c r="J393" s="235"/>
      <c r="K393" s="235"/>
      <c r="L393" s="287" t="s">
        <v>461</v>
      </c>
      <c r="M393" s="287"/>
      <c r="N393" s="287"/>
      <c r="P393" s="230">
        <f t="shared" si="163"/>
        <v>0</v>
      </c>
    </row>
    <row r="394" spans="1:16" x14ac:dyDescent="0.2">
      <c r="B394" s="225"/>
      <c r="C394" s="234"/>
      <c r="D394" s="234"/>
      <c r="E394" s="234"/>
      <c r="F394" s="234"/>
      <c r="G394" s="234"/>
      <c r="H394" s="234"/>
      <c r="I394" s="235"/>
      <c r="J394" s="235"/>
      <c r="K394" s="235"/>
      <c r="L394" s="235"/>
      <c r="M394" s="235"/>
      <c r="N394" s="235"/>
      <c r="P394" s="230">
        <f t="shared" si="163"/>
        <v>0</v>
      </c>
    </row>
    <row r="395" spans="1:16" x14ac:dyDescent="0.2">
      <c r="B395" s="225" t="s">
        <v>2038</v>
      </c>
      <c r="C395" s="234"/>
      <c r="D395" s="234"/>
      <c r="E395" s="234"/>
      <c r="F395" s="234"/>
      <c r="G395" s="234"/>
      <c r="H395" s="234"/>
      <c r="I395" s="235"/>
      <c r="J395" s="235"/>
      <c r="K395" s="235"/>
      <c r="L395" s="235"/>
      <c r="M395" s="235"/>
      <c r="N395" s="235"/>
      <c r="P395" s="230">
        <f t="shared" si="163"/>
        <v>0</v>
      </c>
    </row>
    <row r="396" spans="1:16" x14ac:dyDescent="0.2">
      <c r="B396" s="225" t="s">
        <v>462</v>
      </c>
      <c r="C396" s="234"/>
      <c r="D396" s="234"/>
      <c r="E396" s="234"/>
      <c r="F396" s="234"/>
      <c r="G396" s="234"/>
      <c r="H396" s="234"/>
      <c r="I396" s="235"/>
      <c r="J396" s="235"/>
      <c r="K396" s="235"/>
      <c r="L396" s="235"/>
      <c r="M396" s="235"/>
      <c r="N396" s="235"/>
      <c r="P396" s="230">
        <f t="shared" si="163"/>
        <v>0</v>
      </c>
    </row>
    <row r="397" spans="1:16" x14ac:dyDescent="0.2">
      <c r="B397" s="225" t="s">
        <v>2037</v>
      </c>
      <c r="C397" s="234"/>
      <c r="D397" s="234"/>
      <c r="E397" s="234"/>
      <c r="F397" s="234"/>
      <c r="G397" s="234"/>
      <c r="H397" s="234"/>
      <c r="I397" s="235"/>
      <c r="J397" s="235"/>
      <c r="K397" s="235"/>
      <c r="L397" s="235"/>
      <c r="M397" s="235"/>
      <c r="N397" s="235"/>
      <c r="P397" s="230">
        <f t="shared" si="163"/>
        <v>0</v>
      </c>
    </row>
    <row r="398" spans="1:16" x14ac:dyDescent="0.2">
      <c r="B398" s="225" t="s">
        <v>2052</v>
      </c>
      <c r="C398" s="234"/>
      <c r="D398" s="234"/>
      <c r="E398" s="234"/>
      <c r="F398" s="234"/>
      <c r="G398" s="234"/>
      <c r="H398" s="234"/>
      <c r="I398" s="235"/>
      <c r="J398" s="235"/>
      <c r="K398" s="235"/>
      <c r="L398" s="235"/>
      <c r="M398" s="235"/>
      <c r="N398" s="235"/>
      <c r="P398" s="230">
        <f t="shared" si="163"/>
        <v>0</v>
      </c>
    </row>
    <row r="399" spans="1:16" x14ac:dyDescent="0.2">
      <c r="B399" s="225"/>
      <c r="C399" s="225"/>
      <c r="D399" s="225"/>
      <c r="E399" s="225"/>
      <c r="F399" s="225"/>
      <c r="G399" s="225"/>
      <c r="H399" s="201"/>
      <c r="I399" s="226"/>
      <c r="J399" s="226"/>
      <c r="K399" s="226"/>
      <c r="L399" s="226"/>
      <c r="M399" s="226"/>
      <c r="N399" s="226"/>
      <c r="P399" s="230">
        <f t="shared" si="163"/>
        <v>0</v>
      </c>
    </row>
    <row r="400" spans="1:16" x14ac:dyDescent="0.2">
      <c r="B400" s="288" t="s">
        <v>106</v>
      </c>
      <c r="C400" s="290" t="s">
        <v>463</v>
      </c>
      <c r="D400" s="288" t="s">
        <v>464</v>
      </c>
      <c r="E400" s="288" t="s">
        <v>465</v>
      </c>
      <c r="F400" s="288" t="s">
        <v>490</v>
      </c>
      <c r="G400" s="288" t="s">
        <v>466</v>
      </c>
      <c r="H400" s="292" t="s">
        <v>8</v>
      </c>
      <c r="I400" s="294" t="s">
        <v>467</v>
      </c>
      <c r="J400" s="295"/>
      <c r="K400" s="295"/>
      <c r="L400" s="296"/>
      <c r="M400" s="297" t="s">
        <v>468</v>
      </c>
      <c r="N400" s="299" t="s">
        <v>469</v>
      </c>
      <c r="P400" s="230">
        <f t="shared" si="163"/>
        <v>0</v>
      </c>
    </row>
    <row r="401" spans="1:43" x14ac:dyDescent="0.2">
      <c r="B401" s="289"/>
      <c r="C401" s="291"/>
      <c r="D401" s="289"/>
      <c r="E401" s="289"/>
      <c r="F401" s="289"/>
      <c r="G401" s="289"/>
      <c r="H401" s="293"/>
      <c r="I401" s="236" t="s">
        <v>470</v>
      </c>
      <c r="J401" s="236" t="s">
        <v>471</v>
      </c>
      <c r="K401" s="236" t="s">
        <v>472</v>
      </c>
      <c r="L401" s="236" t="s">
        <v>473</v>
      </c>
      <c r="M401" s="298"/>
      <c r="N401" s="300"/>
      <c r="P401" s="230">
        <f t="shared" si="163"/>
        <v>0</v>
      </c>
    </row>
    <row r="402" spans="1:43" x14ac:dyDescent="0.2">
      <c r="A402" s="224" t="str">
        <f>CONCATENATE("Лот"," ",A403)</f>
        <v>Лот 8</v>
      </c>
      <c r="B402" s="273" t="s">
        <v>2087</v>
      </c>
      <c r="C402" s="274"/>
      <c r="D402" s="274"/>
      <c r="E402" s="274"/>
      <c r="F402" s="274"/>
      <c r="G402" s="275"/>
      <c r="H402" s="238" t="s">
        <v>17</v>
      </c>
      <c r="I402" s="270">
        <f ca="1">ROUND(VLOOKUP($H402,$AJ$4:$AN$13,2,0)*$Q404*1.51,2)</f>
        <v>120.15</v>
      </c>
      <c r="J402" s="270">
        <f ca="1">ROUND(VLOOKUP($H402,$AJ$4:$AN$13,3,0)*$Q404*1.51,2)</f>
        <v>85.62</v>
      </c>
      <c r="K402" s="270">
        <f ca="1">ROUND(VLOOKUP($H402,$AJ$4:$AN$13,4,0)*$Q404*1.51,2)</f>
        <v>43.38</v>
      </c>
      <c r="L402" s="270"/>
      <c r="M402" s="270">
        <f ca="1">ROUND(VLOOKUP($H402,$AJ$4:$AN$13,5,0)*$Q404*1.51,2)</f>
        <v>6.85</v>
      </c>
      <c r="N402" s="270"/>
      <c r="P402" s="230">
        <f t="shared" si="163"/>
        <v>1</v>
      </c>
    </row>
    <row r="403" spans="1:43" x14ac:dyDescent="0.2">
      <c r="A403" s="224">
        <f>A348+1</f>
        <v>8</v>
      </c>
      <c r="B403" s="276"/>
      <c r="C403" s="277"/>
      <c r="D403" s="277"/>
      <c r="E403" s="277"/>
      <c r="F403" s="277"/>
      <c r="G403" s="278"/>
      <c r="H403" s="238" t="s">
        <v>25</v>
      </c>
      <c r="I403" s="270">
        <f ca="1">ROUND(VLOOKUP($H403,$AJ$4:$AN$13,2,0)*$Q404*1.51,2)</f>
        <v>898.69</v>
      </c>
      <c r="J403" s="270">
        <f ca="1">ROUND(VLOOKUP($H403,$AJ$4:$AN$13,3,0)*$Q404*1.51,2)</f>
        <v>642.13</v>
      </c>
      <c r="K403" s="270">
        <f ca="1">ROUND(VLOOKUP($H403,$AJ$4:$AN$13,4,0)*$Q404*1.51,2)</f>
        <v>323.06</v>
      </c>
      <c r="L403" s="270"/>
      <c r="M403" s="270">
        <f ca="1">ROUND(VLOOKUP($H403,$AJ$4:$AN$13,5,0)*$Q404*1.51,2)</f>
        <v>27.97</v>
      </c>
      <c r="N403" s="270"/>
      <c r="P403" s="230">
        <f t="shared" si="163"/>
        <v>1</v>
      </c>
      <c r="Q403" s="240" t="s">
        <v>2045</v>
      </c>
      <c r="R403" s="240" t="s">
        <v>2046</v>
      </c>
    </row>
    <row r="404" spans="1:43" x14ac:dyDescent="0.2">
      <c r="B404" s="276"/>
      <c r="C404" s="277"/>
      <c r="D404" s="277"/>
      <c r="E404" s="277"/>
      <c r="F404" s="277"/>
      <c r="G404" s="278"/>
      <c r="H404" s="238" t="s">
        <v>19</v>
      </c>
      <c r="I404" s="270">
        <f ca="1">ROUND(VLOOKUP($H404,$AJ$4:$AN$13,2,0)*$Q404*1.51,2)</f>
        <v>71.349999999999994</v>
      </c>
      <c r="J404" s="270">
        <f ca="1">ROUND(VLOOKUP($H404,$AJ$4:$AN$13,3,0)*$Q404*1.51,2)</f>
        <v>51.94</v>
      </c>
      <c r="K404" s="270">
        <f ca="1">ROUND(VLOOKUP($H404,$AJ$4:$AN$13,4,0)*$Q404*1.51,2)</f>
        <v>26.54</v>
      </c>
      <c r="L404" s="270"/>
      <c r="M404" s="270">
        <f ca="1">ROUND(VLOOKUP($H404,$AJ$4:$AN$13,5,0)*$Q404*1.51,2)</f>
        <v>1.43</v>
      </c>
      <c r="N404" s="270"/>
      <c r="P404" s="230">
        <f t="shared" si="163"/>
        <v>0</v>
      </c>
      <c r="Q404" s="123">
        <f ca="1">IFERROR(IF(R404="","",IF(OR(R404&lt;100,R404=100),0.9,IF(OR(AND(R404&gt;100,R404&lt;150),R404=150),1,IF(R404&gt;150,1.05,"")))),"0")</f>
        <v>1.05</v>
      </c>
      <c r="R404" s="123">
        <f ca="1">N420/G408</f>
        <v>201.48000000000002</v>
      </c>
    </row>
    <row r="405" spans="1:43" x14ac:dyDescent="0.2">
      <c r="B405" s="276"/>
      <c r="C405" s="277"/>
      <c r="D405" s="277"/>
      <c r="E405" s="277"/>
      <c r="F405" s="277"/>
      <c r="G405" s="278"/>
      <c r="H405" s="238" t="s">
        <v>268</v>
      </c>
      <c r="I405" s="270">
        <f ca="1">ROUND(VLOOKUP($H405,$AJ$4:$AN$13,2,0)*$Q404*1.51,2)</f>
        <v>898.69</v>
      </c>
      <c r="J405" s="270">
        <f ca="1">ROUND(VLOOKUP($H405,$AJ$4:$AN$13,3,0)*$Q404*1.51,2)</f>
        <v>642.13</v>
      </c>
      <c r="K405" s="270">
        <f ca="1">ROUND(VLOOKUP($H405,$AJ$4:$AN$13,4,0)*$Q404*1.51,2)</f>
        <v>323.06</v>
      </c>
      <c r="L405" s="270"/>
      <c r="M405" s="270">
        <f ca="1">ROUND(VLOOKUP($H405,$AJ$4:$AN$13,5,0)*$Q404*1.51,2)</f>
        <v>27.97</v>
      </c>
      <c r="N405" s="270"/>
    </row>
    <row r="406" spans="1:43" x14ac:dyDescent="0.2">
      <c r="B406" s="276"/>
      <c r="C406" s="277"/>
      <c r="D406" s="277"/>
      <c r="E406" s="277"/>
      <c r="F406" s="277"/>
      <c r="G406" s="278"/>
      <c r="H406" s="238" t="s">
        <v>40</v>
      </c>
      <c r="I406" s="270">
        <f ca="1">ROUND(VLOOKUP($H406,$AJ$4:$AN$13,2,0)*$Q404*1.51,2)</f>
        <v>71.349999999999994</v>
      </c>
      <c r="J406" s="270">
        <f ca="1">ROUND(VLOOKUP($H406,$AJ$4:$AN$13,3,0)*$Q404*1.51,2)</f>
        <v>51.94</v>
      </c>
      <c r="K406" s="270">
        <f ca="1">ROUND(VLOOKUP($H406,$AJ$4:$AN$13,4,0)*$Q404*1.51,2)</f>
        <v>26.54</v>
      </c>
      <c r="L406" s="270"/>
      <c r="M406" s="270">
        <f ca="1">ROUND(VLOOKUP($H406,$AJ$4:$AN$13,5,0)*$Q404*1.51,2)</f>
        <v>1.43</v>
      </c>
      <c r="N406" s="270"/>
      <c r="P406" s="230">
        <f t="shared" ref="P406:P419" si="164">IF(A406&gt;0,1,0)</f>
        <v>0</v>
      </c>
    </row>
    <row r="407" spans="1:43" x14ac:dyDescent="0.2">
      <c r="B407" s="279"/>
      <c r="C407" s="280"/>
      <c r="D407" s="280"/>
      <c r="E407" s="280"/>
      <c r="F407" s="280"/>
      <c r="G407" s="281"/>
      <c r="H407" s="238" t="s">
        <v>18</v>
      </c>
      <c r="I407" s="270">
        <f ca="1">ROUND(VLOOKUP($H407,$AJ$4:$AN$13,2,0)*$Q404*1.51,2)</f>
        <v>22.83</v>
      </c>
      <c r="J407" s="270">
        <f ca="1">ROUND(VLOOKUP($H407,$AJ$4:$AN$13,3,0)*$Q404*1.51,2)</f>
        <v>17.41</v>
      </c>
      <c r="K407" s="270">
        <f ca="1">ROUND(VLOOKUP($H407,$AJ$4:$AN$13,4,0)*$Q404*1.51,2)</f>
        <v>8.85</v>
      </c>
      <c r="L407" s="270"/>
      <c r="M407" s="270">
        <f ca="1">ROUND(VLOOKUP($H407,$AJ$4:$AN$13,5,0)*$Q404*1.51*1,2)</f>
        <v>0.56999999999999995</v>
      </c>
      <c r="N407" s="270"/>
      <c r="P407" s="230">
        <f t="shared" si="164"/>
        <v>0</v>
      </c>
      <c r="AP407" s="241" t="s">
        <v>2053</v>
      </c>
      <c r="AQ407" s="242"/>
    </row>
    <row r="408" spans="1:43" x14ac:dyDescent="0.2">
      <c r="A408" s="224">
        <f>A353+37</f>
        <v>259</v>
      </c>
      <c r="B408" s="243" t="str">
        <f ca="1">OFFSET(ЛОТЫ!$L$5,A408,0,1,1)</f>
        <v>Вишнево-Полянское</v>
      </c>
      <c r="C408" s="244" t="s">
        <v>474</v>
      </c>
      <c r="D408" s="243">
        <f ca="1">OFFSET(ЛОТЫ!$M$5,A408,0,1,1)</f>
        <v>33</v>
      </c>
      <c r="E408" s="243">
        <f ca="1">OFFSET(ЛОТЫ!$N$5,A408,0,1,1)</f>
        <v>4</v>
      </c>
      <c r="F408" s="243">
        <f ca="1">OFFSET(ЛОТЫ!$O$5,A408,0,1,1)</f>
        <v>1</v>
      </c>
      <c r="G408" s="271">
        <f ca="1">IFERROR(INDEX('Ведомость расчета мин. платы'!$G$10:$AC$214,MATCH(CONCATENATE(B408,"/",D408,"/",E408,"/",F408),'Ведомость расчета мин. платы'!$AC$10:$AC$214,0),1),"")</f>
        <v>6</v>
      </c>
      <c r="H408" s="246" t="s">
        <v>17</v>
      </c>
      <c r="I408" s="247">
        <f ca="1">IFERROR(INDEX('Ведомость расчета мин. платы'!$J$10:$AE$214,MATCH(CONCATENATE(РАСЧЕТ!B408,"/",РАСЧЕТ!D408,"/",РАСЧЕТ!E408,"/",F408,"/",H408),'Ведомость расчета мин. платы'!$AE$10:$AE$214,0),2),"")</f>
        <v>49.6</v>
      </c>
      <c r="J408" s="247">
        <f ca="1">IFERROR(INDEX('Ведомость расчета мин. платы'!$J$10:$AE$214,MATCH(CONCATENATE(РАСЧЕТ!B408,"/",РАСЧЕТ!D408,"/",РАСЧЕТ!E408,"/",F408,"/",H408),'Ведомость расчета мин. платы'!$AE$10:$AE$214,0),3),"")</f>
        <v>116</v>
      </c>
      <c r="K408" s="247">
        <f ca="1">IFERROR(INDEX('Ведомость расчета мин. платы'!$J$10:$AE$214,MATCH(CONCATENATE(РАСЧЕТ!B408,"/",РАСЧЕТ!D408,"/",РАСЧЕТ!E408,"/",F408,"/",H408),'Ведомость расчета мин. платы'!$AE$10:$AE$214,0),4),"")</f>
        <v>40.200000000000003</v>
      </c>
      <c r="L408" s="248">
        <f t="shared" ref="L408:L420" ca="1" si="165">IFERROR(SUM(I408:K408),"")</f>
        <v>205.8</v>
      </c>
      <c r="M408" s="214">
        <f ca="1">IFERROR(INDEX('Ведомость расчета мин. платы'!$J$10:$AE$214,MATCH(CONCATENATE(РАСЧЕТ!B408,"/",РАСЧЕТ!D408,"/",РАСЧЕТ!E408,"/",F408,"/",H408),'Ведомость расчета мин. платы'!$AE$10:$AE$214,0),6),"")</f>
        <v>147.9</v>
      </c>
      <c r="N408" s="214">
        <f t="shared" ref="N408:N420" ca="1" si="166">IFERROR(SUM(L408:M408),"")</f>
        <v>353.70000000000005</v>
      </c>
      <c r="O408" s="229">
        <f>IF(H408="стоимость","",1)</f>
        <v>1</v>
      </c>
      <c r="P408" s="230">
        <f t="shared" si="164"/>
        <v>1</v>
      </c>
      <c r="AP408" s="242"/>
      <c r="AQ408" s="242"/>
    </row>
    <row r="409" spans="1:43" x14ac:dyDescent="0.2">
      <c r="B409" s="249"/>
      <c r="C409" s="249"/>
      <c r="D409" s="249"/>
      <c r="E409" s="249"/>
      <c r="F409" s="249"/>
      <c r="G409" s="249"/>
      <c r="H409" s="250" t="s">
        <v>475</v>
      </c>
      <c r="I409" s="251">
        <f ca="1">IFERROR(ROUND(I408*I402,2),"")</f>
        <v>5959.44</v>
      </c>
      <c r="J409" s="251">
        <f t="shared" ref="J409" ca="1" si="167">IFERROR(ROUND(J408*J402,2),"")</f>
        <v>9931.92</v>
      </c>
      <c r="K409" s="251">
        <f t="shared" ref="K409" ca="1" si="168">IFERROR(ROUND(K408*K402,2),"")</f>
        <v>1743.88</v>
      </c>
      <c r="L409" s="251">
        <f t="shared" ca="1" si="165"/>
        <v>17635.240000000002</v>
      </c>
      <c r="M409" s="251">
        <v>1013.1299999999984</v>
      </c>
      <c r="N409" s="252">
        <f t="shared" ca="1" si="166"/>
        <v>18648.37</v>
      </c>
      <c r="O409" s="229" t="str">
        <f t="shared" ref="O409:O419" si="169">IF(H409="стоимость","",1)</f>
        <v/>
      </c>
      <c r="P409" s="230">
        <f t="shared" si="164"/>
        <v>0</v>
      </c>
      <c r="AP409" s="242">
        <f ca="1">SUMIFS('Ведомость расчета мин. платы'!$S$10:$S$209,'Ведомость расчета мин. платы'!$AE$10:$AE$209,CONCATENATE(B408,"/",D408,"/",E408,"/",F408,"/",H408))</f>
        <v>18648.37</v>
      </c>
      <c r="AQ409" s="253">
        <f t="shared" ref="AQ409" ca="1" si="170">AP409-N409</f>
        <v>0</v>
      </c>
    </row>
    <row r="410" spans="1:43" x14ac:dyDescent="0.2">
      <c r="B410" s="249"/>
      <c r="C410" s="249"/>
      <c r="D410" s="249"/>
      <c r="E410" s="249"/>
      <c r="F410" s="249"/>
      <c r="G410" s="249"/>
      <c r="H410" s="246" t="s">
        <v>25</v>
      </c>
      <c r="I410" s="247" t="str">
        <f ca="1">IFERROR(INDEX('Ведомость расчета мин. платы'!$J$10:$AE$214,MATCH(CONCATENATE(РАСЧЕТ!B408,"/",РАСЧЕТ!D408,"/",РАСЧЕТ!E408,"/",F408,"/",H410),'Ведомость расчета мин. платы'!$AE$10:$AE$214,0),2),"")</f>
        <v/>
      </c>
      <c r="J410" s="247" t="str">
        <f ca="1">IFERROR(INDEX('Ведомость расчета мин. платы'!$J$10:$AE$214,MATCH(CONCATENATE(РАСЧЕТ!B408,"/",РАСЧЕТ!D408,"/",РАСЧЕТ!E408,"/",F408,"/",H410),'Ведомость расчета мин. платы'!$AE$10:$AE$214,0),3),"")</f>
        <v/>
      </c>
      <c r="K410" s="247" t="str">
        <f ca="1">IFERROR(INDEX('Ведомость расчета мин. платы'!$J$10:$AE$214,MATCH(CONCATENATE(РАСЧЕТ!B408,"/",РАСЧЕТ!D408,"/",РАСЧЕТ!E408,"/",F408,"/",H410),'Ведомость расчета мин. платы'!$AE$10:$AE$214,0),4),"")</f>
        <v/>
      </c>
      <c r="L410" s="248">
        <f t="shared" ca="1" si="165"/>
        <v>0</v>
      </c>
      <c r="M410" s="214">
        <v>0</v>
      </c>
      <c r="N410" s="214">
        <f t="shared" ca="1" si="166"/>
        <v>0</v>
      </c>
      <c r="O410" s="229">
        <f t="shared" si="169"/>
        <v>1</v>
      </c>
      <c r="P410" s="230">
        <f t="shared" si="164"/>
        <v>0</v>
      </c>
      <c r="AP410" s="242"/>
      <c r="AQ410" s="253"/>
    </row>
    <row r="411" spans="1:43" x14ac:dyDescent="0.2">
      <c r="B411" s="249"/>
      <c r="C411" s="249"/>
      <c r="D411" s="249"/>
      <c r="E411" s="249"/>
      <c r="F411" s="249"/>
      <c r="G411" s="249"/>
      <c r="H411" s="250" t="s">
        <v>475</v>
      </c>
      <c r="I411" s="251" t="str">
        <f ca="1">IFERROR(ROUND(I410*I403,2),"")</f>
        <v/>
      </c>
      <c r="J411" s="251" t="str">
        <f t="shared" ref="J411" ca="1" si="171">IFERROR(ROUND(J410*J403,2),"")</f>
        <v/>
      </c>
      <c r="K411" s="251" t="str">
        <f t="shared" ref="K411" ca="1" si="172">IFERROR(ROUND(K410*K403,2),"")</f>
        <v/>
      </c>
      <c r="L411" s="251">
        <f t="shared" ca="1" si="165"/>
        <v>0</v>
      </c>
      <c r="M411" s="251">
        <v>0</v>
      </c>
      <c r="N411" s="252">
        <f t="shared" ca="1" si="166"/>
        <v>0</v>
      </c>
      <c r="O411" s="229" t="str">
        <f t="shared" si="169"/>
        <v/>
      </c>
      <c r="P411" s="230">
        <f t="shared" si="164"/>
        <v>0</v>
      </c>
      <c r="AP411" s="242">
        <f ca="1">SUMIFS('Ведомость расчета мин. платы'!$S$10:$S$209,'Ведомость расчета мин. платы'!$AE$10:$AE$209,CONCATENATE(B408,"/",D408,"/",E408,"/",F408,"/",H410))</f>
        <v>0</v>
      </c>
      <c r="AQ411" s="253">
        <f t="shared" ref="AQ411" ca="1" si="173">AP411-N411</f>
        <v>0</v>
      </c>
    </row>
    <row r="412" spans="1:43" x14ac:dyDescent="0.2">
      <c r="B412" s="249"/>
      <c r="C412" s="249"/>
      <c r="D412" s="249"/>
      <c r="E412" s="249"/>
      <c r="F412" s="249"/>
      <c r="G412" s="249"/>
      <c r="H412" s="205" t="s">
        <v>19</v>
      </c>
      <c r="I412" s="248">
        <f ca="1">IFERROR(INDEX('Ведомость расчета мин. платы'!$J$10:$AE$214,MATCH(CONCATENATE(РАСЧЕТ!B408,"/",РАСЧЕТ!D408,"/",РАСЧЕТ!E408,"/",F408,"/",H412),'Ведомость расчета мин. платы'!$AE$10:$AE$214,0),2),"")</f>
        <v>1.38</v>
      </c>
      <c r="J412" s="248">
        <f ca="1">IFERROR(INDEX('Ведомость расчета мин. платы'!$J$10:$AE$214,MATCH(CONCATENATE(РАСЧЕТ!B408,"/",РАСЧЕТ!D408,"/",РАСЧЕТ!E408,"/",F408,"/",H412),'Ведомость расчета мин. платы'!$AE$10:$AE$214,0),3),"")</f>
        <v>42.82</v>
      </c>
      <c r="K412" s="248">
        <f ca="1">IFERROR(INDEX('Ведомость расчета мин. платы'!$J$10:$AE$214,MATCH(CONCATENATE(РАСЧЕТ!B408,"/",РАСЧЕТ!D408,"/",РАСЧЕТ!E408,"/",F408,"/",H412),'Ведомость расчета мин. платы'!$AE$10:$AE$214,0),4),"")</f>
        <v>14.85</v>
      </c>
      <c r="L412" s="248">
        <f t="shared" ca="1" si="165"/>
        <v>59.050000000000004</v>
      </c>
      <c r="M412" s="248">
        <v>86.63</v>
      </c>
      <c r="N412" s="214">
        <f t="shared" ca="1" si="166"/>
        <v>145.68</v>
      </c>
      <c r="O412" s="229">
        <f t="shared" si="169"/>
        <v>1</v>
      </c>
      <c r="P412" s="230">
        <f t="shared" si="164"/>
        <v>0</v>
      </c>
      <c r="AP412" s="242"/>
      <c r="AQ412" s="253"/>
    </row>
    <row r="413" spans="1:43" x14ac:dyDescent="0.2">
      <c r="B413" s="249"/>
      <c r="C413" s="249"/>
      <c r="D413" s="249"/>
      <c r="E413" s="249"/>
      <c r="F413" s="249"/>
      <c r="G413" s="249"/>
      <c r="H413" s="250" t="s">
        <v>475</v>
      </c>
      <c r="I413" s="251">
        <f ca="1">IFERROR(ROUND(I412*I404,2),"")</f>
        <v>98.46</v>
      </c>
      <c r="J413" s="251">
        <f t="shared" ref="J413" ca="1" si="174">IFERROR(ROUND(J412*J404,2),"")</f>
        <v>2224.0700000000002</v>
      </c>
      <c r="K413" s="251">
        <f t="shared" ref="K413" ca="1" si="175">IFERROR(ROUND(K412*K404,2),"")</f>
        <v>394.12</v>
      </c>
      <c r="L413" s="251">
        <f t="shared" ca="1" si="165"/>
        <v>2716.65</v>
      </c>
      <c r="M413" s="251">
        <v>123.88</v>
      </c>
      <c r="N413" s="252">
        <f t="shared" ca="1" si="166"/>
        <v>2840.53</v>
      </c>
      <c r="O413" s="229" t="str">
        <f t="shared" si="169"/>
        <v/>
      </c>
      <c r="P413" s="230">
        <f t="shared" si="164"/>
        <v>0</v>
      </c>
      <c r="AP413" s="242">
        <f ca="1">SUMIFS('Ведомость расчета мин. платы'!$S$10:$S$209,'Ведомость расчета мин. платы'!$AE$10:$AE$209,CONCATENATE(B408,"/",D408,"/",E408,"/",F408,"/",H412))</f>
        <v>2840.53</v>
      </c>
      <c r="AQ413" s="253">
        <f t="shared" ref="AQ413" ca="1" si="176">AP413-N413</f>
        <v>0</v>
      </c>
    </row>
    <row r="414" spans="1:43" x14ac:dyDescent="0.2">
      <c r="B414" s="249"/>
      <c r="C414" s="249"/>
      <c r="D414" s="249"/>
      <c r="E414" s="249"/>
      <c r="F414" s="249"/>
      <c r="G414" s="249"/>
      <c r="H414" s="205" t="s">
        <v>268</v>
      </c>
      <c r="I414" s="248" t="str">
        <f ca="1">IFERROR(INDEX('Ведомость расчета мин. платы'!$J$10:$AE$214,MATCH(CONCATENATE(РАСЧЕТ!B408,"/",РАСЧЕТ!D408,"/",РАСЧЕТ!E408,"/",F408,"/",H414),'Ведомость расчета мин. платы'!$AE$10:$AE$214,0),2),"")</f>
        <v/>
      </c>
      <c r="J414" s="248" t="str">
        <f ca="1">IFERROR(INDEX('Ведомость расчета мин. платы'!$J$10:$AE$214,MATCH(CONCATENATE(РАСЧЕТ!B408,"/",РАСЧЕТ!D408,"/",РАСЧЕТ!E408,"/",F408,"/",H414),'Ведомость расчета мин. платы'!$AE$10:$AE$214,0),3),"")</f>
        <v/>
      </c>
      <c r="K414" s="248" t="str">
        <f ca="1">IFERROR(INDEX('Ведомость расчета мин. платы'!$J$10:$AE$214,MATCH(CONCATENATE(РАСЧЕТ!B408,"/",РАСЧЕТ!D408,"/",РАСЧЕТ!E408,"/",F408,"/",H414),'Ведомость расчета мин. платы'!$AE$10:$AE$214,0),4),"")</f>
        <v/>
      </c>
      <c r="L414" s="248">
        <f t="shared" ca="1" si="165"/>
        <v>0</v>
      </c>
      <c r="M414" s="248">
        <v>0</v>
      </c>
      <c r="N414" s="214">
        <f t="shared" ca="1" si="166"/>
        <v>0</v>
      </c>
      <c r="O414" s="229">
        <f t="shared" si="169"/>
        <v>1</v>
      </c>
      <c r="P414" s="230">
        <f t="shared" si="164"/>
        <v>0</v>
      </c>
      <c r="AP414" s="242"/>
      <c r="AQ414" s="253"/>
    </row>
    <row r="415" spans="1:43" x14ac:dyDescent="0.2">
      <c r="B415" s="249"/>
      <c r="C415" s="249"/>
      <c r="D415" s="249"/>
      <c r="E415" s="249"/>
      <c r="F415" s="249"/>
      <c r="G415" s="249"/>
      <c r="H415" s="250" t="s">
        <v>475</v>
      </c>
      <c r="I415" s="251" t="str">
        <f ca="1">IFERROR(ROUND(I414*I407,2),"")</f>
        <v/>
      </c>
      <c r="J415" s="251" t="str">
        <f ca="1">IFERROR(ROUND(J414*J405,2),"")</f>
        <v/>
      </c>
      <c r="K415" s="251" t="str">
        <f ca="1">IFERROR(ROUND(K414*K405,2),"")</f>
        <v/>
      </c>
      <c r="L415" s="251">
        <f t="shared" ca="1" si="165"/>
        <v>0</v>
      </c>
      <c r="M415" s="251">
        <v>0</v>
      </c>
      <c r="N415" s="252">
        <f t="shared" ca="1" si="166"/>
        <v>0</v>
      </c>
      <c r="O415" s="229" t="str">
        <f t="shared" si="169"/>
        <v/>
      </c>
      <c r="P415" s="230">
        <f t="shared" si="164"/>
        <v>0</v>
      </c>
      <c r="AP415" s="242">
        <f ca="1">SUMIFS('Ведомость расчета мин. платы'!$S$10:$S$209,'Ведомость расчета мин. платы'!$AE$10:$AE$209,CONCATENATE(B408,"/",D408,"/",E408,"/",F408,"/",H414))</f>
        <v>0</v>
      </c>
      <c r="AQ415" s="253">
        <f t="shared" ref="AQ415" ca="1" si="177">AP415-N415</f>
        <v>0</v>
      </c>
    </row>
    <row r="416" spans="1:43" x14ac:dyDescent="0.2">
      <c r="B416" s="249"/>
      <c r="C416" s="249"/>
      <c r="D416" s="249"/>
      <c r="E416" s="249"/>
      <c r="F416" s="249"/>
      <c r="G416" s="249"/>
      <c r="H416" s="205" t="s">
        <v>40</v>
      </c>
      <c r="I416" s="248" t="str">
        <f ca="1">IFERROR(INDEX('Ведомость расчета мин. платы'!$J$10:$AE$214,MATCH(CONCATENATE(РАСЧЕТ!B408,"/",РАСЧЕТ!D408,"/",РАСЧЕТ!E408,"/",F408,"/",H416),'Ведомость расчета мин. платы'!$AE$10:$AE$214,0),2),"")</f>
        <v/>
      </c>
      <c r="J416" s="248" t="str">
        <f ca="1">IFERROR(INDEX('Ведомость расчета мин. платы'!$J$10:$AE$214,MATCH(CONCATENATE(РАСЧЕТ!B408,"/",РАСЧЕТ!D408,"/",РАСЧЕТ!E408,"/",F408,"/",H416),'Ведомость расчета мин. платы'!$AE$10:$AE$214,0),3),"")</f>
        <v/>
      </c>
      <c r="K416" s="248" t="str">
        <f ca="1">IFERROR(INDEX('Ведомость расчета мин. платы'!$J$10:$AE$214,MATCH(CONCATENATE(РАСЧЕТ!B408,"/",РАСЧЕТ!D408,"/",РАСЧЕТ!E408,"/",F408,"/",H416),'Ведомость расчета мин. платы'!$AE$10:$AE$214,0),4),"")</f>
        <v/>
      </c>
      <c r="L416" s="248">
        <f t="shared" ca="1" si="165"/>
        <v>0</v>
      </c>
      <c r="M416" s="248">
        <v>0</v>
      </c>
      <c r="N416" s="214">
        <f t="shared" ca="1" si="166"/>
        <v>0</v>
      </c>
      <c r="O416" s="229">
        <f t="shared" si="169"/>
        <v>1</v>
      </c>
      <c r="P416" s="230">
        <f t="shared" si="164"/>
        <v>0</v>
      </c>
      <c r="AP416" s="242"/>
      <c r="AQ416" s="253"/>
    </row>
    <row r="417" spans="2:43" x14ac:dyDescent="0.2">
      <c r="B417" s="249"/>
      <c r="C417" s="249"/>
      <c r="D417" s="249"/>
      <c r="E417" s="249"/>
      <c r="F417" s="249"/>
      <c r="G417" s="249"/>
      <c r="H417" s="250" t="s">
        <v>475</v>
      </c>
      <c r="I417" s="251" t="str">
        <f ca="1">IFERROR(ROUND(I416*I406,2),"")</f>
        <v/>
      </c>
      <c r="J417" s="251" t="str">
        <f t="shared" ref="J417" ca="1" si="178">IFERROR(ROUND(J416*J406,2),"")</f>
        <v/>
      </c>
      <c r="K417" s="251" t="str">
        <f t="shared" ref="K417" ca="1" si="179">IFERROR(ROUND(K416*K406,2),"")</f>
        <v/>
      </c>
      <c r="L417" s="251">
        <f t="shared" ca="1" si="165"/>
        <v>0</v>
      </c>
      <c r="M417" s="251">
        <v>0</v>
      </c>
      <c r="N417" s="252">
        <f t="shared" ca="1" si="166"/>
        <v>0</v>
      </c>
      <c r="O417" s="229" t="str">
        <f t="shared" si="169"/>
        <v/>
      </c>
      <c r="P417" s="230">
        <f t="shared" si="164"/>
        <v>0</v>
      </c>
      <c r="AP417" s="242">
        <f ca="1">SUMIFS('Ведомость расчета мин. платы'!$S$10:$S$209,'Ведомость расчета мин. платы'!$AE$10:$AE$209,CONCATENATE(B408,"/",D408,"/",E408,"/",F408,"/",H416))</f>
        <v>0</v>
      </c>
      <c r="AQ417" s="253">
        <f t="shared" ref="AQ417" ca="1" si="180">AP417-N417</f>
        <v>0</v>
      </c>
    </row>
    <row r="418" spans="2:43" x14ac:dyDescent="0.2">
      <c r="B418" s="249"/>
      <c r="C418" s="249"/>
      <c r="D418" s="249"/>
      <c r="E418" s="249"/>
      <c r="F418" s="249"/>
      <c r="G418" s="249"/>
      <c r="H418" s="205" t="s">
        <v>18</v>
      </c>
      <c r="I418" s="248">
        <f ca="1">IFERROR(INDEX('Ведомость расчета мин. платы'!$J$10:$AE$214,MATCH(CONCATENATE(РАСЧЕТ!B408,"/",РАСЧЕТ!D408,"/",РАСЧЕТ!E408,"/",F408,"/",H418),'Ведомость расчета мин. платы'!$AE$10:$AE$214,0),2),"")</f>
        <v>253.2</v>
      </c>
      <c r="J418" s="248">
        <f ca="1">IFERROR(INDEX('Ведомость расчета мин. платы'!$J$10:$AE$214,MATCH(CONCATENATE(РАСЧЕТ!B408,"/",РАСЧЕТ!D408,"/",РАСЧЕТ!E408,"/",F408,"/",H418),'Ведомость расчета мин. платы'!$AE$10:$AE$214,0),3),"")</f>
        <v>207.4</v>
      </c>
      <c r="K418" s="248">
        <f ca="1">IFERROR(INDEX('Ведомость расчета мин. платы'!$J$10:$AE$214,MATCH(CONCATENATE(РАСЧЕТ!B408,"/",РАСЧЕТ!D408,"/",РАСЧЕТ!E408,"/",F408,"/",H418),'Ведомость расчета мин. платы'!$AE$10:$AE$214,0),4),"")</f>
        <v>9</v>
      </c>
      <c r="L418" s="248">
        <f t="shared" ca="1" si="165"/>
        <v>469.6</v>
      </c>
      <c r="M418" s="248">
        <v>239.9</v>
      </c>
      <c r="N418" s="214">
        <f t="shared" ca="1" si="166"/>
        <v>709.5</v>
      </c>
      <c r="O418" s="229">
        <f t="shared" si="169"/>
        <v>1</v>
      </c>
      <c r="P418" s="230">
        <f t="shared" si="164"/>
        <v>0</v>
      </c>
      <c r="AP418" s="242"/>
      <c r="AQ418" s="253"/>
    </row>
    <row r="419" spans="2:43" x14ac:dyDescent="0.2">
      <c r="B419" s="249"/>
      <c r="C419" s="249"/>
      <c r="D419" s="249"/>
      <c r="E419" s="249"/>
      <c r="F419" s="249"/>
      <c r="G419" s="249"/>
      <c r="H419" s="250" t="s">
        <v>475</v>
      </c>
      <c r="I419" s="251">
        <f ca="1">IFERROR(ROUND(I418*I407,2),"")</f>
        <v>5780.56</v>
      </c>
      <c r="J419" s="251">
        <f t="shared" ref="J419" ca="1" si="181">IFERROR(ROUND(J418*J407,2),"")</f>
        <v>3610.83</v>
      </c>
      <c r="K419" s="251">
        <f t="shared" ref="K419" ca="1" si="182">IFERROR(ROUND(K418*K407,2),"")</f>
        <v>79.650000000000006</v>
      </c>
      <c r="L419" s="251">
        <f t="shared" ca="1" si="165"/>
        <v>9471.0399999999991</v>
      </c>
      <c r="M419" s="251">
        <v>136.75000000000205</v>
      </c>
      <c r="N419" s="252">
        <f t="shared" ca="1" si="166"/>
        <v>9607.7900000000009</v>
      </c>
      <c r="O419" s="229" t="str">
        <f t="shared" si="169"/>
        <v/>
      </c>
      <c r="P419" s="230">
        <f t="shared" si="164"/>
        <v>0</v>
      </c>
      <c r="AP419" s="242">
        <f ca="1">SUMIFS('Ведомость расчета мин. платы'!$S$10:$S$209,'Ведомость расчета мин. платы'!$AE$10:$AE$209,CONCATENATE(B408,"/",D408,"/",E408,"/",F408,"/",H418))</f>
        <v>9607.7900000000009</v>
      </c>
      <c r="AQ419" s="253">
        <f t="shared" ref="AQ419" ca="1" si="183">AP419-N419</f>
        <v>0</v>
      </c>
    </row>
    <row r="420" spans="2:43" x14ac:dyDescent="0.2">
      <c r="B420" s="249"/>
      <c r="C420" s="249"/>
      <c r="D420" s="249"/>
      <c r="E420" s="249"/>
      <c r="F420" s="249"/>
      <c r="G420" s="249"/>
      <c r="H420" s="254" t="s">
        <v>476</v>
      </c>
      <c r="I420" s="251">
        <f ca="1">SUMIF($O408:$O421,1,I408:I419)</f>
        <v>304.18</v>
      </c>
      <c r="J420" s="251">
        <f ca="1">SUMIF($O408:$O421,1,J408:J419)</f>
        <v>366.22</v>
      </c>
      <c r="K420" s="251">
        <f ca="1">SUMIF($O408:$O421,1,K408:K419)</f>
        <v>64.050000000000011</v>
      </c>
      <c r="L420" s="251">
        <f t="shared" ca="1" si="165"/>
        <v>734.45</v>
      </c>
      <c r="M420" s="251">
        <f ca="1">SUMIF($O408:$O421,1,M408:M419)</f>
        <v>474.43</v>
      </c>
      <c r="N420" s="252">
        <f t="shared" ca="1" si="166"/>
        <v>1208.8800000000001</v>
      </c>
      <c r="AP420" s="242"/>
      <c r="AQ420" s="253"/>
    </row>
    <row r="421" spans="2:43" x14ac:dyDescent="0.2">
      <c r="B421" s="249"/>
      <c r="C421" s="249"/>
      <c r="D421" s="249"/>
      <c r="E421" s="249"/>
      <c r="F421" s="249"/>
      <c r="G421" s="249"/>
      <c r="H421" s="254" t="s">
        <v>491</v>
      </c>
      <c r="I421" s="251">
        <f ca="1">SUMIF(H408:H419,"стоимость",I408:I419)</f>
        <v>11838.46</v>
      </c>
      <c r="J421" s="251">
        <f ca="1">SUMIF(H408:H419,"стоимость",J408:J419)</f>
        <v>15766.82</v>
      </c>
      <c r="K421" s="251">
        <f ca="1">SUMIF(H408:H419,"стоимость",K408:K419)</f>
        <v>2217.65</v>
      </c>
      <c r="L421" s="251">
        <f ca="1">IFERROR(SUM(I421:K421),"")</f>
        <v>29822.93</v>
      </c>
      <c r="M421" s="251">
        <f>SUMIF(H408:H419,"стоимость",M408:M419)</f>
        <v>1273.7600000000004</v>
      </c>
      <c r="N421" s="252">
        <f ca="1">IFERROR(SUM(L421:M421),"")</f>
        <v>31096.690000000002</v>
      </c>
      <c r="AP421" s="242">
        <f ca="1">SUMIFS('Ведомость расчета мин. платы'!$S$10:$S$209,'Ведомость расчета мин. платы'!$J$10:$J$209,"Итого",'Ведомость расчета мин. платы'!$AC$10:$AC$209,CONCATENATE(B408,"/",D408,"/",E408,"/",F408))</f>
        <v>31096.69</v>
      </c>
      <c r="AQ421" s="253">
        <f ca="1">AP421-N421</f>
        <v>0</v>
      </c>
    </row>
    <row r="422" spans="2:43" x14ac:dyDescent="0.2">
      <c r="B422" s="255"/>
      <c r="C422" s="255"/>
      <c r="D422" s="255"/>
      <c r="E422" s="255"/>
      <c r="F422" s="255"/>
      <c r="G422" s="256"/>
      <c r="H422" s="257"/>
      <c r="I422" s="258"/>
      <c r="J422" s="258"/>
      <c r="K422" s="258"/>
      <c r="L422" s="258"/>
      <c r="M422" s="258"/>
      <c r="N422" s="258"/>
      <c r="P422" s="230">
        <f t="shared" ref="P422:P440" si="184">IF(A422&gt;0,1,0)</f>
        <v>0</v>
      </c>
    </row>
    <row r="423" spans="2:43" x14ac:dyDescent="0.2">
      <c r="B423" s="282" t="s">
        <v>477</v>
      </c>
      <c r="C423" s="282"/>
      <c r="D423" s="282"/>
      <c r="E423" s="282"/>
      <c r="F423" s="259"/>
      <c r="G423" s="225"/>
      <c r="H423" s="201"/>
      <c r="I423" s="226"/>
      <c r="J423" s="258"/>
      <c r="K423" s="258"/>
      <c r="L423" s="258"/>
      <c r="M423" s="258"/>
      <c r="N423" s="258"/>
      <c r="P423" s="230">
        <f t="shared" si="184"/>
        <v>0</v>
      </c>
    </row>
    <row r="424" spans="2:43" x14ac:dyDescent="0.2">
      <c r="B424" s="283" t="s">
        <v>525</v>
      </c>
      <c r="C424" s="283"/>
      <c r="D424" s="283"/>
      <c r="E424" s="283"/>
      <c r="F424" s="283"/>
      <c r="G424" s="283"/>
      <c r="H424" s="283"/>
      <c r="I424" s="283"/>
      <c r="J424" s="261"/>
      <c r="K424" s="261"/>
      <c r="L424" s="261"/>
      <c r="M424" s="261"/>
      <c r="N424" s="261"/>
      <c r="P424" s="230">
        <f t="shared" si="184"/>
        <v>0</v>
      </c>
    </row>
    <row r="425" spans="2:43" x14ac:dyDescent="0.2">
      <c r="B425" s="284" t="s">
        <v>478</v>
      </c>
      <c r="C425" s="284"/>
      <c r="D425" s="284"/>
      <c r="E425" s="284"/>
      <c r="F425" s="284"/>
      <c r="G425" s="284"/>
      <c r="H425" s="284"/>
      <c r="I425" s="284"/>
      <c r="J425" s="258"/>
      <c r="K425" s="258"/>
      <c r="L425" s="258"/>
      <c r="M425" s="258"/>
      <c r="N425" s="258"/>
      <c r="P425" s="230">
        <f t="shared" si="184"/>
        <v>0</v>
      </c>
    </row>
    <row r="426" spans="2:43" x14ac:dyDescent="0.2">
      <c r="B426" s="284" t="s">
        <v>479</v>
      </c>
      <c r="C426" s="284"/>
      <c r="D426" s="284"/>
      <c r="E426" s="284"/>
      <c r="F426" s="284"/>
      <c r="G426" s="284"/>
      <c r="H426" s="284"/>
      <c r="I426" s="284"/>
      <c r="J426" s="258"/>
      <c r="K426" s="258"/>
      <c r="L426" s="258"/>
      <c r="M426" s="258"/>
      <c r="N426" s="258"/>
      <c r="P426" s="230">
        <f t="shared" si="184"/>
        <v>0</v>
      </c>
    </row>
    <row r="427" spans="2:43" x14ac:dyDescent="0.2">
      <c r="B427" s="284" t="s">
        <v>480</v>
      </c>
      <c r="C427" s="284"/>
      <c r="D427" s="284"/>
      <c r="E427" s="284"/>
      <c r="F427" s="284"/>
      <c r="G427" s="284"/>
      <c r="H427" s="284"/>
      <c r="I427" s="284"/>
      <c r="J427" s="258"/>
      <c r="K427" s="258"/>
      <c r="L427" s="258"/>
      <c r="M427" s="258"/>
      <c r="N427" s="258"/>
      <c r="P427" s="230">
        <f t="shared" si="184"/>
        <v>0</v>
      </c>
    </row>
    <row r="428" spans="2:43" x14ac:dyDescent="0.2">
      <c r="B428" s="284" t="s">
        <v>481</v>
      </c>
      <c r="C428" s="284"/>
      <c r="D428" s="284"/>
      <c r="E428" s="284"/>
      <c r="F428" s="284"/>
      <c r="G428" s="284"/>
      <c r="H428" s="284"/>
      <c r="I428" s="284"/>
      <c r="J428" s="226"/>
      <c r="K428" s="226"/>
      <c r="L428" s="226"/>
      <c r="M428" s="226"/>
      <c r="N428" s="226"/>
      <c r="P428" s="230">
        <f t="shared" si="184"/>
        <v>0</v>
      </c>
    </row>
    <row r="429" spans="2:43" x14ac:dyDescent="0.2">
      <c r="B429" s="284" t="s">
        <v>482</v>
      </c>
      <c r="C429" s="284"/>
      <c r="D429" s="284"/>
      <c r="E429" s="284"/>
      <c r="F429" s="284"/>
      <c r="G429" s="284"/>
      <c r="H429" s="284"/>
      <c r="I429" s="284"/>
      <c r="J429" s="226"/>
      <c r="K429" s="226"/>
      <c r="L429" s="226"/>
      <c r="M429" s="226"/>
      <c r="N429" s="226"/>
      <c r="P429" s="230">
        <f t="shared" si="184"/>
        <v>0</v>
      </c>
    </row>
    <row r="430" spans="2:43" x14ac:dyDescent="0.2">
      <c r="B430" s="284" t="s">
        <v>483</v>
      </c>
      <c r="C430" s="284"/>
      <c r="D430" s="284"/>
      <c r="E430" s="284"/>
      <c r="F430" s="284"/>
      <c r="G430" s="284"/>
      <c r="H430" s="284"/>
      <c r="I430" s="284"/>
      <c r="J430" s="226"/>
      <c r="K430" s="226"/>
      <c r="L430" s="226"/>
      <c r="M430" s="226"/>
      <c r="N430" s="226"/>
      <c r="P430" s="230">
        <f t="shared" si="184"/>
        <v>0</v>
      </c>
    </row>
    <row r="431" spans="2:43" x14ac:dyDescent="0.2">
      <c r="B431" s="284" t="s">
        <v>484</v>
      </c>
      <c r="C431" s="284"/>
      <c r="D431" s="284"/>
      <c r="E431" s="284"/>
      <c r="F431" s="284"/>
      <c r="G431" s="284"/>
      <c r="H431" s="284"/>
      <c r="I431" s="284"/>
      <c r="J431" s="226"/>
      <c r="K431" s="226"/>
      <c r="L431" s="226"/>
      <c r="M431" s="226"/>
      <c r="N431" s="226"/>
      <c r="P431" s="230">
        <f t="shared" si="184"/>
        <v>0</v>
      </c>
    </row>
    <row r="432" spans="2:43" x14ac:dyDescent="0.2">
      <c r="B432" s="264"/>
      <c r="C432" s="264"/>
      <c r="D432" s="264"/>
      <c r="E432" s="264"/>
      <c r="F432" s="264"/>
      <c r="G432" s="264"/>
      <c r="H432" s="264"/>
      <c r="I432" s="265"/>
      <c r="J432" s="226"/>
      <c r="K432" s="226"/>
      <c r="L432" s="226"/>
      <c r="M432" s="226"/>
      <c r="N432" s="226"/>
      <c r="P432" s="230">
        <f t="shared" si="184"/>
        <v>0</v>
      </c>
    </row>
    <row r="433" spans="1:16" x14ac:dyDescent="0.2">
      <c r="B433" s="225" t="s">
        <v>485</v>
      </c>
      <c r="C433" s="225"/>
      <c r="D433" s="225"/>
      <c r="E433" s="225"/>
      <c r="F433" s="225"/>
      <c r="G433" s="225"/>
      <c r="H433" s="201"/>
      <c r="I433" s="226"/>
      <c r="J433" s="226" t="s">
        <v>486</v>
      </c>
      <c r="K433" s="226"/>
      <c r="L433" s="226"/>
      <c r="M433" s="226"/>
      <c r="N433" s="226"/>
      <c r="P433" s="230">
        <f t="shared" si="184"/>
        <v>0</v>
      </c>
    </row>
    <row r="434" spans="1:16" x14ac:dyDescent="0.2">
      <c r="B434" s="266" t="s">
        <v>524</v>
      </c>
      <c r="C434" s="266"/>
      <c r="D434" s="225"/>
      <c r="E434" s="225"/>
      <c r="F434" s="225"/>
      <c r="G434" s="225"/>
      <c r="H434" s="201"/>
      <c r="I434" s="226"/>
      <c r="J434" s="267"/>
      <c r="K434" s="267"/>
      <c r="L434" s="267"/>
      <c r="M434" s="226"/>
      <c r="N434" s="226"/>
      <c r="P434" s="230">
        <f t="shared" si="184"/>
        <v>0</v>
      </c>
    </row>
    <row r="435" spans="1:16" x14ac:dyDescent="0.2">
      <c r="B435" s="268" t="s">
        <v>487</v>
      </c>
      <c r="C435" s="225"/>
      <c r="D435" s="225"/>
      <c r="E435" s="225"/>
      <c r="F435" s="225"/>
      <c r="G435" s="225"/>
      <c r="H435" s="201"/>
      <c r="I435" s="226"/>
      <c r="J435" s="226" t="s">
        <v>487</v>
      </c>
      <c r="K435" s="226"/>
      <c r="L435" s="226"/>
      <c r="M435" s="226"/>
      <c r="N435" s="226"/>
      <c r="P435" s="230">
        <f t="shared" si="184"/>
        <v>0</v>
      </c>
    </row>
    <row r="436" spans="1:16" x14ac:dyDescent="0.2">
      <c r="B436" s="225"/>
      <c r="C436" s="225"/>
      <c r="D436" s="225"/>
      <c r="E436" s="225"/>
      <c r="F436" s="225"/>
      <c r="G436" s="225"/>
      <c r="H436" s="201"/>
      <c r="I436" s="226"/>
      <c r="J436" s="226"/>
      <c r="K436" s="226"/>
      <c r="L436" s="226"/>
      <c r="M436" s="226"/>
      <c r="N436" s="226"/>
      <c r="P436" s="230">
        <f t="shared" si="184"/>
        <v>0</v>
      </c>
    </row>
    <row r="437" spans="1:16" x14ac:dyDescent="0.2">
      <c r="B437" s="266"/>
      <c r="C437" s="266"/>
      <c r="D437" s="225"/>
      <c r="E437" s="225"/>
      <c r="F437" s="225"/>
      <c r="G437" s="225"/>
      <c r="H437" s="201"/>
      <c r="I437" s="226"/>
      <c r="J437" s="267"/>
      <c r="K437" s="267"/>
      <c r="L437" s="267"/>
      <c r="M437" s="226"/>
      <c r="N437" s="226"/>
      <c r="P437" s="230">
        <f t="shared" si="184"/>
        <v>0</v>
      </c>
    </row>
    <row r="438" spans="1:16" x14ac:dyDescent="0.2">
      <c r="B438" s="269" t="s">
        <v>488</v>
      </c>
      <c r="C438" s="225"/>
      <c r="D438" s="225"/>
      <c r="E438" s="225"/>
      <c r="F438" s="225"/>
      <c r="G438" s="225"/>
      <c r="H438" s="201"/>
      <c r="I438" s="226"/>
      <c r="J438" s="285" t="s">
        <v>488</v>
      </c>
      <c r="K438" s="285"/>
      <c r="L438" s="285"/>
      <c r="M438" s="226"/>
      <c r="N438" s="226"/>
      <c r="P438" s="230">
        <f t="shared" si="184"/>
        <v>0</v>
      </c>
    </row>
    <row r="439" spans="1:16" x14ac:dyDescent="0.2">
      <c r="B439" s="225"/>
      <c r="C439" s="225"/>
      <c r="D439" s="225"/>
      <c r="E439" s="225"/>
      <c r="F439" s="225"/>
      <c r="G439" s="225"/>
      <c r="H439" s="201"/>
      <c r="I439" s="226"/>
      <c r="J439" s="226"/>
      <c r="K439" s="226"/>
      <c r="L439" s="226"/>
      <c r="M439" s="226"/>
      <c r="N439" s="226"/>
      <c r="P439" s="230">
        <f t="shared" si="184"/>
        <v>0</v>
      </c>
    </row>
    <row r="440" spans="1:16" x14ac:dyDescent="0.2">
      <c r="B440" s="264" t="s">
        <v>489</v>
      </c>
      <c r="C440" s="225"/>
      <c r="D440" s="225"/>
      <c r="E440" s="225"/>
      <c r="F440" s="225"/>
      <c r="G440" s="225"/>
      <c r="H440" s="201"/>
      <c r="I440" s="226"/>
      <c r="J440" s="226" t="s">
        <v>489</v>
      </c>
      <c r="K440" s="226"/>
      <c r="L440" s="226"/>
      <c r="M440" s="226"/>
      <c r="N440" s="226"/>
      <c r="P440" s="230">
        <f t="shared" si="184"/>
        <v>0</v>
      </c>
    </row>
    <row r="441" spans="1:16" x14ac:dyDescent="0.2">
      <c r="A441" s="272"/>
      <c r="B441" s="225"/>
      <c r="C441" s="225"/>
      <c r="D441" s="225"/>
      <c r="E441" s="225"/>
      <c r="F441" s="225"/>
      <c r="G441" s="225"/>
      <c r="H441" s="201"/>
      <c r="I441" s="226"/>
      <c r="J441" s="226"/>
      <c r="K441" s="226"/>
      <c r="M441" s="226"/>
      <c r="N441" s="228"/>
    </row>
    <row r="442" spans="1:16" x14ac:dyDescent="0.2">
      <c r="A442" s="260"/>
      <c r="B442" s="225"/>
      <c r="C442" s="225"/>
      <c r="D442" s="225"/>
      <c r="E442" s="225"/>
      <c r="F442" s="225"/>
      <c r="G442" s="225"/>
      <c r="H442" s="201"/>
      <c r="I442" s="226"/>
      <c r="J442" s="226"/>
      <c r="K442" s="226"/>
      <c r="M442" s="226"/>
      <c r="N442" s="228" t="s">
        <v>455</v>
      </c>
      <c r="P442" s="230">
        <f t="shared" ref="P442:P459" si="185">IF(A442&gt;0,1,0)</f>
        <v>0</v>
      </c>
    </row>
    <row r="443" spans="1:16" x14ac:dyDescent="0.2">
      <c r="B443" s="225"/>
      <c r="C443" s="225"/>
      <c r="D443" s="225"/>
      <c r="E443" s="225"/>
      <c r="F443" s="225"/>
      <c r="G443" s="225"/>
      <c r="H443" s="201"/>
      <c r="I443" s="226"/>
      <c r="J443" s="226"/>
      <c r="K443" s="226"/>
      <c r="M443" s="226"/>
      <c r="N443" s="228" t="s">
        <v>456</v>
      </c>
      <c r="P443" s="230">
        <f t="shared" si="185"/>
        <v>0</v>
      </c>
    </row>
    <row r="444" spans="1:16" x14ac:dyDescent="0.2">
      <c r="B444" s="225"/>
      <c r="C444" s="225"/>
      <c r="D444" s="225"/>
      <c r="E444" s="225"/>
      <c r="F444" s="225"/>
      <c r="G444" s="225"/>
      <c r="H444" s="201"/>
      <c r="I444" s="226"/>
      <c r="J444" s="226"/>
      <c r="K444" s="226"/>
      <c r="M444" s="226"/>
      <c r="N444" s="228" t="s">
        <v>457</v>
      </c>
      <c r="P444" s="230">
        <f t="shared" si="185"/>
        <v>0</v>
      </c>
    </row>
    <row r="445" spans="1:16" x14ac:dyDescent="0.2">
      <c r="B445" s="225"/>
      <c r="C445" s="225"/>
      <c r="D445" s="225"/>
      <c r="E445" s="225"/>
      <c r="F445" s="225"/>
      <c r="G445" s="225"/>
      <c r="H445" s="201"/>
      <c r="I445" s="226"/>
      <c r="J445" s="226"/>
      <c r="K445" s="226"/>
      <c r="L445" s="226"/>
      <c r="M445" s="226"/>
      <c r="N445" s="226"/>
      <c r="P445" s="230">
        <f t="shared" si="185"/>
        <v>0</v>
      </c>
    </row>
    <row r="446" spans="1:16" x14ac:dyDescent="0.2">
      <c r="B446" s="225"/>
      <c r="C446" s="286" t="s">
        <v>458</v>
      </c>
      <c r="D446" s="286"/>
      <c r="E446" s="286"/>
      <c r="F446" s="286"/>
      <c r="G446" s="286"/>
      <c r="H446" s="286"/>
      <c r="I446" s="286"/>
      <c r="J446" s="286"/>
      <c r="K446" s="286"/>
      <c r="L446" s="286"/>
      <c r="M446" s="226"/>
      <c r="N446" s="226"/>
      <c r="P446" s="230">
        <f t="shared" si="185"/>
        <v>0</v>
      </c>
    </row>
    <row r="447" spans="1:16" x14ac:dyDescent="0.2">
      <c r="B447" s="225"/>
      <c r="C447" s="286" t="s">
        <v>459</v>
      </c>
      <c r="D447" s="286"/>
      <c r="E447" s="286"/>
      <c r="F447" s="286"/>
      <c r="G447" s="286"/>
      <c r="H447" s="286"/>
      <c r="I447" s="286"/>
      <c r="J447" s="286"/>
      <c r="K447" s="286"/>
      <c r="L447" s="286"/>
      <c r="M447" s="226"/>
      <c r="N447" s="226"/>
      <c r="P447" s="230">
        <f t="shared" si="185"/>
        <v>0</v>
      </c>
    </row>
    <row r="448" spans="1:16" x14ac:dyDescent="0.2">
      <c r="B448" s="225" t="s">
        <v>460</v>
      </c>
      <c r="C448" s="234"/>
      <c r="D448" s="234"/>
      <c r="E448" s="234"/>
      <c r="F448" s="234"/>
      <c r="G448" s="234"/>
      <c r="H448" s="234"/>
      <c r="I448" s="235"/>
      <c r="J448" s="235"/>
      <c r="K448" s="235"/>
      <c r="L448" s="287" t="s">
        <v>461</v>
      </c>
      <c r="M448" s="287"/>
      <c r="N448" s="287"/>
      <c r="P448" s="230">
        <f t="shared" si="185"/>
        <v>0</v>
      </c>
    </row>
    <row r="449" spans="1:43" x14ac:dyDescent="0.2">
      <c r="B449" s="225"/>
      <c r="C449" s="234"/>
      <c r="D449" s="234"/>
      <c r="E449" s="234"/>
      <c r="F449" s="234"/>
      <c r="G449" s="234"/>
      <c r="H449" s="234"/>
      <c r="I449" s="235"/>
      <c r="J449" s="235"/>
      <c r="K449" s="235"/>
      <c r="L449" s="235"/>
      <c r="M449" s="235"/>
      <c r="N449" s="235"/>
      <c r="P449" s="230">
        <f t="shared" si="185"/>
        <v>0</v>
      </c>
    </row>
    <row r="450" spans="1:43" x14ac:dyDescent="0.2">
      <c r="B450" s="225" t="s">
        <v>2038</v>
      </c>
      <c r="C450" s="234"/>
      <c r="D450" s="234"/>
      <c r="E450" s="234"/>
      <c r="F450" s="234"/>
      <c r="G450" s="234"/>
      <c r="H450" s="234"/>
      <c r="I450" s="235"/>
      <c r="J450" s="235"/>
      <c r="K450" s="235"/>
      <c r="L450" s="235"/>
      <c r="M450" s="235"/>
      <c r="N450" s="235"/>
      <c r="P450" s="230">
        <f t="shared" si="185"/>
        <v>0</v>
      </c>
    </row>
    <row r="451" spans="1:43" x14ac:dyDescent="0.2">
      <c r="B451" s="225" t="s">
        <v>462</v>
      </c>
      <c r="C451" s="234"/>
      <c r="D451" s="234"/>
      <c r="E451" s="234"/>
      <c r="F451" s="234"/>
      <c r="G451" s="234"/>
      <c r="H451" s="234"/>
      <c r="I451" s="235"/>
      <c r="J451" s="235"/>
      <c r="K451" s="235"/>
      <c r="L451" s="235"/>
      <c r="M451" s="235"/>
      <c r="N451" s="235"/>
      <c r="P451" s="230">
        <f t="shared" si="185"/>
        <v>0</v>
      </c>
    </row>
    <row r="452" spans="1:43" x14ac:dyDescent="0.2">
      <c r="B452" s="225" t="s">
        <v>2037</v>
      </c>
      <c r="C452" s="234"/>
      <c r="D452" s="234"/>
      <c r="E452" s="234"/>
      <c r="F452" s="234"/>
      <c r="G452" s="234"/>
      <c r="H452" s="234"/>
      <c r="I452" s="235"/>
      <c r="J452" s="235"/>
      <c r="K452" s="235"/>
      <c r="L452" s="235"/>
      <c r="M452" s="235"/>
      <c r="N452" s="235"/>
      <c r="P452" s="230">
        <f t="shared" si="185"/>
        <v>0</v>
      </c>
    </row>
    <row r="453" spans="1:43" x14ac:dyDescent="0.2">
      <c r="B453" s="225" t="s">
        <v>2052</v>
      </c>
      <c r="C453" s="234"/>
      <c r="D453" s="234"/>
      <c r="E453" s="234"/>
      <c r="F453" s="234"/>
      <c r="G453" s="234"/>
      <c r="H453" s="234"/>
      <c r="I453" s="235"/>
      <c r="J453" s="235"/>
      <c r="K453" s="235"/>
      <c r="L453" s="235"/>
      <c r="M453" s="235"/>
      <c r="N453" s="235"/>
      <c r="P453" s="230">
        <f t="shared" si="185"/>
        <v>0</v>
      </c>
    </row>
    <row r="454" spans="1:43" x14ac:dyDescent="0.2">
      <c r="B454" s="225"/>
      <c r="C454" s="225"/>
      <c r="D454" s="225"/>
      <c r="E454" s="225"/>
      <c r="F454" s="225"/>
      <c r="G454" s="225"/>
      <c r="H454" s="201"/>
      <c r="I454" s="226"/>
      <c r="J454" s="226"/>
      <c r="K454" s="226"/>
      <c r="L454" s="226"/>
      <c r="M454" s="226"/>
      <c r="N454" s="226"/>
      <c r="P454" s="230">
        <f t="shared" si="185"/>
        <v>0</v>
      </c>
    </row>
    <row r="455" spans="1:43" x14ac:dyDescent="0.2">
      <c r="B455" s="288" t="s">
        <v>106</v>
      </c>
      <c r="C455" s="290" t="s">
        <v>463</v>
      </c>
      <c r="D455" s="288" t="s">
        <v>464</v>
      </c>
      <c r="E455" s="288" t="s">
        <v>465</v>
      </c>
      <c r="F455" s="288" t="s">
        <v>490</v>
      </c>
      <c r="G455" s="288" t="s">
        <v>466</v>
      </c>
      <c r="H455" s="292" t="s">
        <v>8</v>
      </c>
      <c r="I455" s="294" t="s">
        <v>467</v>
      </c>
      <c r="J455" s="295"/>
      <c r="K455" s="295"/>
      <c r="L455" s="296"/>
      <c r="M455" s="297" t="s">
        <v>468</v>
      </c>
      <c r="N455" s="299" t="s">
        <v>469</v>
      </c>
      <c r="P455" s="230">
        <f t="shared" si="185"/>
        <v>0</v>
      </c>
    </row>
    <row r="456" spans="1:43" x14ac:dyDescent="0.2">
      <c r="B456" s="289"/>
      <c r="C456" s="291"/>
      <c r="D456" s="289"/>
      <c r="E456" s="289"/>
      <c r="F456" s="289"/>
      <c r="G456" s="289"/>
      <c r="H456" s="293"/>
      <c r="I456" s="236" t="s">
        <v>470</v>
      </c>
      <c r="J456" s="236" t="s">
        <v>471</v>
      </c>
      <c r="K456" s="236" t="s">
        <v>472</v>
      </c>
      <c r="L456" s="236" t="s">
        <v>473</v>
      </c>
      <c r="M456" s="298"/>
      <c r="N456" s="300"/>
      <c r="P456" s="230">
        <f t="shared" si="185"/>
        <v>0</v>
      </c>
    </row>
    <row r="457" spans="1:43" x14ac:dyDescent="0.2">
      <c r="A457" s="224" t="str">
        <f>CONCATENATE("Лот"," ",A458)</f>
        <v>Лот 9</v>
      </c>
      <c r="B457" s="273" t="s">
        <v>2087</v>
      </c>
      <c r="C457" s="274"/>
      <c r="D457" s="274"/>
      <c r="E457" s="274"/>
      <c r="F457" s="274"/>
      <c r="G457" s="275"/>
      <c r="H457" s="238" t="s">
        <v>17</v>
      </c>
      <c r="I457" s="270">
        <f ca="1">ROUND(VLOOKUP($H457,$AJ$4:$AN$13,2,0)*$Q459*1.51,2)</f>
        <v>120.15</v>
      </c>
      <c r="J457" s="270">
        <f ca="1">ROUND(VLOOKUP($H457,$AJ$4:$AN$13,3,0)*$Q459*1.51,2)</f>
        <v>85.62</v>
      </c>
      <c r="K457" s="270">
        <f ca="1">ROUND(VLOOKUP($H457,$AJ$4:$AN$13,4,0)*$Q459*1.51,2)</f>
        <v>43.38</v>
      </c>
      <c r="L457" s="270"/>
      <c r="M457" s="270">
        <f ca="1">ROUND(VLOOKUP($H457,$AJ$4:$AN$13,5,0)*$Q459*1.51,2)</f>
        <v>6.85</v>
      </c>
      <c r="N457" s="270"/>
      <c r="P457" s="230">
        <f t="shared" si="185"/>
        <v>1</v>
      </c>
    </row>
    <row r="458" spans="1:43" x14ac:dyDescent="0.2">
      <c r="A458" s="224">
        <f>A403+1</f>
        <v>9</v>
      </c>
      <c r="B458" s="276"/>
      <c r="C458" s="277"/>
      <c r="D458" s="277"/>
      <c r="E458" s="277"/>
      <c r="F458" s="277"/>
      <c r="G458" s="278"/>
      <c r="H458" s="238" t="s">
        <v>25</v>
      </c>
      <c r="I458" s="270">
        <f ca="1">ROUND(VLOOKUP($H458,$AJ$4:$AN$13,2,0)*$Q459*1.51,2)</f>
        <v>898.69</v>
      </c>
      <c r="J458" s="270">
        <f ca="1">ROUND(VLOOKUP($H458,$AJ$4:$AN$13,3,0)*$Q459*1.51,2)</f>
        <v>642.13</v>
      </c>
      <c r="K458" s="270">
        <f ca="1">ROUND(VLOOKUP($H458,$AJ$4:$AN$13,4,0)*$Q459*1.51,2)</f>
        <v>323.06</v>
      </c>
      <c r="L458" s="270"/>
      <c r="M458" s="270">
        <f ca="1">ROUND(VLOOKUP($H458,$AJ$4:$AN$13,5,0)*$Q459*1.51,2)</f>
        <v>27.97</v>
      </c>
      <c r="N458" s="270"/>
      <c r="P458" s="230">
        <f t="shared" si="185"/>
        <v>1</v>
      </c>
      <c r="Q458" s="240" t="s">
        <v>2045</v>
      </c>
      <c r="R458" s="240" t="s">
        <v>2046</v>
      </c>
    </row>
    <row r="459" spans="1:43" x14ac:dyDescent="0.2">
      <c r="B459" s="276"/>
      <c r="C459" s="277"/>
      <c r="D459" s="277"/>
      <c r="E459" s="277"/>
      <c r="F459" s="277"/>
      <c r="G459" s="278"/>
      <c r="H459" s="238" t="s">
        <v>19</v>
      </c>
      <c r="I459" s="270">
        <f ca="1">ROUND(VLOOKUP($H459,$AJ$4:$AN$13,2,0)*$Q459*1.51,2)</f>
        <v>71.349999999999994</v>
      </c>
      <c r="J459" s="270">
        <f ca="1">ROUND(VLOOKUP($H459,$AJ$4:$AN$13,3,0)*$Q459*1.51,2)</f>
        <v>51.94</v>
      </c>
      <c r="K459" s="270">
        <f ca="1">ROUND(VLOOKUP($H459,$AJ$4:$AN$13,4,0)*$Q459*1.51,2)</f>
        <v>26.54</v>
      </c>
      <c r="L459" s="270"/>
      <c r="M459" s="270">
        <f ca="1">ROUND(VLOOKUP($H459,$AJ$4:$AN$13,5,0)*$Q459*1.51,2)</f>
        <v>1.43</v>
      </c>
      <c r="N459" s="270"/>
      <c r="P459" s="230">
        <f t="shared" si="185"/>
        <v>0</v>
      </c>
      <c r="Q459" s="123">
        <f ca="1">IFERROR(IF(R459="","",IF(OR(R459&lt;100,R459=100),0.9,IF(OR(AND(R459&gt;100,R459&lt;150),R459=150),1,IF(R459&gt;150,1.05,"")))),"0")</f>
        <v>1.05</v>
      </c>
      <c r="R459" s="123">
        <f ca="1">N475/G463</f>
        <v>168.81052631578947</v>
      </c>
    </row>
    <row r="460" spans="1:43" x14ac:dyDescent="0.2">
      <c r="B460" s="276"/>
      <c r="C460" s="277"/>
      <c r="D460" s="277"/>
      <c r="E460" s="277"/>
      <c r="F460" s="277"/>
      <c r="G460" s="278"/>
      <c r="H460" s="238" t="s">
        <v>268</v>
      </c>
      <c r="I460" s="270">
        <f ca="1">ROUND(VLOOKUP($H460,$AJ$4:$AN$13,2,0)*$Q459*1.51,2)</f>
        <v>898.69</v>
      </c>
      <c r="J460" s="270">
        <f ca="1">ROUND(VLOOKUP($H460,$AJ$4:$AN$13,3,0)*$Q459*1.51,2)</f>
        <v>642.13</v>
      </c>
      <c r="K460" s="270">
        <f ca="1">ROUND(VLOOKUP($H460,$AJ$4:$AN$13,4,0)*$Q459*1.51,2)</f>
        <v>323.06</v>
      </c>
      <c r="L460" s="270"/>
      <c r="M460" s="270">
        <f ca="1">ROUND(VLOOKUP($H460,$AJ$4:$AN$13,5,0)*$Q459*1.51,2)</f>
        <v>27.97</v>
      </c>
      <c r="N460" s="270"/>
    </row>
    <row r="461" spans="1:43" x14ac:dyDescent="0.2">
      <c r="B461" s="276"/>
      <c r="C461" s="277"/>
      <c r="D461" s="277"/>
      <c r="E461" s="277"/>
      <c r="F461" s="277"/>
      <c r="G461" s="278"/>
      <c r="H461" s="238" t="s">
        <v>40</v>
      </c>
      <c r="I461" s="270">
        <f ca="1">ROUND(VLOOKUP($H461,$AJ$4:$AN$13,2,0)*$Q459*1.51,2)</f>
        <v>71.349999999999994</v>
      </c>
      <c r="J461" s="270">
        <f ca="1">ROUND(VLOOKUP($H461,$AJ$4:$AN$13,3,0)*$Q459*1.51,2)</f>
        <v>51.94</v>
      </c>
      <c r="K461" s="270">
        <f ca="1">ROUND(VLOOKUP($H461,$AJ$4:$AN$13,4,0)*$Q459*1.51,2)</f>
        <v>26.54</v>
      </c>
      <c r="L461" s="270"/>
      <c r="M461" s="270">
        <f ca="1">ROUND(VLOOKUP($H461,$AJ$4:$AN$13,5,0)*$Q459*1.51,2)</f>
        <v>1.43</v>
      </c>
      <c r="N461" s="270"/>
      <c r="P461" s="230">
        <f t="shared" ref="P461:P474" si="186">IF(A461&gt;0,1,0)</f>
        <v>0</v>
      </c>
    </row>
    <row r="462" spans="1:43" x14ac:dyDescent="0.2">
      <c r="B462" s="279"/>
      <c r="C462" s="280"/>
      <c r="D462" s="280"/>
      <c r="E462" s="280"/>
      <c r="F462" s="280"/>
      <c r="G462" s="281"/>
      <c r="H462" s="238" t="s">
        <v>18</v>
      </c>
      <c r="I462" s="270">
        <f ca="1">ROUND(VLOOKUP($H462,$AJ$4:$AN$13,2,0)*$Q459*1.51,2)</f>
        <v>22.83</v>
      </c>
      <c r="J462" s="270">
        <f ca="1">ROUND(VLOOKUP($H462,$AJ$4:$AN$13,3,0)*$Q459*1.51,2)</f>
        <v>17.41</v>
      </c>
      <c r="K462" s="270">
        <f ca="1">ROUND(VLOOKUP($H462,$AJ$4:$AN$13,4,0)*$Q459*1.51,2)</f>
        <v>8.85</v>
      </c>
      <c r="L462" s="270"/>
      <c r="M462" s="270">
        <f ca="1">ROUND(VLOOKUP($H462,$AJ$4:$AN$13,5,0)*$Q459*1.51*1,2)</f>
        <v>0.56999999999999995</v>
      </c>
      <c r="N462" s="270"/>
      <c r="P462" s="230">
        <f t="shared" si="186"/>
        <v>0</v>
      </c>
      <c r="AP462" s="241" t="s">
        <v>2053</v>
      </c>
      <c r="AQ462" s="242"/>
    </row>
    <row r="463" spans="1:43" x14ac:dyDescent="0.2">
      <c r="A463" s="224">
        <f>A408+37</f>
        <v>296</v>
      </c>
      <c r="B463" s="243" t="str">
        <f ca="1">OFFSET(ЛОТЫ!$L$5,A463,0,1,1)</f>
        <v>Вишнево-Полянское</v>
      </c>
      <c r="C463" s="244" t="s">
        <v>474</v>
      </c>
      <c r="D463" s="243">
        <f ca="1">OFFSET(ЛОТЫ!$M$5,A463,0,1,1)</f>
        <v>90</v>
      </c>
      <c r="E463" s="243">
        <f ca="1">OFFSET(ЛОТЫ!$N$5,A463,0,1,1)</f>
        <v>1</v>
      </c>
      <c r="F463" s="243">
        <f ca="1">OFFSET(ЛОТЫ!$O$5,A463,0,1,1)</f>
        <v>1</v>
      </c>
      <c r="G463" s="271">
        <f ca="1">IFERROR(INDEX('Ведомость расчета мин. платы'!$G$10:$AC$214,MATCH(CONCATENATE(B463,"/",D463,"/",E463,"/",F463),'Ведомость расчета мин. платы'!$AC$10:$AC$214,0),1),"")</f>
        <v>9.5</v>
      </c>
      <c r="H463" s="246" t="s">
        <v>17</v>
      </c>
      <c r="I463" s="247" t="str">
        <f ca="1">IFERROR(INDEX('Ведомость расчета мин. платы'!$J$10:$AE$214,MATCH(CONCATENATE(РАСЧЕТ!B463,"/",РАСЧЕТ!D463,"/",РАСЧЕТ!E463,"/",F463,"/",H463),'Ведомость расчета мин. платы'!$AE$10:$AE$214,0),2),"")</f>
        <v/>
      </c>
      <c r="J463" s="247" t="str">
        <f ca="1">IFERROR(INDEX('Ведомость расчета мин. платы'!$J$10:$AE$214,MATCH(CONCATENATE(РАСЧЕТ!B463,"/",РАСЧЕТ!D463,"/",РАСЧЕТ!E463,"/",F463,"/",H463),'Ведомость расчета мин. платы'!$AE$10:$AE$214,0),3),"")</f>
        <v/>
      </c>
      <c r="K463" s="247" t="str">
        <f ca="1">IFERROR(INDEX('Ведомость расчета мин. платы'!$J$10:$AE$214,MATCH(CONCATENATE(РАСЧЕТ!B463,"/",РАСЧЕТ!D463,"/",РАСЧЕТ!E463,"/",F463,"/",H463),'Ведомость расчета мин. платы'!$AE$10:$AE$214,0),4),"")</f>
        <v/>
      </c>
      <c r="L463" s="248">
        <f t="shared" ref="L463:L475" ca="1" si="187">IFERROR(SUM(I463:K463),"")</f>
        <v>0</v>
      </c>
      <c r="M463" s="214" t="str">
        <f ca="1">IFERROR(INDEX('Ведомость расчета мин. платы'!$J$10:$AE$214,MATCH(CONCATENATE(РАСЧЕТ!B463,"/",РАСЧЕТ!D463,"/",РАСЧЕТ!E463,"/",F463,"/",H463),'Ведомость расчета мин. платы'!$AE$10:$AE$214,0),6),"")</f>
        <v/>
      </c>
      <c r="N463" s="214">
        <f t="shared" ref="N463:N475" ca="1" si="188">IFERROR(SUM(L463:M463),"")</f>
        <v>0</v>
      </c>
      <c r="O463" s="229">
        <f>IF(H463="стоимость","",1)</f>
        <v>1</v>
      </c>
      <c r="P463" s="230">
        <f t="shared" si="186"/>
        <v>1</v>
      </c>
      <c r="AP463" s="242"/>
      <c r="AQ463" s="242"/>
    </row>
    <row r="464" spans="1:43" x14ac:dyDescent="0.2">
      <c r="B464" s="249"/>
      <c r="C464" s="249"/>
      <c r="D464" s="249"/>
      <c r="E464" s="249"/>
      <c r="F464" s="249"/>
      <c r="G464" s="249"/>
      <c r="H464" s="250" t="s">
        <v>475</v>
      </c>
      <c r="I464" s="251" t="str">
        <f ca="1">IFERROR(ROUND(I463*I457,2),"")</f>
        <v/>
      </c>
      <c r="J464" s="251" t="str">
        <f t="shared" ref="J464" ca="1" si="189">IFERROR(ROUND(J463*J457,2),"")</f>
        <v/>
      </c>
      <c r="K464" s="251" t="str">
        <f t="shared" ref="K464" ca="1" si="190">IFERROR(ROUND(K463*K457,2),"")</f>
        <v/>
      </c>
      <c r="L464" s="251">
        <f t="shared" ca="1" si="187"/>
        <v>0</v>
      </c>
      <c r="M464" s="251" t="str">
        <f t="shared" ref="M464" ca="1" si="191">IFERROR(ROUND(M463*M457,2),"")</f>
        <v/>
      </c>
      <c r="N464" s="252">
        <f t="shared" ca="1" si="188"/>
        <v>0</v>
      </c>
      <c r="O464" s="229" t="str">
        <f t="shared" ref="O464:O474" si="192">IF(H464="стоимость","",1)</f>
        <v/>
      </c>
      <c r="P464" s="230">
        <f t="shared" si="186"/>
        <v>0</v>
      </c>
      <c r="AP464" s="242">
        <f ca="1">SUMIFS('Ведомость расчета мин. платы'!$S$10:$S$209,'Ведомость расчета мин. платы'!$AE$10:$AE$209,CONCATENATE(B463,"/",D463,"/",E463,"/",F463,"/",H463))</f>
        <v>0</v>
      </c>
      <c r="AQ464" s="253">
        <f t="shared" ref="AQ464" ca="1" si="193">AP464-N464</f>
        <v>0</v>
      </c>
    </row>
    <row r="465" spans="2:43" x14ac:dyDescent="0.2">
      <c r="B465" s="249"/>
      <c r="C465" s="249"/>
      <c r="D465" s="249"/>
      <c r="E465" s="249"/>
      <c r="F465" s="249"/>
      <c r="G465" s="249"/>
      <c r="H465" s="246" t="s">
        <v>25</v>
      </c>
      <c r="I465" s="247">
        <f ca="1">IFERROR(INDEX('Ведомость расчета мин. платы'!$J$10:$AE$214,MATCH(CONCATENATE(РАСЧЕТ!B463,"/",РАСЧЕТ!D463,"/",РАСЧЕТ!E463,"/",F463,"/",H465),'Ведомость расчета мин. платы'!$AE$10:$AE$214,0),2),"")</f>
        <v>2</v>
      </c>
      <c r="J465" s="247">
        <f ca="1">IFERROR(INDEX('Ведомость расчета мин. платы'!$J$10:$AE$214,MATCH(CONCATENATE(РАСЧЕТ!B463,"/",РАСЧЕТ!D463,"/",РАСЧЕТ!E463,"/",F463,"/",H465),'Ведомость расчета мин. платы'!$AE$10:$AE$214,0),3),"")</f>
        <v>37.299999999999997</v>
      </c>
      <c r="K465" s="247">
        <f ca="1">IFERROR(INDEX('Ведомость расчета мин. платы'!$J$10:$AE$214,MATCH(CONCATENATE(РАСЧЕТ!B463,"/",РАСЧЕТ!D463,"/",РАСЧЕТ!E463,"/",F463,"/",H465),'Ведомость расчета мин. платы'!$AE$10:$AE$214,0),4),"")</f>
        <v>8.1999999999999993</v>
      </c>
      <c r="L465" s="248">
        <f t="shared" ca="1" si="187"/>
        <v>47.5</v>
      </c>
      <c r="M465" s="214">
        <f ca="1">IFERROR(INDEX('Ведомость расчета мин. платы'!$J$10:$AE$214,MATCH(CONCATENATE(РАСЧЕТ!B463,"/",РАСЧЕТ!D463,"/",РАСЧЕТ!E463,"/",F463,"/",H465),'Ведомость расчета мин. платы'!$AE$10:$AE$214,0),6),"")</f>
        <v>87.8</v>
      </c>
      <c r="N465" s="214">
        <f t="shared" ca="1" si="188"/>
        <v>135.30000000000001</v>
      </c>
      <c r="O465" s="229">
        <f t="shared" si="192"/>
        <v>1</v>
      </c>
      <c r="P465" s="230">
        <f t="shared" si="186"/>
        <v>0</v>
      </c>
      <c r="AP465" s="242"/>
      <c r="AQ465" s="253"/>
    </row>
    <row r="466" spans="2:43" x14ac:dyDescent="0.2">
      <c r="B466" s="249"/>
      <c r="C466" s="249"/>
      <c r="D466" s="249"/>
      <c r="E466" s="249"/>
      <c r="F466" s="249"/>
      <c r="G466" s="249"/>
      <c r="H466" s="250" t="s">
        <v>475</v>
      </c>
      <c r="I466" s="251">
        <f ca="1">IFERROR(ROUND(I465*I458,2),"")</f>
        <v>1797.38</v>
      </c>
      <c r="J466" s="251">
        <f t="shared" ref="J466" ca="1" si="194">IFERROR(ROUND(J465*J458,2),"")</f>
        <v>23951.45</v>
      </c>
      <c r="K466" s="251">
        <f t="shared" ref="K466" ca="1" si="195">IFERROR(ROUND(K465*K458,2),"")</f>
        <v>2649.09</v>
      </c>
      <c r="L466" s="251">
        <f t="shared" ca="1" si="187"/>
        <v>28397.920000000002</v>
      </c>
      <c r="M466" s="251">
        <f t="shared" ref="M466" ca="1" si="196">IFERROR(ROUND(M465*M458,2),"")</f>
        <v>2455.77</v>
      </c>
      <c r="N466" s="252">
        <f t="shared" ca="1" si="188"/>
        <v>30853.690000000002</v>
      </c>
      <c r="O466" s="229" t="str">
        <f t="shared" si="192"/>
        <v/>
      </c>
      <c r="P466" s="230">
        <f t="shared" si="186"/>
        <v>0</v>
      </c>
      <c r="AP466" s="242">
        <f ca="1">SUMIFS('Ведомость расчета мин. платы'!$S$10:$S$209,'Ведомость расчета мин. платы'!$AE$10:$AE$209,CONCATENATE(B463,"/",D463,"/",E463,"/",F463,"/",H465))</f>
        <v>30853.69</v>
      </c>
      <c r="AQ466" s="253">
        <f t="shared" ref="AQ466" ca="1" si="197">AP466-N466</f>
        <v>0</v>
      </c>
    </row>
    <row r="467" spans="2:43" x14ac:dyDescent="0.2">
      <c r="B467" s="249"/>
      <c r="C467" s="249"/>
      <c r="D467" s="249"/>
      <c r="E467" s="249"/>
      <c r="F467" s="249"/>
      <c r="G467" s="249"/>
      <c r="H467" s="205" t="s">
        <v>19</v>
      </c>
      <c r="I467" s="248">
        <f ca="1">IFERROR(INDEX('Ведомость расчета мин. платы'!$J$10:$AE$214,MATCH(CONCATENATE(РАСЧЕТ!B463,"/",РАСЧЕТ!D463,"/",РАСЧЕТ!E463,"/",F463,"/",H467),'Ведомость расчета мин. платы'!$AE$10:$AE$214,0),2),"")</f>
        <v>14.76</v>
      </c>
      <c r="J467" s="248">
        <f ca="1">IFERROR(INDEX('Ведомость расчета мин. платы'!$J$10:$AE$214,MATCH(CONCATENATE(РАСЧЕТ!B463,"/",РАСЧЕТ!D463,"/",РАСЧЕТ!E463,"/",F463,"/",H467),'Ведомость расчета мин. платы'!$AE$10:$AE$214,0),3),"")</f>
        <v>96.25</v>
      </c>
      <c r="K467" s="248">
        <f ca="1">IFERROR(INDEX('Ведомость расчета мин. платы'!$J$10:$AE$214,MATCH(CONCATENATE(РАСЧЕТ!B463,"/",РАСЧЕТ!D463,"/",РАСЧЕТ!E463,"/",F463,"/",H467),'Ведомость расчета мин. платы'!$AE$10:$AE$214,0),4),"")</f>
        <v>29.05</v>
      </c>
      <c r="L467" s="248">
        <f t="shared" ca="1" si="187"/>
        <v>140.06</v>
      </c>
      <c r="M467" s="248">
        <f ca="1">IFERROR(INDEX('Ведомость расчета мин. платы'!$J$10:$AE$214,MATCH(CONCATENATE(РАСЧЕТ!B463,"/",РАСЧЕТ!D463,"/",РАСЧЕТ!E463,"/",F463,"/",H467),'Ведомость расчета мин. платы'!$AE$10:$AE$214,0),6),"")</f>
        <v>179.44</v>
      </c>
      <c r="N467" s="214">
        <f t="shared" ca="1" si="188"/>
        <v>319.5</v>
      </c>
      <c r="O467" s="229">
        <f t="shared" si="192"/>
        <v>1</v>
      </c>
      <c r="P467" s="230">
        <f t="shared" si="186"/>
        <v>0</v>
      </c>
      <c r="AP467" s="242"/>
      <c r="AQ467" s="253"/>
    </row>
    <row r="468" spans="2:43" x14ac:dyDescent="0.2">
      <c r="B468" s="249"/>
      <c r="C468" s="249"/>
      <c r="D468" s="249"/>
      <c r="E468" s="249"/>
      <c r="F468" s="249"/>
      <c r="G468" s="249"/>
      <c r="H468" s="250" t="s">
        <v>475</v>
      </c>
      <c r="I468" s="251">
        <f ca="1">IFERROR(ROUND(I467*I459,2),"")</f>
        <v>1053.1300000000001</v>
      </c>
      <c r="J468" s="251">
        <f t="shared" ref="J468" ca="1" si="198">IFERROR(ROUND(J467*J459,2),"")</f>
        <v>4999.2299999999996</v>
      </c>
      <c r="K468" s="251">
        <f t="shared" ref="K468" ca="1" si="199">IFERROR(ROUND(K467*K459,2),"")</f>
        <v>770.99</v>
      </c>
      <c r="L468" s="251">
        <f t="shared" ca="1" si="187"/>
        <v>6823.3499999999995</v>
      </c>
      <c r="M468" s="251">
        <v>256.5899999999998</v>
      </c>
      <c r="N468" s="252">
        <f t="shared" ca="1" si="188"/>
        <v>7079.94</v>
      </c>
      <c r="O468" s="229" t="str">
        <f t="shared" si="192"/>
        <v/>
      </c>
      <c r="P468" s="230">
        <f t="shared" si="186"/>
        <v>0</v>
      </c>
      <c r="AP468" s="242">
        <f ca="1">SUMIFS('Ведомость расчета мин. платы'!$S$10:$S$209,'Ведомость расчета мин. платы'!$AE$10:$AE$209,CONCATENATE(B463,"/",D463,"/",E463,"/",F463,"/",H467))</f>
        <v>7079.94</v>
      </c>
      <c r="AQ468" s="253">
        <f t="shared" ref="AQ468" ca="1" si="200">AP468-N468</f>
        <v>0</v>
      </c>
    </row>
    <row r="469" spans="2:43" x14ac:dyDescent="0.2">
      <c r="B469" s="249"/>
      <c r="C469" s="249"/>
      <c r="D469" s="249"/>
      <c r="E469" s="249"/>
      <c r="F469" s="249"/>
      <c r="G469" s="249"/>
      <c r="H469" s="205" t="s">
        <v>268</v>
      </c>
      <c r="I469" s="248" t="str">
        <f ca="1">IFERROR(INDEX('Ведомость расчета мин. платы'!$J$10:$AE$214,MATCH(CONCATENATE(РАСЧЕТ!B463,"/",РАСЧЕТ!D463,"/",РАСЧЕТ!E463,"/",F463,"/",H469),'Ведомость расчета мин. платы'!$AE$10:$AE$214,0),2),"")</f>
        <v/>
      </c>
      <c r="J469" s="248" t="str">
        <f ca="1">IFERROR(INDEX('Ведомость расчета мин. платы'!$J$10:$AE$214,MATCH(CONCATENATE(РАСЧЕТ!B463,"/",РАСЧЕТ!D463,"/",РАСЧЕТ!E463,"/",F463,"/",H469),'Ведомость расчета мин. платы'!$AE$10:$AE$214,0),3),"")</f>
        <v/>
      </c>
      <c r="K469" s="248" t="str">
        <f ca="1">IFERROR(INDEX('Ведомость расчета мин. платы'!$J$10:$AE$214,MATCH(CONCATENATE(РАСЧЕТ!B463,"/",РАСЧЕТ!D463,"/",РАСЧЕТ!E463,"/",F463,"/",H469),'Ведомость расчета мин. платы'!$AE$10:$AE$214,0),4),"")</f>
        <v/>
      </c>
      <c r="L469" s="248">
        <f t="shared" ca="1" si="187"/>
        <v>0</v>
      </c>
      <c r="M469" s="248">
        <v>0</v>
      </c>
      <c r="N469" s="214">
        <f t="shared" ca="1" si="188"/>
        <v>0</v>
      </c>
      <c r="O469" s="229">
        <f t="shared" si="192"/>
        <v>1</v>
      </c>
      <c r="P469" s="230">
        <f t="shared" si="186"/>
        <v>0</v>
      </c>
      <c r="AP469" s="242"/>
      <c r="AQ469" s="253"/>
    </row>
    <row r="470" spans="2:43" x14ac:dyDescent="0.2">
      <c r="B470" s="249"/>
      <c r="C470" s="249"/>
      <c r="D470" s="249"/>
      <c r="E470" s="249"/>
      <c r="F470" s="249"/>
      <c r="G470" s="249"/>
      <c r="H470" s="250" t="s">
        <v>475</v>
      </c>
      <c r="I470" s="251" t="str">
        <f ca="1">IFERROR(ROUND(I469*I462,2),"")</f>
        <v/>
      </c>
      <c r="J470" s="251" t="str">
        <f ca="1">IFERROR(ROUND(J469*J460,2),"")</f>
        <v/>
      </c>
      <c r="K470" s="251" t="str">
        <f ca="1">IFERROR(ROUND(K469*K460,2),"")</f>
        <v/>
      </c>
      <c r="L470" s="251">
        <f t="shared" ca="1" si="187"/>
        <v>0</v>
      </c>
      <c r="M470" s="251">
        <v>0</v>
      </c>
      <c r="N470" s="252">
        <f t="shared" ca="1" si="188"/>
        <v>0</v>
      </c>
      <c r="O470" s="229" t="str">
        <f t="shared" si="192"/>
        <v/>
      </c>
      <c r="P470" s="230">
        <f t="shared" si="186"/>
        <v>0</v>
      </c>
      <c r="AP470" s="242">
        <f ca="1">SUMIFS('Ведомость расчета мин. платы'!$S$10:$S$209,'Ведомость расчета мин. платы'!$AE$10:$AE$209,CONCATENATE(B463,"/",D463,"/",E463,"/",F463,"/",H469))</f>
        <v>0</v>
      </c>
      <c r="AQ470" s="253">
        <f t="shared" ref="AQ470" ca="1" si="201">AP470-N470</f>
        <v>0</v>
      </c>
    </row>
    <row r="471" spans="2:43" x14ac:dyDescent="0.2">
      <c r="B471" s="249"/>
      <c r="C471" s="249"/>
      <c r="D471" s="249"/>
      <c r="E471" s="249"/>
      <c r="F471" s="249"/>
      <c r="G471" s="249"/>
      <c r="H471" s="205" t="s">
        <v>40</v>
      </c>
      <c r="I471" s="248" t="str">
        <f ca="1">IFERROR(INDEX('Ведомость расчета мин. платы'!$J$10:$AE$214,MATCH(CONCATENATE(РАСЧЕТ!B463,"/",РАСЧЕТ!D463,"/",РАСЧЕТ!E463,"/",F463,"/",H471),'Ведомость расчета мин. платы'!$AE$10:$AE$214,0),2),"")</f>
        <v/>
      </c>
      <c r="J471" s="248" t="str">
        <f ca="1">IFERROR(INDEX('Ведомость расчета мин. платы'!$J$10:$AE$214,MATCH(CONCATENATE(РАСЧЕТ!B463,"/",РАСЧЕТ!D463,"/",РАСЧЕТ!E463,"/",F463,"/",H471),'Ведомость расчета мин. платы'!$AE$10:$AE$214,0),3),"")</f>
        <v/>
      </c>
      <c r="K471" s="248" t="str">
        <f ca="1">IFERROR(INDEX('Ведомость расчета мин. платы'!$J$10:$AE$214,MATCH(CONCATENATE(РАСЧЕТ!B463,"/",РАСЧЕТ!D463,"/",РАСЧЕТ!E463,"/",F463,"/",H471),'Ведомость расчета мин. платы'!$AE$10:$AE$214,0),4),"")</f>
        <v/>
      </c>
      <c r="L471" s="248">
        <f t="shared" ca="1" si="187"/>
        <v>0</v>
      </c>
      <c r="M471" s="248">
        <v>0</v>
      </c>
      <c r="N471" s="214">
        <f t="shared" ca="1" si="188"/>
        <v>0</v>
      </c>
      <c r="O471" s="229">
        <f t="shared" si="192"/>
        <v>1</v>
      </c>
      <c r="P471" s="230">
        <f t="shared" si="186"/>
        <v>0</v>
      </c>
      <c r="AP471" s="242"/>
      <c r="AQ471" s="253"/>
    </row>
    <row r="472" spans="2:43" x14ac:dyDescent="0.2">
      <c r="B472" s="249"/>
      <c r="C472" s="249"/>
      <c r="D472" s="249"/>
      <c r="E472" s="249"/>
      <c r="F472" s="249"/>
      <c r="G472" s="249"/>
      <c r="H472" s="250" t="s">
        <v>475</v>
      </c>
      <c r="I472" s="251" t="str">
        <f ca="1">IFERROR(ROUND(I471*I461,2),"")</f>
        <v/>
      </c>
      <c r="J472" s="251" t="str">
        <f t="shared" ref="J472" ca="1" si="202">IFERROR(ROUND(J471*J461,2),"")</f>
        <v/>
      </c>
      <c r="K472" s="251" t="str">
        <f t="shared" ref="K472" ca="1" si="203">IFERROR(ROUND(K471*K461,2),"")</f>
        <v/>
      </c>
      <c r="L472" s="251">
        <f t="shared" ca="1" si="187"/>
        <v>0</v>
      </c>
      <c r="M472" s="251">
        <v>0</v>
      </c>
      <c r="N472" s="252">
        <f t="shared" ca="1" si="188"/>
        <v>0</v>
      </c>
      <c r="O472" s="229" t="str">
        <f t="shared" si="192"/>
        <v/>
      </c>
      <c r="P472" s="230">
        <f t="shared" si="186"/>
        <v>0</v>
      </c>
      <c r="AP472" s="242">
        <f ca="1">SUMIFS('Ведомость расчета мин. платы'!$S$10:$S$209,'Ведомость расчета мин. платы'!$AE$10:$AE$209,CONCATENATE(B463,"/",D463,"/",E463,"/",F463,"/",H471))</f>
        <v>0</v>
      </c>
      <c r="AQ472" s="253">
        <f t="shared" ref="AQ472" ca="1" si="204">AP472-N472</f>
        <v>0</v>
      </c>
    </row>
    <row r="473" spans="2:43" x14ac:dyDescent="0.2">
      <c r="B473" s="249"/>
      <c r="C473" s="249"/>
      <c r="D473" s="249"/>
      <c r="E473" s="249"/>
      <c r="F473" s="249"/>
      <c r="G473" s="249"/>
      <c r="H473" s="205" t="s">
        <v>18</v>
      </c>
      <c r="I473" s="248">
        <f ca="1">IFERROR(INDEX('Ведомость расчета мин. платы'!$J$10:$AE$214,MATCH(CONCATENATE(РАСЧЕТ!B463,"/",РАСЧЕТ!D463,"/",РАСЧЕТ!E463,"/",F463,"/",H473),'Ведомость расчета мин. платы'!$AE$10:$AE$214,0),2),"")</f>
        <v>363.7</v>
      </c>
      <c r="J473" s="248">
        <f ca="1">IFERROR(INDEX('Ведомость расчета мин. платы'!$J$10:$AE$214,MATCH(CONCATENATE(РАСЧЕТ!B463,"/",РАСЧЕТ!D463,"/",РАСЧЕТ!E463,"/",F463,"/",H473),'Ведомость расчета мин. платы'!$AE$10:$AE$214,0),3),"")</f>
        <v>317.2</v>
      </c>
      <c r="K473" s="248">
        <f ca="1">IFERROR(INDEX('Ведомость расчета мин. платы'!$J$10:$AE$214,MATCH(CONCATENATE(РАСЧЕТ!B463,"/",РАСЧЕТ!D463,"/",РАСЧЕТ!E463,"/",F463,"/",H473),'Ведомость расчета мин. платы'!$AE$10:$AE$214,0),4),"")</f>
        <v>22.8</v>
      </c>
      <c r="L473" s="248">
        <f t="shared" ca="1" si="187"/>
        <v>703.69999999999993</v>
      </c>
      <c r="M473" s="248">
        <v>445.2</v>
      </c>
      <c r="N473" s="214">
        <f t="shared" ca="1" si="188"/>
        <v>1148.8999999999999</v>
      </c>
      <c r="O473" s="229">
        <f t="shared" si="192"/>
        <v>1</v>
      </c>
      <c r="P473" s="230">
        <f t="shared" si="186"/>
        <v>0</v>
      </c>
      <c r="AP473" s="242"/>
      <c r="AQ473" s="253"/>
    </row>
    <row r="474" spans="2:43" x14ac:dyDescent="0.2">
      <c r="B474" s="249"/>
      <c r="C474" s="249"/>
      <c r="D474" s="249"/>
      <c r="E474" s="249"/>
      <c r="F474" s="249"/>
      <c r="G474" s="249"/>
      <c r="H474" s="250" t="s">
        <v>475</v>
      </c>
      <c r="I474" s="251">
        <f ca="1">IFERROR(ROUND(I473*I462,2),"")</f>
        <v>8303.27</v>
      </c>
      <c r="J474" s="251">
        <f t="shared" ref="J474" ca="1" si="205">IFERROR(ROUND(J473*J462,2),"")</f>
        <v>5522.45</v>
      </c>
      <c r="K474" s="251">
        <f t="shared" ref="K474" ca="1" si="206">IFERROR(ROUND(K473*K462,2),"")</f>
        <v>201.78</v>
      </c>
      <c r="L474" s="251">
        <f t="shared" ca="1" si="187"/>
        <v>14027.500000000002</v>
      </c>
      <c r="M474" s="251">
        <v>253.76999999999839</v>
      </c>
      <c r="N474" s="252">
        <f t="shared" ca="1" si="188"/>
        <v>14281.27</v>
      </c>
      <c r="O474" s="229" t="str">
        <f t="shared" si="192"/>
        <v/>
      </c>
      <c r="P474" s="230">
        <f t="shared" si="186"/>
        <v>0</v>
      </c>
      <c r="AP474" s="242">
        <f ca="1">SUMIFS('Ведомость расчета мин. платы'!$S$10:$S$209,'Ведомость расчета мин. платы'!$AE$10:$AE$209,CONCATENATE(B463,"/",D463,"/",E463,"/",F463,"/",H473))</f>
        <v>14281.27</v>
      </c>
      <c r="AQ474" s="253">
        <f t="shared" ref="AQ474" ca="1" si="207">AP474-N474</f>
        <v>0</v>
      </c>
    </row>
    <row r="475" spans="2:43" x14ac:dyDescent="0.2">
      <c r="B475" s="249"/>
      <c r="C475" s="249"/>
      <c r="D475" s="249"/>
      <c r="E475" s="249"/>
      <c r="F475" s="249"/>
      <c r="G475" s="249"/>
      <c r="H475" s="254" t="s">
        <v>476</v>
      </c>
      <c r="I475" s="251">
        <f ca="1">SUMIF($O463:$O476,1,I463:I474)</f>
        <v>380.46</v>
      </c>
      <c r="J475" s="251">
        <f ca="1">SUMIF($O463:$O476,1,J463:J474)</f>
        <v>450.75</v>
      </c>
      <c r="K475" s="251">
        <f ca="1">SUMIF($O463:$O476,1,K463:K474)</f>
        <v>60.05</v>
      </c>
      <c r="L475" s="251">
        <f t="shared" ca="1" si="187"/>
        <v>891.26</v>
      </c>
      <c r="M475" s="251">
        <f ca="1">SUMIF($O463:$O476,1,M463:M474)</f>
        <v>712.44</v>
      </c>
      <c r="N475" s="252">
        <f t="shared" ca="1" si="188"/>
        <v>1603.7</v>
      </c>
      <c r="AP475" s="242"/>
      <c r="AQ475" s="253"/>
    </row>
    <row r="476" spans="2:43" x14ac:dyDescent="0.2">
      <c r="B476" s="249"/>
      <c r="C476" s="249"/>
      <c r="D476" s="249"/>
      <c r="E476" s="249"/>
      <c r="F476" s="249"/>
      <c r="G476" s="249"/>
      <c r="H476" s="254" t="s">
        <v>491</v>
      </c>
      <c r="I476" s="251">
        <f ca="1">SUMIF(H463:H474,"стоимость",I463:I474)</f>
        <v>11153.78</v>
      </c>
      <c r="J476" s="251">
        <f ca="1">SUMIF(H463:H474,"стоимость",J463:J474)</f>
        <v>34473.129999999997</v>
      </c>
      <c r="K476" s="251">
        <f ca="1">SUMIF(H463:H474,"стоимость",K463:K474)</f>
        <v>3621.86</v>
      </c>
      <c r="L476" s="251">
        <f ca="1">IFERROR(SUM(I476:K476),"")</f>
        <v>49248.77</v>
      </c>
      <c r="M476" s="251">
        <f ca="1">SUMIF(H463:H474,"стоимость",M463:M474)</f>
        <v>2966.1299999999983</v>
      </c>
      <c r="N476" s="252">
        <f ca="1">IFERROR(SUM(L476:M476),"")</f>
        <v>52214.899999999994</v>
      </c>
      <c r="AP476" s="242">
        <f ca="1">SUMIFS('Ведомость расчета мин. платы'!$S$10:$S$209,'Ведомость расчета мин. платы'!$J$10:$J$209,"Итого",'Ведомость расчета мин. платы'!$AC$10:$AC$209,CONCATENATE(B463,"/",D463,"/",E463,"/",F463))</f>
        <v>52214.899999999994</v>
      </c>
      <c r="AQ476" s="253">
        <f ca="1">AP476-N476</f>
        <v>0</v>
      </c>
    </row>
    <row r="477" spans="2:43" x14ac:dyDescent="0.2">
      <c r="B477" s="255"/>
      <c r="C477" s="255"/>
      <c r="D477" s="255"/>
      <c r="E477" s="255"/>
      <c r="F477" s="255"/>
      <c r="G477" s="256"/>
      <c r="H477" s="257"/>
      <c r="I477" s="258"/>
      <c r="J477" s="258"/>
      <c r="K477" s="258"/>
      <c r="L477" s="258"/>
      <c r="M477" s="258"/>
      <c r="N477" s="258"/>
      <c r="P477" s="230">
        <f t="shared" ref="P477:P495" si="208">IF(A477&gt;0,1,0)</f>
        <v>0</v>
      </c>
    </row>
    <row r="478" spans="2:43" x14ac:dyDescent="0.2">
      <c r="B478" s="282" t="s">
        <v>477</v>
      </c>
      <c r="C478" s="282"/>
      <c r="D478" s="282"/>
      <c r="E478" s="282"/>
      <c r="F478" s="259"/>
      <c r="G478" s="225"/>
      <c r="H478" s="201"/>
      <c r="I478" s="226"/>
      <c r="J478" s="258"/>
      <c r="K478" s="258"/>
      <c r="L478" s="258"/>
      <c r="M478" s="258"/>
      <c r="N478" s="258"/>
      <c r="P478" s="230">
        <f t="shared" si="208"/>
        <v>0</v>
      </c>
    </row>
    <row r="479" spans="2:43" x14ac:dyDescent="0.2">
      <c r="B479" s="283" t="s">
        <v>525</v>
      </c>
      <c r="C479" s="283"/>
      <c r="D479" s="283"/>
      <c r="E479" s="283"/>
      <c r="F479" s="283"/>
      <c r="G479" s="283"/>
      <c r="H479" s="283"/>
      <c r="I479" s="283"/>
      <c r="J479" s="261"/>
      <c r="K479" s="261"/>
      <c r="L479" s="261"/>
      <c r="M479" s="261"/>
      <c r="N479" s="261"/>
      <c r="P479" s="230">
        <f t="shared" si="208"/>
        <v>0</v>
      </c>
    </row>
    <row r="480" spans="2:43" x14ac:dyDescent="0.2">
      <c r="B480" s="284" t="s">
        <v>478</v>
      </c>
      <c r="C480" s="284"/>
      <c r="D480" s="284"/>
      <c r="E480" s="284"/>
      <c r="F480" s="284"/>
      <c r="G480" s="284"/>
      <c r="H480" s="284"/>
      <c r="I480" s="284"/>
      <c r="J480" s="258"/>
      <c r="K480" s="258"/>
      <c r="L480" s="258"/>
      <c r="M480" s="258"/>
      <c r="N480" s="258"/>
      <c r="P480" s="230">
        <f t="shared" si="208"/>
        <v>0</v>
      </c>
    </row>
    <row r="481" spans="1:16" x14ac:dyDescent="0.2">
      <c r="B481" s="284" t="s">
        <v>479</v>
      </c>
      <c r="C481" s="284"/>
      <c r="D481" s="284"/>
      <c r="E481" s="284"/>
      <c r="F481" s="284"/>
      <c r="G481" s="284"/>
      <c r="H481" s="284"/>
      <c r="I481" s="284"/>
      <c r="J481" s="258"/>
      <c r="K481" s="258"/>
      <c r="L481" s="258"/>
      <c r="M481" s="258"/>
      <c r="N481" s="258"/>
      <c r="P481" s="230">
        <f t="shared" si="208"/>
        <v>0</v>
      </c>
    </row>
    <row r="482" spans="1:16" x14ac:dyDescent="0.2">
      <c r="B482" s="284" t="s">
        <v>480</v>
      </c>
      <c r="C482" s="284"/>
      <c r="D482" s="284"/>
      <c r="E482" s="284"/>
      <c r="F482" s="284"/>
      <c r="G482" s="284"/>
      <c r="H482" s="284"/>
      <c r="I482" s="284"/>
      <c r="J482" s="258"/>
      <c r="K482" s="258"/>
      <c r="L482" s="258"/>
      <c r="M482" s="258"/>
      <c r="N482" s="258"/>
      <c r="P482" s="230">
        <f t="shared" si="208"/>
        <v>0</v>
      </c>
    </row>
    <row r="483" spans="1:16" x14ac:dyDescent="0.2">
      <c r="B483" s="284" t="s">
        <v>481</v>
      </c>
      <c r="C483" s="284"/>
      <c r="D483" s="284"/>
      <c r="E483" s="284"/>
      <c r="F483" s="284"/>
      <c r="G483" s="284"/>
      <c r="H483" s="284"/>
      <c r="I483" s="284"/>
      <c r="J483" s="226"/>
      <c r="K483" s="226"/>
      <c r="L483" s="226"/>
      <c r="M483" s="226"/>
      <c r="N483" s="226"/>
      <c r="P483" s="230">
        <f t="shared" si="208"/>
        <v>0</v>
      </c>
    </row>
    <row r="484" spans="1:16" x14ac:dyDescent="0.2">
      <c r="B484" s="284" t="s">
        <v>482</v>
      </c>
      <c r="C484" s="284"/>
      <c r="D484" s="284"/>
      <c r="E484" s="284"/>
      <c r="F484" s="284"/>
      <c r="G484" s="284"/>
      <c r="H484" s="284"/>
      <c r="I484" s="284"/>
      <c r="J484" s="226"/>
      <c r="K484" s="226"/>
      <c r="L484" s="226"/>
      <c r="M484" s="226"/>
      <c r="N484" s="226"/>
      <c r="P484" s="230">
        <f t="shared" si="208"/>
        <v>0</v>
      </c>
    </row>
    <row r="485" spans="1:16" x14ac:dyDescent="0.2">
      <c r="B485" s="284" t="s">
        <v>483</v>
      </c>
      <c r="C485" s="284"/>
      <c r="D485" s="284"/>
      <c r="E485" s="284"/>
      <c r="F485" s="284"/>
      <c r="G485" s="284"/>
      <c r="H485" s="284"/>
      <c r="I485" s="284"/>
      <c r="J485" s="226"/>
      <c r="K485" s="226"/>
      <c r="L485" s="226"/>
      <c r="M485" s="226"/>
      <c r="N485" s="226"/>
      <c r="P485" s="230">
        <f t="shared" si="208"/>
        <v>0</v>
      </c>
    </row>
    <row r="486" spans="1:16" x14ac:dyDescent="0.2">
      <c r="B486" s="284" t="s">
        <v>484</v>
      </c>
      <c r="C486" s="284"/>
      <c r="D486" s="284"/>
      <c r="E486" s="284"/>
      <c r="F486" s="284"/>
      <c r="G486" s="284"/>
      <c r="H486" s="284"/>
      <c r="I486" s="284"/>
      <c r="J486" s="226"/>
      <c r="K486" s="226"/>
      <c r="L486" s="226"/>
      <c r="M486" s="226"/>
      <c r="N486" s="226"/>
      <c r="P486" s="230">
        <f t="shared" si="208"/>
        <v>0</v>
      </c>
    </row>
    <row r="487" spans="1:16" x14ac:dyDescent="0.2">
      <c r="B487" s="264"/>
      <c r="C487" s="264"/>
      <c r="D487" s="264"/>
      <c r="E487" s="264"/>
      <c r="F487" s="264"/>
      <c r="G487" s="264"/>
      <c r="H487" s="264"/>
      <c r="I487" s="265"/>
      <c r="J487" s="226"/>
      <c r="K487" s="226"/>
      <c r="L487" s="226"/>
      <c r="M487" s="226"/>
      <c r="N487" s="226"/>
      <c r="P487" s="230">
        <f t="shared" si="208"/>
        <v>0</v>
      </c>
    </row>
    <row r="488" spans="1:16" x14ac:dyDescent="0.2">
      <c r="B488" s="225" t="s">
        <v>485</v>
      </c>
      <c r="C488" s="225"/>
      <c r="D488" s="225"/>
      <c r="E488" s="225"/>
      <c r="F488" s="225"/>
      <c r="G488" s="225"/>
      <c r="H488" s="201"/>
      <c r="I488" s="226"/>
      <c r="J488" s="226" t="s">
        <v>486</v>
      </c>
      <c r="K488" s="226"/>
      <c r="L488" s="226"/>
      <c r="M488" s="226"/>
      <c r="N488" s="226"/>
      <c r="P488" s="230">
        <f t="shared" si="208"/>
        <v>0</v>
      </c>
    </row>
    <row r="489" spans="1:16" x14ac:dyDescent="0.2">
      <c r="B489" s="266" t="s">
        <v>524</v>
      </c>
      <c r="C489" s="266"/>
      <c r="D489" s="225"/>
      <c r="E489" s="225"/>
      <c r="F489" s="225"/>
      <c r="G489" s="225"/>
      <c r="H489" s="201"/>
      <c r="I489" s="226"/>
      <c r="J489" s="267"/>
      <c r="K489" s="267"/>
      <c r="L489" s="267"/>
      <c r="M489" s="226"/>
      <c r="N489" s="226"/>
      <c r="P489" s="230">
        <f t="shared" si="208"/>
        <v>0</v>
      </c>
    </row>
    <row r="490" spans="1:16" x14ac:dyDescent="0.2">
      <c r="B490" s="268" t="s">
        <v>487</v>
      </c>
      <c r="C490" s="225"/>
      <c r="D490" s="225"/>
      <c r="E490" s="225"/>
      <c r="F490" s="225"/>
      <c r="G490" s="225"/>
      <c r="H490" s="201"/>
      <c r="I490" s="226"/>
      <c r="J490" s="226" t="s">
        <v>487</v>
      </c>
      <c r="K490" s="226"/>
      <c r="L490" s="226"/>
      <c r="M490" s="226"/>
      <c r="N490" s="226"/>
      <c r="P490" s="230">
        <f t="shared" si="208"/>
        <v>0</v>
      </c>
    </row>
    <row r="491" spans="1:16" x14ac:dyDescent="0.2">
      <c r="B491" s="225"/>
      <c r="C491" s="225"/>
      <c r="D491" s="225"/>
      <c r="E491" s="225"/>
      <c r="F491" s="225"/>
      <c r="G491" s="225"/>
      <c r="H491" s="201"/>
      <c r="I491" s="226"/>
      <c r="J491" s="226"/>
      <c r="K491" s="226"/>
      <c r="L491" s="226"/>
      <c r="M491" s="226"/>
      <c r="N491" s="226"/>
      <c r="P491" s="230">
        <f t="shared" si="208"/>
        <v>0</v>
      </c>
    </row>
    <row r="492" spans="1:16" x14ac:dyDescent="0.2">
      <c r="B492" s="266"/>
      <c r="C492" s="266"/>
      <c r="D492" s="225"/>
      <c r="E492" s="225"/>
      <c r="F492" s="225"/>
      <c r="G492" s="225"/>
      <c r="H492" s="201"/>
      <c r="I492" s="226"/>
      <c r="J492" s="267"/>
      <c r="K492" s="267"/>
      <c r="L492" s="267"/>
      <c r="M492" s="226"/>
      <c r="N492" s="226"/>
      <c r="P492" s="230">
        <f t="shared" si="208"/>
        <v>0</v>
      </c>
    </row>
    <row r="493" spans="1:16" x14ac:dyDescent="0.2">
      <c r="B493" s="269" t="s">
        <v>488</v>
      </c>
      <c r="C493" s="225"/>
      <c r="D493" s="225"/>
      <c r="E493" s="225"/>
      <c r="F493" s="225"/>
      <c r="G493" s="225"/>
      <c r="H493" s="201"/>
      <c r="I493" s="226"/>
      <c r="J493" s="285" t="s">
        <v>488</v>
      </c>
      <c r="K493" s="285"/>
      <c r="L493" s="285"/>
      <c r="M493" s="226"/>
      <c r="N493" s="226"/>
      <c r="P493" s="230">
        <f t="shared" si="208"/>
        <v>0</v>
      </c>
    </row>
    <row r="494" spans="1:16" x14ac:dyDescent="0.2">
      <c r="B494" s="225"/>
      <c r="C494" s="225"/>
      <c r="D494" s="225"/>
      <c r="E494" s="225"/>
      <c r="F494" s="225"/>
      <c r="G494" s="225"/>
      <c r="H494" s="201"/>
      <c r="I494" s="226"/>
      <c r="J494" s="226"/>
      <c r="K494" s="226"/>
      <c r="L494" s="226"/>
      <c r="M494" s="226"/>
      <c r="N494" s="226"/>
      <c r="P494" s="230">
        <f t="shared" si="208"/>
        <v>0</v>
      </c>
    </row>
    <row r="495" spans="1:16" x14ac:dyDescent="0.2">
      <c r="B495" s="264" t="s">
        <v>489</v>
      </c>
      <c r="C495" s="225"/>
      <c r="D495" s="225"/>
      <c r="E495" s="225"/>
      <c r="F495" s="225"/>
      <c r="G495" s="225"/>
      <c r="H495" s="201"/>
      <c r="I495" s="226"/>
      <c r="J495" s="226" t="s">
        <v>489</v>
      </c>
      <c r="K495" s="226"/>
      <c r="L495" s="226"/>
      <c r="M495" s="226"/>
      <c r="N495" s="226"/>
      <c r="P495" s="230">
        <f t="shared" si="208"/>
        <v>0</v>
      </c>
    </row>
    <row r="496" spans="1:16" x14ac:dyDescent="0.2">
      <c r="A496" s="272"/>
      <c r="B496" s="225"/>
      <c r="C496" s="225"/>
      <c r="D496" s="225"/>
      <c r="E496" s="225"/>
      <c r="F496" s="225"/>
      <c r="G496" s="225"/>
      <c r="H496" s="201"/>
      <c r="I496" s="226"/>
      <c r="J496" s="226"/>
      <c r="K496" s="226"/>
      <c r="M496" s="226"/>
      <c r="N496" s="228"/>
    </row>
    <row r="497" spans="1:16" x14ac:dyDescent="0.2">
      <c r="A497" s="260"/>
      <c r="B497" s="225"/>
      <c r="C497" s="225"/>
      <c r="D497" s="225"/>
      <c r="E497" s="225"/>
      <c r="F497" s="225"/>
      <c r="G497" s="225"/>
      <c r="H497" s="201"/>
      <c r="I497" s="226"/>
      <c r="J497" s="226"/>
      <c r="K497" s="226"/>
      <c r="M497" s="226"/>
      <c r="N497" s="228" t="s">
        <v>455</v>
      </c>
      <c r="P497" s="230">
        <f t="shared" ref="P497:P514" si="209">IF(A497&gt;0,1,0)</f>
        <v>0</v>
      </c>
    </row>
    <row r="498" spans="1:16" x14ac:dyDescent="0.2">
      <c r="B498" s="225"/>
      <c r="C498" s="225"/>
      <c r="D498" s="225"/>
      <c r="E498" s="225"/>
      <c r="F498" s="225"/>
      <c r="G498" s="225"/>
      <c r="H498" s="201"/>
      <c r="I498" s="226"/>
      <c r="J498" s="226"/>
      <c r="K498" s="226"/>
      <c r="M498" s="226"/>
      <c r="N498" s="228" t="s">
        <v>456</v>
      </c>
      <c r="P498" s="230">
        <f t="shared" si="209"/>
        <v>0</v>
      </c>
    </row>
    <row r="499" spans="1:16" x14ac:dyDescent="0.2">
      <c r="B499" s="225"/>
      <c r="C499" s="225"/>
      <c r="D499" s="225"/>
      <c r="E499" s="225"/>
      <c r="F499" s="225"/>
      <c r="G499" s="225"/>
      <c r="H499" s="201"/>
      <c r="I499" s="226"/>
      <c r="J499" s="226"/>
      <c r="K499" s="226"/>
      <c r="M499" s="226"/>
      <c r="N499" s="228" t="s">
        <v>457</v>
      </c>
      <c r="P499" s="230">
        <f t="shared" si="209"/>
        <v>0</v>
      </c>
    </row>
    <row r="500" spans="1:16" x14ac:dyDescent="0.2">
      <c r="B500" s="225"/>
      <c r="C500" s="225"/>
      <c r="D500" s="225"/>
      <c r="E500" s="225"/>
      <c r="F500" s="225"/>
      <c r="G500" s="225"/>
      <c r="H500" s="201"/>
      <c r="I500" s="226"/>
      <c r="J500" s="226"/>
      <c r="K500" s="226"/>
      <c r="L500" s="226"/>
      <c r="M500" s="226"/>
      <c r="N500" s="226"/>
      <c r="P500" s="230">
        <f t="shared" si="209"/>
        <v>0</v>
      </c>
    </row>
    <row r="501" spans="1:16" x14ac:dyDescent="0.2">
      <c r="B501" s="225"/>
      <c r="C501" s="286" t="s">
        <v>458</v>
      </c>
      <c r="D501" s="286"/>
      <c r="E501" s="286"/>
      <c r="F501" s="286"/>
      <c r="G501" s="286"/>
      <c r="H501" s="286"/>
      <c r="I501" s="286"/>
      <c r="J501" s="286"/>
      <c r="K501" s="286"/>
      <c r="L501" s="286"/>
      <c r="M501" s="226"/>
      <c r="N501" s="226"/>
      <c r="P501" s="230">
        <f t="shared" si="209"/>
        <v>0</v>
      </c>
    </row>
    <row r="502" spans="1:16" x14ac:dyDescent="0.2">
      <c r="B502" s="225"/>
      <c r="C502" s="286" t="s">
        <v>459</v>
      </c>
      <c r="D502" s="286"/>
      <c r="E502" s="286"/>
      <c r="F502" s="286"/>
      <c r="G502" s="286"/>
      <c r="H502" s="286"/>
      <c r="I502" s="286"/>
      <c r="J502" s="286"/>
      <c r="K502" s="286"/>
      <c r="L502" s="286"/>
      <c r="M502" s="226"/>
      <c r="N502" s="226"/>
      <c r="P502" s="230">
        <f t="shared" si="209"/>
        <v>0</v>
      </c>
    </row>
    <row r="503" spans="1:16" x14ac:dyDescent="0.2">
      <c r="B503" s="225" t="s">
        <v>460</v>
      </c>
      <c r="C503" s="234"/>
      <c r="D503" s="234"/>
      <c r="E503" s="234"/>
      <c r="F503" s="234"/>
      <c r="G503" s="234"/>
      <c r="H503" s="234"/>
      <c r="I503" s="235"/>
      <c r="J503" s="235"/>
      <c r="K503" s="235"/>
      <c r="L503" s="287" t="s">
        <v>461</v>
      </c>
      <c r="M503" s="287"/>
      <c r="N503" s="287"/>
      <c r="P503" s="230">
        <f t="shared" si="209"/>
        <v>0</v>
      </c>
    </row>
    <row r="504" spans="1:16" x14ac:dyDescent="0.2">
      <c r="B504" s="225"/>
      <c r="C504" s="234"/>
      <c r="D504" s="234"/>
      <c r="E504" s="234"/>
      <c r="F504" s="234"/>
      <c r="G504" s="234"/>
      <c r="H504" s="234"/>
      <c r="I504" s="235"/>
      <c r="J504" s="235"/>
      <c r="K504" s="235"/>
      <c r="L504" s="235"/>
      <c r="M504" s="235"/>
      <c r="N504" s="235"/>
      <c r="P504" s="230">
        <f t="shared" si="209"/>
        <v>0</v>
      </c>
    </row>
    <row r="505" spans="1:16" x14ac:dyDescent="0.2">
      <c r="B505" s="225" t="s">
        <v>2038</v>
      </c>
      <c r="C505" s="234"/>
      <c r="D505" s="234"/>
      <c r="E505" s="234"/>
      <c r="F505" s="234"/>
      <c r="G505" s="234"/>
      <c r="H505" s="234"/>
      <c r="I505" s="235"/>
      <c r="J505" s="235"/>
      <c r="K505" s="235"/>
      <c r="L505" s="235"/>
      <c r="M505" s="235"/>
      <c r="N505" s="235"/>
      <c r="P505" s="230">
        <f t="shared" si="209"/>
        <v>0</v>
      </c>
    </row>
    <row r="506" spans="1:16" x14ac:dyDescent="0.2">
      <c r="B506" s="225" t="s">
        <v>462</v>
      </c>
      <c r="C506" s="234"/>
      <c r="D506" s="234"/>
      <c r="E506" s="234"/>
      <c r="F506" s="234"/>
      <c r="G506" s="234"/>
      <c r="H506" s="234"/>
      <c r="I506" s="235"/>
      <c r="J506" s="235"/>
      <c r="K506" s="235"/>
      <c r="L506" s="235"/>
      <c r="M506" s="235"/>
      <c r="N506" s="235"/>
      <c r="P506" s="230">
        <f t="shared" si="209"/>
        <v>0</v>
      </c>
    </row>
    <row r="507" spans="1:16" x14ac:dyDescent="0.2">
      <c r="B507" s="225" t="s">
        <v>2037</v>
      </c>
      <c r="C507" s="234"/>
      <c r="D507" s="234"/>
      <c r="E507" s="234"/>
      <c r="F507" s="234"/>
      <c r="G507" s="234"/>
      <c r="H507" s="234"/>
      <c r="I507" s="235"/>
      <c r="J507" s="235"/>
      <c r="K507" s="235"/>
      <c r="L507" s="235"/>
      <c r="M507" s="235"/>
      <c r="N507" s="235"/>
      <c r="P507" s="230">
        <f t="shared" si="209"/>
        <v>0</v>
      </c>
    </row>
    <row r="508" spans="1:16" x14ac:dyDescent="0.2">
      <c r="B508" s="225" t="s">
        <v>2052</v>
      </c>
      <c r="C508" s="234"/>
      <c r="D508" s="234"/>
      <c r="E508" s="234"/>
      <c r="F508" s="234"/>
      <c r="G508" s="234"/>
      <c r="H508" s="234"/>
      <c r="I508" s="235"/>
      <c r="J508" s="235"/>
      <c r="K508" s="235"/>
      <c r="L508" s="235"/>
      <c r="M508" s="235"/>
      <c r="N508" s="235"/>
      <c r="P508" s="230">
        <f t="shared" si="209"/>
        <v>0</v>
      </c>
    </row>
    <row r="509" spans="1:16" x14ac:dyDescent="0.2">
      <c r="B509" s="225"/>
      <c r="C509" s="225"/>
      <c r="D509" s="225"/>
      <c r="E509" s="225"/>
      <c r="F509" s="225"/>
      <c r="G509" s="225"/>
      <c r="H509" s="201"/>
      <c r="I509" s="226"/>
      <c r="J509" s="226"/>
      <c r="K509" s="226"/>
      <c r="L509" s="226"/>
      <c r="M509" s="226"/>
      <c r="N509" s="226"/>
      <c r="P509" s="230">
        <f t="shared" si="209"/>
        <v>0</v>
      </c>
    </row>
    <row r="510" spans="1:16" x14ac:dyDescent="0.2">
      <c r="B510" s="288" t="s">
        <v>106</v>
      </c>
      <c r="C510" s="290" t="s">
        <v>463</v>
      </c>
      <c r="D510" s="288" t="s">
        <v>464</v>
      </c>
      <c r="E510" s="288" t="s">
        <v>465</v>
      </c>
      <c r="F510" s="288" t="s">
        <v>490</v>
      </c>
      <c r="G510" s="288" t="s">
        <v>466</v>
      </c>
      <c r="H510" s="292" t="s">
        <v>8</v>
      </c>
      <c r="I510" s="294" t="s">
        <v>467</v>
      </c>
      <c r="J510" s="295"/>
      <c r="K510" s="295"/>
      <c r="L510" s="296"/>
      <c r="M510" s="297" t="s">
        <v>468</v>
      </c>
      <c r="N510" s="299" t="s">
        <v>469</v>
      </c>
      <c r="P510" s="230">
        <f t="shared" si="209"/>
        <v>0</v>
      </c>
    </row>
    <row r="511" spans="1:16" x14ac:dyDescent="0.2">
      <c r="B511" s="289"/>
      <c r="C511" s="291"/>
      <c r="D511" s="289"/>
      <c r="E511" s="289"/>
      <c r="F511" s="289"/>
      <c r="G511" s="289"/>
      <c r="H511" s="293"/>
      <c r="I511" s="236" t="s">
        <v>470</v>
      </c>
      <c r="J511" s="236" t="s">
        <v>471</v>
      </c>
      <c r="K511" s="236" t="s">
        <v>472</v>
      </c>
      <c r="L511" s="236" t="s">
        <v>473</v>
      </c>
      <c r="M511" s="298"/>
      <c r="N511" s="300"/>
      <c r="P511" s="230">
        <f t="shared" si="209"/>
        <v>0</v>
      </c>
    </row>
    <row r="512" spans="1:16" x14ac:dyDescent="0.2">
      <c r="A512" s="224" t="str">
        <f>CONCATENATE("Лот"," ",A513)</f>
        <v>Лот 10</v>
      </c>
      <c r="B512" s="273" t="s">
        <v>2087</v>
      </c>
      <c r="C512" s="274"/>
      <c r="D512" s="274"/>
      <c r="E512" s="274"/>
      <c r="F512" s="274"/>
      <c r="G512" s="275"/>
      <c r="H512" s="238" t="s">
        <v>17</v>
      </c>
      <c r="I512" s="270">
        <f ca="1">ROUND(VLOOKUP($H512,$AJ$4:$AN$13,2,0)*$Q514*1.51,2)</f>
        <v>120.15</v>
      </c>
      <c r="J512" s="270">
        <f ca="1">ROUND(VLOOKUP($H512,$AJ$4:$AN$13,3,0)*$Q514*1.51,2)</f>
        <v>85.62</v>
      </c>
      <c r="K512" s="270">
        <f ca="1">ROUND(VLOOKUP($H512,$AJ$4:$AN$13,4,0)*$Q514*1.51,2)</f>
        <v>43.38</v>
      </c>
      <c r="L512" s="270"/>
      <c r="M512" s="270">
        <f ca="1">ROUND(VLOOKUP($H512,$AJ$4:$AN$13,5,0)*$Q514*1.51,2)</f>
        <v>6.85</v>
      </c>
      <c r="N512" s="270"/>
      <c r="P512" s="230">
        <f t="shared" si="209"/>
        <v>1</v>
      </c>
    </row>
    <row r="513" spans="1:43" x14ac:dyDescent="0.2">
      <c r="A513" s="224">
        <f>A458+1</f>
        <v>10</v>
      </c>
      <c r="B513" s="276"/>
      <c r="C513" s="277"/>
      <c r="D513" s="277"/>
      <c r="E513" s="277"/>
      <c r="F513" s="277"/>
      <c r="G513" s="278"/>
      <c r="H513" s="238" t="s">
        <v>25</v>
      </c>
      <c r="I513" s="270">
        <f ca="1">ROUND(VLOOKUP($H513,$AJ$4:$AN$13,2,0)*$Q514*1.51,2)</f>
        <v>898.69</v>
      </c>
      <c r="J513" s="270">
        <f ca="1">ROUND(VLOOKUP($H513,$AJ$4:$AN$13,3,0)*$Q514*1.51,2)</f>
        <v>642.13</v>
      </c>
      <c r="K513" s="270">
        <f ca="1">ROUND(VLOOKUP($H513,$AJ$4:$AN$13,4,0)*$Q514*1.51,2)</f>
        <v>323.06</v>
      </c>
      <c r="L513" s="270"/>
      <c r="M513" s="270">
        <f ca="1">ROUND(VLOOKUP($H513,$AJ$4:$AN$13,5,0)*$Q514*1.51,2)</f>
        <v>27.97</v>
      </c>
      <c r="N513" s="270"/>
      <c r="P513" s="230">
        <f t="shared" si="209"/>
        <v>1</v>
      </c>
      <c r="Q513" s="240" t="s">
        <v>2045</v>
      </c>
      <c r="R513" s="240" t="s">
        <v>2046</v>
      </c>
    </row>
    <row r="514" spans="1:43" x14ac:dyDescent="0.2">
      <c r="B514" s="276"/>
      <c r="C514" s="277"/>
      <c r="D514" s="277"/>
      <c r="E514" s="277"/>
      <c r="F514" s="277"/>
      <c r="G514" s="278"/>
      <c r="H514" s="238" t="s">
        <v>19</v>
      </c>
      <c r="I514" s="270">
        <f ca="1">ROUND(VLOOKUP($H514,$AJ$4:$AN$13,2,0)*$Q514*1.51,2)</f>
        <v>71.349999999999994</v>
      </c>
      <c r="J514" s="270">
        <f ca="1">ROUND(VLOOKUP($H514,$AJ$4:$AN$13,3,0)*$Q514*1.51,2)</f>
        <v>51.94</v>
      </c>
      <c r="K514" s="270">
        <f ca="1">ROUND(VLOOKUP($H514,$AJ$4:$AN$13,4,0)*$Q514*1.51,2)</f>
        <v>26.54</v>
      </c>
      <c r="L514" s="270"/>
      <c r="M514" s="270">
        <f ca="1">ROUND(VLOOKUP($H514,$AJ$4:$AN$13,5,0)*$Q514*1.51,2)</f>
        <v>1.43</v>
      </c>
      <c r="N514" s="270"/>
      <c r="P514" s="230">
        <f t="shared" si="209"/>
        <v>0</v>
      </c>
      <c r="Q514" s="123">
        <f ca="1">IFERROR(IF(R514="","",IF(OR(R514&lt;100,R514=100),0.9,IF(OR(AND(R514&gt;100,R514&lt;150),R514=150),1,IF(R514&gt;150,1.05,"")))),"0")</f>
        <v>1.05</v>
      </c>
      <c r="R514" s="123">
        <f ca="1">N530/G518</f>
        <v>183.40204081632652</v>
      </c>
    </row>
    <row r="515" spans="1:43" x14ac:dyDescent="0.2">
      <c r="B515" s="276"/>
      <c r="C515" s="277"/>
      <c r="D515" s="277"/>
      <c r="E515" s="277"/>
      <c r="F515" s="277"/>
      <c r="G515" s="278"/>
      <c r="H515" s="238" t="s">
        <v>268</v>
      </c>
      <c r="I515" s="270">
        <f ca="1">ROUND(VLOOKUP($H515,$AJ$4:$AN$13,2,0)*$Q514*1.51,2)</f>
        <v>898.69</v>
      </c>
      <c r="J515" s="270">
        <f ca="1">ROUND(VLOOKUP($H515,$AJ$4:$AN$13,3,0)*$Q514*1.51,2)</f>
        <v>642.13</v>
      </c>
      <c r="K515" s="270">
        <f ca="1">ROUND(VLOOKUP($H515,$AJ$4:$AN$13,4,0)*$Q514*1.51,2)</f>
        <v>323.06</v>
      </c>
      <c r="L515" s="270"/>
      <c r="M515" s="270">
        <f ca="1">ROUND(VLOOKUP($H515,$AJ$4:$AN$13,5,0)*$Q514*1.51,2)</f>
        <v>27.97</v>
      </c>
      <c r="N515" s="270"/>
    </row>
    <row r="516" spans="1:43" x14ac:dyDescent="0.2">
      <c r="B516" s="276"/>
      <c r="C516" s="277"/>
      <c r="D516" s="277"/>
      <c r="E516" s="277"/>
      <c r="F516" s="277"/>
      <c r="G516" s="278"/>
      <c r="H516" s="238" t="s">
        <v>40</v>
      </c>
      <c r="I516" s="270">
        <f ca="1">ROUND(VLOOKUP($H516,$AJ$4:$AN$13,2,0)*$Q514*1.51,2)</f>
        <v>71.349999999999994</v>
      </c>
      <c r="J516" s="270">
        <f ca="1">ROUND(VLOOKUP($H516,$AJ$4:$AN$13,3,0)*$Q514*1.51,2)</f>
        <v>51.94</v>
      </c>
      <c r="K516" s="270">
        <f ca="1">ROUND(VLOOKUP($H516,$AJ$4:$AN$13,4,0)*$Q514*1.51,2)</f>
        <v>26.54</v>
      </c>
      <c r="L516" s="270"/>
      <c r="M516" s="270">
        <f ca="1">ROUND(VLOOKUP($H516,$AJ$4:$AN$13,5,0)*$Q514*1.51,2)</f>
        <v>1.43</v>
      </c>
      <c r="N516" s="270"/>
      <c r="P516" s="230">
        <f t="shared" ref="P516:P529" si="210">IF(A516&gt;0,1,0)</f>
        <v>0</v>
      </c>
    </row>
    <row r="517" spans="1:43" x14ac:dyDescent="0.2">
      <c r="B517" s="279"/>
      <c r="C517" s="280"/>
      <c r="D517" s="280"/>
      <c r="E517" s="280"/>
      <c r="F517" s="280"/>
      <c r="G517" s="281"/>
      <c r="H517" s="238" t="s">
        <v>18</v>
      </c>
      <c r="I517" s="270">
        <f ca="1">ROUND(VLOOKUP($H517,$AJ$4:$AN$13,2,0)*$Q514*1.51,2)</f>
        <v>22.83</v>
      </c>
      <c r="J517" s="270">
        <f ca="1">ROUND(VLOOKUP($H517,$AJ$4:$AN$13,3,0)*$Q514*1.51,2)</f>
        <v>17.41</v>
      </c>
      <c r="K517" s="270">
        <f ca="1">ROUND(VLOOKUP($H517,$AJ$4:$AN$13,4,0)*$Q514*1.51,2)</f>
        <v>8.85</v>
      </c>
      <c r="L517" s="270"/>
      <c r="M517" s="270">
        <f ca="1">ROUND(VLOOKUP($H517,$AJ$4:$AN$13,5,0)*$Q514*1.51*1,2)</f>
        <v>0.56999999999999995</v>
      </c>
      <c r="N517" s="270"/>
      <c r="P517" s="230">
        <f t="shared" si="210"/>
        <v>0</v>
      </c>
      <c r="AP517" s="241" t="s">
        <v>2053</v>
      </c>
      <c r="AQ517" s="242"/>
    </row>
    <row r="518" spans="1:43" x14ac:dyDescent="0.2">
      <c r="A518" s="224">
        <f>A463+37</f>
        <v>333</v>
      </c>
      <c r="B518" s="243" t="str">
        <f ca="1">OFFSET(ЛОТЫ!$L$5,A518,0,1,1)</f>
        <v>Вишнево-Полянское</v>
      </c>
      <c r="C518" s="244" t="s">
        <v>474</v>
      </c>
      <c r="D518" s="243">
        <f ca="1">OFFSET(ЛОТЫ!$M$5,A518,0,1,1)</f>
        <v>90</v>
      </c>
      <c r="E518" s="243">
        <f ca="1">OFFSET(ЛОТЫ!$N$5,A518,0,1,1)</f>
        <v>18</v>
      </c>
      <c r="F518" s="243">
        <f ca="1">OFFSET(ЛОТЫ!$O$5,A518,0,1,1)</f>
        <v>2</v>
      </c>
      <c r="G518" s="271">
        <f ca="1">IFERROR(INDEX('Ведомость расчета мин. платы'!$G$10:$AC$214,MATCH(CONCATENATE(B518,"/",D518,"/",E518,"/",F518),'Ведомость расчета мин. платы'!$AC$10:$AC$214,0),1),"")</f>
        <v>4.9000000000000004</v>
      </c>
      <c r="H518" s="246" t="s">
        <v>17</v>
      </c>
      <c r="I518" s="247">
        <f ca="1">IFERROR(INDEX('Ведомость расчета мин. платы'!$J$10:$AE$214,MATCH(CONCATENATE(РАСЧЕТ!B518,"/",РАСЧЕТ!D518,"/",РАСЧЕТ!E518,"/",F518,"/",H518),'Ведомость расчета мин. платы'!$AE$10:$AE$214,0),2),"")</f>
        <v>4.9000000000000004</v>
      </c>
      <c r="J518" s="247">
        <f ca="1">IFERROR(INDEX('Ведомость расчета мин. платы'!$J$10:$AE$214,MATCH(CONCATENATE(РАСЧЕТ!B518,"/",РАСЧЕТ!D518,"/",РАСЧЕТ!E518,"/",F518,"/",H518),'Ведомость расчета мин. платы'!$AE$10:$AE$214,0),3),"")</f>
        <v>31.01</v>
      </c>
      <c r="K518" s="247">
        <f ca="1">IFERROR(INDEX('Ведомость расчета мин. платы'!$J$10:$AE$214,MATCH(CONCATENATE(РАСЧЕТ!B518,"/",РАСЧЕТ!D518,"/",РАСЧЕТ!E518,"/",F518,"/",H518),'Ведомость расчета мин. платы'!$AE$10:$AE$214,0),4),"")</f>
        <v>14.07</v>
      </c>
      <c r="L518" s="248">
        <f t="shared" ref="L518:L530" ca="1" si="211">IFERROR(SUM(I518:K518),"")</f>
        <v>49.980000000000004</v>
      </c>
      <c r="M518" s="214">
        <f ca="1">IFERROR(INDEX('Ведомость расчета мин. платы'!$J$10:$AE$214,MATCH(CONCATENATE(РАСЧЕТ!B518,"/",РАСЧЕТ!D518,"/",РАСЧЕТ!E518,"/",F518,"/",H518),'Ведомость расчета мин. платы'!$AE$10:$AE$214,0),6),"")</f>
        <v>54.74</v>
      </c>
      <c r="N518" s="214">
        <f t="shared" ref="N518:N530" ca="1" si="212">IFERROR(SUM(L518:M518),"")</f>
        <v>104.72</v>
      </c>
      <c r="O518" s="229">
        <f>IF(H518="стоимость","",1)</f>
        <v>1</v>
      </c>
      <c r="P518" s="230">
        <f t="shared" si="210"/>
        <v>1</v>
      </c>
      <c r="AP518" s="242"/>
      <c r="AQ518" s="242"/>
    </row>
    <row r="519" spans="1:43" x14ac:dyDescent="0.2">
      <c r="B519" s="249"/>
      <c r="C519" s="249"/>
      <c r="D519" s="249"/>
      <c r="E519" s="249"/>
      <c r="F519" s="249"/>
      <c r="G519" s="249"/>
      <c r="H519" s="250" t="s">
        <v>475</v>
      </c>
      <c r="I519" s="251">
        <f ca="1">IFERROR(ROUND(I518*I512,2),"")</f>
        <v>588.74</v>
      </c>
      <c r="J519" s="251">
        <f t="shared" ref="J519" ca="1" si="213">IFERROR(ROUND(J518*J512,2),"")</f>
        <v>2655.08</v>
      </c>
      <c r="K519" s="251">
        <f t="shared" ref="K519" ca="1" si="214">IFERROR(ROUND(K518*K512,2),"")</f>
        <v>610.36</v>
      </c>
      <c r="L519" s="251">
        <f t="shared" ca="1" si="211"/>
        <v>3854.18</v>
      </c>
      <c r="M519" s="251">
        <f t="shared" ref="M519" ca="1" si="215">IFERROR(ROUND(M518*M512,2),"")</f>
        <v>374.97</v>
      </c>
      <c r="N519" s="252">
        <f t="shared" ca="1" si="212"/>
        <v>4229.1499999999996</v>
      </c>
      <c r="O519" s="229" t="str">
        <f t="shared" ref="O519:O529" si="216">IF(H519="стоимость","",1)</f>
        <v/>
      </c>
      <c r="P519" s="230">
        <f t="shared" si="210"/>
        <v>0</v>
      </c>
      <c r="AP519" s="242">
        <f ca="1">SUMIFS('Ведомость расчета мин. платы'!$S$10:$S$209,'Ведомость расчета мин. платы'!$AE$10:$AE$209,CONCATENATE(B518,"/",D518,"/",E518,"/",F518,"/",H518))</f>
        <v>4229.1499999999996</v>
      </c>
      <c r="AQ519" s="253">
        <f t="shared" ref="AQ519" ca="1" si="217">AP519-N519</f>
        <v>0</v>
      </c>
    </row>
    <row r="520" spans="1:43" x14ac:dyDescent="0.2">
      <c r="B520" s="249"/>
      <c r="C520" s="249"/>
      <c r="D520" s="249"/>
      <c r="E520" s="249"/>
      <c r="F520" s="249"/>
      <c r="G520" s="249"/>
      <c r="H520" s="246" t="s">
        <v>25</v>
      </c>
      <c r="I520" s="247">
        <f ca="1">IFERROR(INDEX('Ведомость расчета мин. платы'!$J$10:$AE$214,MATCH(CONCATENATE(РАСЧЕТ!B518,"/",РАСЧЕТ!D518,"/",РАСЧЕТ!E518,"/",F518,"/",H520),'Ведомость расчета мин. платы'!$AE$10:$AE$214,0),2),"")</f>
        <v>1.4</v>
      </c>
      <c r="J520" s="247">
        <f ca="1">IFERROR(INDEX('Ведомость расчета мин. платы'!$J$10:$AE$214,MATCH(CONCATENATE(РАСЧЕТ!B518,"/",РАСЧЕТ!D518,"/",РАСЧЕТ!E518,"/",F518,"/",H520),'Ведомость расчета мин. платы'!$AE$10:$AE$214,0),3),"")</f>
        <v>26.11</v>
      </c>
      <c r="K520" s="247">
        <f ca="1">IFERROR(INDEX('Ведомость расчета мин. платы'!$J$10:$AE$214,MATCH(CONCATENATE(РАСЧЕТ!B518,"/",РАСЧЕТ!D518,"/",РАСЧЕТ!E518,"/",F518,"/",H520),'Ведомость расчета мин. платы'!$AE$10:$AE$214,0),4),"")</f>
        <v>6.51</v>
      </c>
      <c r="L520" s="248">
        <f t="shared" ca="1" si="211"/>
        <v>34.019999999999996</v>
      </c>
      <c r="M520" s="214">
        <f ca="1">IFERROR(INDEX('Ведомость расчета мин. платы'!$J$10:$AE$214,MATCH(CONCATENATE(РАСЧЕТ!B518,"/",РАСЧЕТ!D518,"/",РАСЧЕТ!E518,"/",F518,"/",H520),'Ведомость расчета мин. платы'!$AE$10:$AE$214,0),6),"")</f>
        <v>74.69</v>
      </c>
      <c r="N520" s="214">
        <f t="shared" ca="1" si="212"/>
        <v>108.71</v>
      </c>
      <c r="O520" s="229">
        <f t="shared" si="216"/>
        <v>1</v>
      </c>
      <c r="P520" s="230">
        <f t="shared" si="210"/>
        <v>0</v>
      </c>
      <c r="AP520" s="242"/>
      <c r="AQ520" s="253"/>
    </row>
    <row r="521" spans="1:43" x14ac:dyDescent="0.2">
      <c r="B521" s="249"/>
      <c r="C521" s="249"/>
      <c r="D521" s="249"/>
      <c r="E521" s="249"/>
      <c r="F521" s="249"/>
      <c r="G521" s="249"/>
      <c r="H521" s="250" t="s">
        <v>475</v>
      </c>
      <c r="I521" s="251">
        <f ca="1">IFERROR(ROUND(I520*I513,2),"")</f>
        <v>1258.17</v>
      </c>
      <c r="J521" s="251">
        <f t="shared" ref="J521" ca="1" si="218">IFERROR(ROUND(J520*J513,2),"")</f>
        <v>16766.009999999998</v>
      </c>
      <c r="K521" s="251">
        <f t="shared" ref="K521" ca="1" si="219">IFERROR(ROUND(K520*K513,2),"")</f>
        <v>2103.12</v>
      </c>
      <c r="L521" s="251">
        <f t="shared" ca="1" si="211"/>
        <v>20127.3</v>
      </c>
      <c r="M521" s="251">
        <f t="shared" ref="M521" ca="1" si="220">IFERROR(ROUND(M520*M513,2),"")</f>
        <v>2089.08</v>
      </c>
      <c r="N521" s="252">
        <f t="shared" ca="1" si="212"/>
        <v>22216.379999999997</v>
      </c>
      <c r="O521" s="229" t="str">
        <f t="shared" si="216"/>
        <v/>
      </c>
      <c r="P521" s="230">
        <f t="shared" si="210"/>
        <v>0</v>
      </c>
      <c r="AP521" s="242">
        <f ca="1">SUMIFS('Ведомость расчета мин. платы'!$S$10:$S$209,'Ведомость расчета мин. платы'!$AE$10:$AE$209,CONCATENATE(B518,"/",D518,"/",E518,"/",F518,"/",H520))</f>
        <v>22216.38</v>
      </c>
      <c r="AQ521" s="253">
        <f t="shared" ref="AQ521" ca="1" si="221">AP521-N521</f>
        <v>0</v>
      </c>
    </row>
    <row r="522" spans="1:43" x14ac:dyDescent="0.2">
      <c r="B522" s="249"/>
      <c r="C522" s="249"/>
      <c r="D522" s="249"/>
      <c r="E522" s="249"/>
      <c r="F522" s="249"/>
      <c r="G522" s="249"/>
      <c r="H522" s="205" t="s">
        <v>19</v>
      </c>
      <c r="I522" s="248">
        <f ca="1">IFERROR(INDEX('Ведомость расчета мин. платы'!$J$10:$AE$214,MATCH(CONCATENATE(РАСЧЕТ!B518,"/",РАСЧЕТ!D518,"/",РАСЧЕТ!E518,"/",F518,"/",H522),'Ведомость расчета мин. платы'!$AE$10:$AE$214,0),2),"")</f>
        <v>9.66</v>
      </c>
      <c r="J522" s="248">
        <f ca="1">IFERROR(INDEX('Ведомость расчета мин. платы'!$J$10:$AE$214,MATCH(CONCATENATE(РАСЧЕТ!B518,"/",РАСЧЕТ!D518,"/",РАСЧЕТ!E518,"/",F518,"/",H522),'Ведомость расчета мин. платы'!$AE$10:$AE$214,0),3),"")</f>
        <v>65.47</v>
      </c>
      <c r="K522" s="248">
        <f ca="1">IFERROR(INDEX('Ведомость расчета мин. платы'!$J$10:$AE$214,MATCH(CONCATENATE(РАСЧЕТ!B518,"/",РАСЧЕТ!D518,"/",РАСЧЕТ!E518,"/",F518,"/",H522),'Ведомость расчета мин. платы'!$AE$10:$AE$214,0),4),"")</f>
        <v>16.14</v>
      </c>
      <c r="L522" s="248">
        <f t="shared" ca="1" si="211"/>
        <v>91.27</v>
      </c>
      <c r="M522" s="248">
        <f ca="1">IFERROR(INDEX('Ведомость расчета мин. платы'!$J$10:$AE$214,MATCH(CONCATENATE(РАСЧЕТ!B518,"/",РАСЧЕТ!D518,"/",РАСЧЕТ!E518,"/",F518,"/",H522),'Ведомость расчета мин. платы'!$AE$10:$AE$214,0),6),"")</f>
        <v>132.04</v>
      </c>
      <c r="N522" s="214">
        <f t="shared" ca="1" si="212"/>
        <v>223.31</v>
      </c>
      <c r="O522" s="229">
        <f t="shared" si="216"/>
        <v>1</v>
      </c>
      <c r="P522" s="230">
        <f t="shared" si="210"/>
        <v>0</v>
      </c>
      <c r="AP522" s="242"/>
      <c r="AQ522" s="253"/>
    </row>
    <row r="523" spans="1:43" x14ac:dyDescent="0.2">
      <c r="B523" s="249"/>
      <c r="C523" s="249"/>
      <c r="D523" s="249"/>
      <c r="E523" s="249"/>
      <c r="F523" s="249"/>
      <c r="G523" s="249"/>
      <c r="H523" s="250" t="s">
        <v>475</v>
      </c>
      <c r="I523" s="251">
        <f ca="1">IFERROR(ROUND(I522*I514,2),"")</f>
        <v>689.24</v>
      </c>
      <c r="J523" s="251">
        <f t="shared" ref="J523" ca="1" si="222">IFERROR(ROUND(J522*J514,2),"")</f>
        <v>3400.51</v>
      </c>
      <c r="K523" s="251">
        <f t="shared" ref="K523" ca="1" si="223">IFERROR(ROUND(K522*K514,2),"")</f>
        <v>428.36</v>
      </c>
      <c r="L523" s="251">
        <f t="shared" ca="1" si="211"/>
        <v>4518.1099999999997</v>
      </c>
      <c r="M523" s="251">
        <v>188.81000000000068</v>
      </c>
      <c r="N523" s="252">
        <f t="shared" ca="1" si="212"/>
        <v>4706.92</v>
      </c>
      <c r="O523" s="229" t="str">
        <f t="shared" si="216"/>
        <v/>
      </c>
      <c r="P523" s="230">
        <f t="shared" si="210"/>
        <v>0</v>
      </c>
      <c r="AP523" s="242">
        <f ca="1">SUMIFS('Ведомость расчета мин. платы'!$S$10:$S$209,'Ведомость расчета мин. платы'!$AE$10:$AE$209,CONCATENATE(B518,"/",D518,"/",E518,"/",F518,"/",H522))</f>
        <v>4706.92</v>
      </c>
      <c r="AQ523" s="253">
        <f t="shared" ref="AQ523" ca="1" si="224">AP523-N523</f>
        <v>0</v>
      </c>
    </row>
    <row r="524" spans="1:43" x14ac:dyDescent="0.2">
      <c r="B524" s="249"/>
      <c r="C524" s="249"/>
      <c r="D524" s="249"/>
      <c r="E524" s="249"/>
      <c r="F524" s="249"/>
      <c r="G524" s="249"/>
      <c r="H524" s="205" t="s">
        <v>268</v>
      </c>
      <c r="I524" s="248" t="str">
        <f ca="1">IFERROR(INDEX('Ведомость расчета мин. платы'!$J$10:$AE$214,MATCH(CONCATENATE(РАСЧЕТ!B518,"/",РАСЧЕТ!D518,"/",РАСЧЕТ!E518,"/",F518,"/",H524),'Ведомость расчета мин. платы'!$AE$10:$AE$214,0),2),"")</f>
        <v/>
      </c>
      <c r="J524" s="248" t="str">
        <f ca="1">IFERROR(INDEX('Ведомость расчета мин. платы'!$J$10:$AE$214,MATCH(CONCATENATE(РАСЧЕТ!B518,"/",РАСЧЕТ!D518,"/",РАСЧЕТ!E518,"/",F518,"/",H524),'Ведомость расчета мин. платы'!$AE$10:$AE$214,0),3),"")</f>
        <v/>
      </c>
      <c r="K524" s="248" t="str">
        <f ca="1">IFERROR(INDEX('Ведомость расчета мин. платы'!$J$10:$AE$214,MATCH(CONCATENATE(РАСЧЕТ!B518,"/",РАСЧЕТ!D518,"/",РАСЧЕТ!E518,"/",F518,"/",H524),'Ведомость расчета мин. платы'!$AE$10:$AE$214,0),4),"")</f>
        <v/>
      </c>
      <c r="L524" s="248">
        <f t="shared" ca="1" si="211"/>
        <v>0</v>
      </c>
      <c r="M524" s="248" t="str">
        <f ca="1">IFERROR(INDEX('Ведомость расчета мин. платы'!$J$10:$AE$214,MATCH(CONCATENATE(РАСЧЕТ!B518,"/",РАСЧЕТ!D518,"/",РАСЧЕТ!E518,"/",F518,"/",H524),'Ведомость расчета мин. платы'!$AE$10:$AE$214,0),6),"")</f>
        <v/>
      </c>
      <c r="N524" s="214">
        <f t="shared" ca="1" si="212"/>
        <v>0</v>
      </c>
      <c r="O524" s="229">
        <f t="shared" si="216"/>
        <v>1</v>
      </c>
      <c r="P524" s="230">
        <f t="shared" si="210"/>
        <v>0</v>
      </c>
      <c r="AP524" s="242"/>
      <c r="AQ524" s="253"/>
    </row>
    <row r="525" spans="1:43" x14ac:dyDescent="0.2">
      <c r="B525" s="249"/>
      <c r="C525" s="249"/>
      <c r="D525" s="249"/>
      <c r="E525" s="249"/>
      <c r="F525" s="249"/>
      <c r="G525" s="249"/>
      <c r="H525" s="250" t="s">
        <v>475</v>
      </c>
      <c r="I525" s="251" t="str">
        <f ca="1">IFERROR(ROUND(I524*I517,2),"")</f>
        <v/>
      </c>
      <c r="J525" s="251" t="str">
        <f ca="1">IFERROR(ROUND(J524*J515,2),"")</f>
        <v/>
      </c>
      <c r="K525" s="251" t="str">
        <f ca="1">IFERROR(ROUND(K524*K515,2),"")</f>
        <v/>
      </c>
      <c r="L525" s="251">
        <f t="shared" ca="1" si="211"/>
        <v>0</v>
      </c>
      <c r="M525" s="251" t="str">
        <f ca="1">IFERROR(ROUND(M524*M515,2),"")</f>
        <v/>
      </c>
      <c r="N525" s="252">
        <f t="shared" ca="1" si="212"/>
        <v>0</v>
      </c>
      <c r="O525" s="229" t="str">
        <f t="shared" si="216"/>
        <v/>
      </c>
      <c r="P525" s="230">
        <f t="shared" si="210"/>
        <v>0</v>
      </c>
      <c r="AP525" s="242">
        <f ca="1">SUMIFS('Ведомость расчета мин. платы'!$S$10:$S$209,'Ведомость расчета мин. платы'!$AE$10:$AE$209,CONCATENATE(B518,"/",D518,"/",E518,"/",F518,"/",H524))</f>
        <v>0</v>
      </c>
      <c r="AQ525" s="253">
        <f t="shared" ref="AQ525" ca="1" si="225">AP525-N525</f>
        <v>0</v>
      </c>
    </row>
    <row r="526" spans="1:43" x14ac:dyDescent="0.2">
      <c r="B526" s="249"/>
      <c r="C526" s="249"/>
      <c r="D526" s="249"/>
      <c r="E526" s="249"/>
      <c r="F526" s="249"/>
      <c r="G526" s="249"/>
      <c r="H526" s="205" t="s">
        <v>40</v>
      </c>
      <c r="I526" s="248" t="str">
        <f ca="1">IFERROR(INDEX('Ведомость расчета мин. платы'!$J$10:$AE$214,MATCH(CONCATENATE(РАСЧЕТ!B518,"/",РАСЧЕТ!D518,"/",РАСЧЕТ!E518,"/",F518,"/",H526),'Ведомость расчета мин. платы'!$AE$10:$AE$214,0),2),"")</f>
        <v/>
      </c>
      <c r="J526" s="248" t="str">
        <f ca="1">IFERROR(INDEX('Ведомость расчета мин. платы'!$J$10:$AE$214,MATCH(CONCATENATE(РАСЧЕТ!B518,"/",РАСЧЕТ!D518,"/",РАСЧЕТ!E518,"/",F518,"/",H526),'Ведомость расчета мин. платы'!$AE$10:$AE$214,0),3),"")</f>
        <v/>
      </c>
      <c r="K526" s="248" t="str">
        <f ca="1">IFERROR(INDEX('Ведомость расчета мин. платы'!$J$10:$AE$214,MATCH(CONCATENATE(РАСЧЕТ!B518,"/",РАСЧЕТ!D518,"/",РАСЧЕТ!E518,"/",F518,"/",H526),'Ведомость расчета мин. платы'!$AE$10:$AE$214,0),4),"")</f>
        <v/>
      </c>
      <c r="L526" s="248">
        <f t="shared" ca="1" si="211"/>
        <v>0</v>
      </c>
      <c r="M526" s="248" t="str">
        <f ca="1">IFERROR(INDEX('Ведомость расчета мин. платы'!$J$10:$AE$214,MATCH(CONCATENATE(РАСЧЕТ!B518,"/",РАСЧЕТ!D518,"/",РАСЧЕТ!E518,"/",F518,"/",H526),'Ведомость расчета мин. платы'!$AE$10:$AE$214,0),6),"")</f>
        <v/>
      </c>
      <c r="N526" s="214">
        <f t="shared" ca="1" si="212"/>
        <v>0</v>
      </c>
      <c r="O526" s="229">
        <f t="shared" si="216"/>
        <v>1</v>
      </c>
      <c r="P526" s="230">
        <f t="shared" si="210"/>
        <v>0</v>
      </c>
      <c r="AP526" s="242"/>
      <c r="AQ526" s="253"/>
    </row>
    <row r="527" spans="1:43" x14ac:dyDescent="0.2">
      <c r="B527" s="249"/>
      <c r="C527" s="249"/>
      <c r="D527" s="249"/>
      <c r="E527" s="249"/>
      <c r="F527" s="249"/>
      <c r="G527" s="249"/>
      <c r="H527" s="250" t="s">
        <v>475</v>
      </c>
      <c r="I527" s="251" t="str">
        <f ca="1">IFERROR(ROUND(I526*I516,2),"")</f>
        <v/>
      </c>
      <c r="J527" s="251" t="str">
        <f t="shared" ref="J527" ca="1" si="226">IFERROR(ROUND(J526*J516,2),"")</f>
        <v/>
      </c>
      <c r="K527" s="251" t="str">
        <f t="shared" ref="K527" ca="1" si="227">IFERROR(ROUND(K526*K516,2),"")</f>
        <v/>
      </c>
      <c r="L527" s="251">
        <f t="shared" ca="1" si="211"/>
        <v>0</v>
      </c>
      <c r="M527" s="251" t="str">
        <f t="shared" ref="M527" ca="1" si="228">IFERROR(ROUND(M526*M516,2),"")</f>
        <v/>
      </c>
      <c r="N527" s="252">
        <f t="shared" ca="1" si="212"/>
        <v>0</v>
      </c>
      <c r="O527" s="229" t="str">
        <f t="shared" si="216"/>
        <v/>
      </c>
      <c r="P527" s="230">
        <f t="shared" si="210"/>
        <v>0</v>
      </c>
      <c r="AP527" s="242">
        <f ca="1">SUMIFS('Ведомость расчета мин. платы'!$S$10:$S$209,'Ведомость расчета мин. платы'!$AE$10:$AE$209,CONCATENATE(B518,"/",D518,"/",E518,"/",F518,"/",H526))</f>
        <v>0</v>
      </c>
      <c r="AQ527" s="253">
        <f t="shared" ref="AQ527" ca="1" si="229">AP527-N527</f>
        <v>0</v>
      </c>
    </row>
    <row r="528" spans="1:43" x14ac:dyDescent="0.2">
      <c r="B528" s="249"/>
      <c r="C528" s="249"/>
      <c r="D528" s="249"/>
      <c r="E528" s="249"/>
      <c r="F528" s="249"/>
      <c r="G528" s="249"/>
      <c r="H528" s="205" t="s">
        <v>18</v>
      </c>
      <c r="I528" s="248">
        <f ca="1">IFERROR(INDEX('Ведомость расчета мин. платы'!$J$10:$AE$214,MATCH(CONCATENATE(РАСЧЕТ!B518,"/",РАСЧЕТ!D518,"/",РАСЧЕТ!E518,"/",F518,"/",H528),'Ведомость расчета мин. платы'!$AE$10:$AE$214,0),2),"")</f>
        <v>113.61</v>
      </c>
      <c r="J528" s="248">
        <f ca="1">IFERROR(INDEX('Ведомость расчета мин. платы'!$J$10:$AE$214,MATCH(CONCATENATE(РАСЧЕТ!B518,"/",РАСЧЕТ!D518,"/",РАСЧЕТ!E518,"/",F518,"/",H528),'Ведомость расчета мин. платы'!$AE$10:$AE$214,0),3),"")</f>
        <v>152.25</v>
      </c>
      <c r="K528" s="248">
        <f ca="1">IFERROR(INDEX('Ведомость расчета мин. платы'!$J$10:$AE$214,MATCH(CONCATENATE(РАСЧЕТ!B518,"/",РАСЧЕТ!D518,"/",РАСЧЕТ!E518,"/",F518,"/",H528),'Ведомость расчета мин. платы'!$AE$10:$AE$214,0),4),"")</f>
        <v>7.56</v>
      </c>
      <c r="L528" s="248">
        <f t="shared" ca="1" si="211"/>
        <v>273.42</v>
      </c>
      <c r="M528" s="248">
        <f ca="1">IFERROR(INDEX('Ведомость расчета мин. платы'!$J$10:$AE$214,MATCH(CONCATENATE(РАСЧЕТ!B518,"/",РАСЧЕТ!D518,"/",РАСЧЕТ!E518,"/",F518,"/",H528),'Ведомость расчета мин. платы'!$AE$10:$AE$214,0),6),"")</f>
        <v>188.51</v>
      </c>
      <c r="N528" s="214">
        <f t="shared" ca="1" si="212"/>
        <v>461.93</v>
      </c>
      <c r="O528" s="229">
        <f t="shared" si="216"/>
        <v>1</v>
      </c>
      <c r="P528" s="230">
        <f t="shared" si="210"/>
        <v>0</v>
      </c>
      <c r="AP528" s="242"/>
      <c r="AQ528" s="253"/>
    </row>
    <row r="529" spans="2:43" x14ac:dyDescent="0.2">
      <c r="B529" s="249"/>
      <c r="C529" s="249"/>
      <c r="D529" s="249"/>
      <c r="E529" s="249"/>
      <c r="F529" s="249"/>
      <c r="G529" s="249"/>
      <c r="H529" s="250" t="s">
        <v>475</v>
      </c>
      <c r="I529" s="251">
        <f ca="1">IFERROR(ROUND(I528*I517,2),"")</f>
        <v>2593.7199999999998</v>
      </c>
      <c r="J529" s="251">
        <f t="shared" ref="J529" ca="1" si="230">IFERROR(ROUND(J528*J517,2),"")</f>
        <v>2650.67</v>
      </c>
      <c r="K529" s="251">
        <f t="shared" ref="K529" ca="1" si="231">IFERROR(ROUND(K528*K517,2),"")</f>
        <v>66.91</v>
      </c>
      <c r="L529" s="251">
        <f t="shared" ca="1" si="211"/>
        <v>5311.2999999999993</v>
      </c>
      <c r="M529" s="251">
        <f t="shared" ref="M529" ca="1" si="232">IFERROR(ROUND(M528*M517,2),"")</f>
        <v>107.45</v>
      </c>
      <c r="N529" s="252">
        <f t="shared" ca="1" si="212"/>
        <v>5418.7499999999991</v>
      </c>
      <c r="O529" s="229" t="str">
        <f t="shared" si="216"/>
        <v/>
      </c>
      <c r="P529" s="230">
        <f t="shared" si="210"/>
        <v>0</v>
      </c>
      <c r="AP529" s="242">
        <f ca="1">SUMIFS('Ведомость расчета мин. платы'!$S$10:$S$209,'Ведомость расчета мин. платы'!$AE$10:$AE$209,CONCATENATE(B518,"/",D518,"/",E518,"/",F518,"/",H528))</f>
        <v>5418.75</v>
      </c>
      <c r="AQ529" s="253">
        <f t="shared" ref="AQ529" ca="1" si="233">AP529-N529</f>
        <v>0</v>
      </c>
    </row>
    <row r="530" spans="2:43" x14ac:dyDescent="0.2">
      <c r="B530" s="249"/>
      <c r="C530" s="249"/>
      <c r="D530" s="249"/>
      <c r="E530" s="249"/>
      <c r="F530" s="249"/>
      <c r="G530" s="249"/>
      <c r="H530" s="254" t="s">
        <v>476</v>
      </c>
      <c r="I530" s="251">
        <f ca="1">SUMIF($O518:$O531,1,I518:I529)</f>
        <v>129.57</v>
      </c>
      <c r="J530" s="251">
        <f ca="1">SUMIF($O518:$O531,1,J518:J529)</f>
        <v>274.84000000000003</v>
      </c>
      <c r="K530" s="251">
        <f ca="1">SUMIF($O518:$O531,1,K518:K529)</f>
        <v>44.28</v>
      </c>
      <c r="L530" s="251">
        <f t="shared" ca="1" si="211"/>
        <v>448.69000000000005</v>
      </c>
      <c r="M530" s="251">
        <f ca="1">SUMIF($O518:$O531,1,M518:M529)</f>
        <v>449.98</v>
      </c>
      <c r="N530" s="252">
        <f t="shared" ca="1" si="212"/>
        <v>898.67000000000007</v>
      </c>
      <c r="AP530" s="242"/>
      <c r="AQ530" s="253"/>
    </row>
    <row r="531" spans="2:43" x14ac:dyDescent="0.2">
      <c r="B531" s="249"/>
      <c r="C531" s="249"/>
      <c r="D531" s="249"/>
      <c r="E531" s="249"/>
      <c r="F531" s="249"/>
      <c r="G531" s="249"/>
      <c r="H531" s="254" t="s">
        <v>491</v>
      </c>
      <c r="I531" s="251">
        <f ca="1">SUMIF(H518:H529,"стоимость",I518:I529)</f>
        <v>5129.87</v>
      </c>
      <c r="J531" s="251">
        <f ca="1">SUMIF(H518:H529,"стоимость",J518:J529)</f>
        <v>25472.269999999997</v>
      </c>
      <c r="K531" s="251">
        <f ca="1">SUMIF(H518:H529,"стоимость",K518:K529)</f>
        <v>3208.75</v>
      </c>
      <c r="L531" s="251">
        <f ca="1">IFERROR(SUM(I531:K531),"")</f>
        <v>33810.89</v>
      </c>
      <c r="M531" s="251">
        <f ca="1">SUMIF(H518:H529,"стоимость",M518:M529)</f>
        <v>2760.3100000000009</v>
      </c>
      <c r="N531" s="252">
        <f ca="1">IFERROR(SUM(L531:M531),"")</f>
        <v>36571.199999999997</v>
      </c>
      <c r="AP531" s="242">
        <f ca="1">SUMIFS('Ведомость расчета мин. платы'!$S$10:$S$209,'Ведомость расчета мин. платы'!$J$10:$J$209,"Итого",'Ведомость расчета мин. платы'!$AC$10:$AC$209,CONCATENATE(B518,"/",D518,"/",E518,"/",F518))</f>
        <v>36571.199999999997</v>
      </c>
      <c r="AQ531" s="253">
        <f ca="1">AP531-N531</f>
        <v>0</v>
      </c>
    </row>
    <row r="532" spans="2:43" x14ac:dyDescent="0.2">
      <c r="B532" s="255"/>
      <c r="C532" s="255"/>
      <c r="D532" s="255"/>
      <c r="E532" s="255"/>
      <c r="F532" s="255"/>
      <c r="G532" s="256"/>
      <c r="H532" s="257"/>
      <c r="I532" s="258"/>
      <c r="J532" s="258"/>
      <c r="K532" s="258"/>
      <c r="L532" s="258"/>
      <c r="M532" s="258"/>
      <c r="N532" s="258"/>
      <c r="P532" s="230">
        <f t="shared" ref="P532:P550" si="234">IF(A532&gt;0,1,0)</f>
        <v>0</v>
      </c>
    </row>
    <row r="533" spans="2:43" x14ac:dyDescent="0.2">
      <c r="B533" s="282" t="s">
        <v>477</v>
      </c>
      <c r="C533" s="282"/>
      <c r="D533" s="282"/>
      <c r="E533" s="282"/>
      <c r="F533" s="259"/>
      <c r="G533" s="225"/>
      <c r="H533" s="201"/>
      <c r="I533" s="226"/>
      <c r="J533" s="258"/>
      <c r="K533" s="258"/>
      <c r="L533" s="258"/>
      <c r="M533" s="258"/>
      <c r="N533" s="258"/>
      <c r="P533" s="230">
        <f t="shared" si="234"/>
        <v>0</v>
      </c>
    </row>
    <row r="534" spans="2:43" x14ac:dyDescent="0.2">
      <c r="B534" s="283" t="s">
        <v>525</v>
      </c>
      <c r="C534" s="283"/>
      <c r="D534" s="283"/>
      <c r="E534" s="283"/>
      <c r="F534" s="283"/>
      <c r="G534" s="283"/>
      <c r="H534" s="283"/>
      <c r="I534" s="283"/>
      <c r="J534" s="261"/>
      <c r="K534" s="261"/>
      <c r="L534" s="261"/>
      <c r="M534" s="261"/>
      <c r="N534" s="261"/>
      <c r="P534" s="230">
        <f t="shared" si="234"/>
        <v>0</v>
      </c>
    </row>
    <row r="535" spans="2:43" x14ac:dyDescent="0.2">
      <c r="B535" s="284" t="s">
        <v>478</v>
      </c>
      <c r="C535" s="284"/>
      <c r="D535" s="284"/>
      <c r="E535" s="284"/>
      <c r="F535" s="284"/>
      <c r="G535" s="284"/>
      <c r="H535" s="284"/>
      <c r="I535" s="284"/>
      <c r="J535" s="258"/>
      <c r="K535" s="258"/>
      <c r="L535" s="258"/>
      <c r="M535" s="258"/>
      <c r="N535" s="258"/>
      <c r="P535" s="230">
        <f t="shared" si="234"/>
        <v>0</v>
      </c>
    </row>
    <row r="536" spans="2:43" x14ac:dyDescent="0.2">
      <c r="B536" s="284" t="s">
        <v>479</v>
      </c>
      <c r="C536" s="284"/>
      <c r="D536" s="284"/>
      <c r="E536" s="284"/>
      <c r="F536" s="284"/>
      <c r="G536" s="284"/>
      <c r="H536" s="284"/>
      <c r="I536" s="284"/>
      <c r="J536" s="258"/>
      <c r="K536" s="258"/>
      <c r="L536" s="258"/>
      <c r="M536" s="258"/>
      <c r="N536" s="258"/>
      <c r="P536" s="230">
        <f t="shared" si="234"/>
        <v>0</v>
      </c>
    </row>
    <row r="537" spans="2:43" x14ac:dyDescent="0.2">
      <c r="B537" s="284" t="s">
        <v>480</v>
      </c>
      <c r="C537" s="284"/>
      <c r="D537" s="284"/>
      <c r="E537" s="284"/>
      <c r="F537" s="284"/>
      <c r="G537" s="284"/>
      <c r="H537" s="284"/>
      <c r="I537" s="284"/>
      <c r="J537" s="258"/>
      <c r="K537" s="258"/>
      <c r="L537" s="258"/>
      <c r="M537" s="258"/>
      <c r="N537" s="258"/>
      <c r="P537" s="230">
        <f t="shared" si="234"/>
        <v>0</v>
      </c>
    </row>
    <row r="538" spans="2:43" x14ac:dyDescent="0.2">
      <c r="B538" s="284" t="s">
        <v>481</v>
      </c>
      <c r="C538" s="284"/>
      <c r="D538" s="284"/>
      <c r="E538" s="284"/>
      <c r="F538" s="284"/>
      <c r="G538" s="284"/>
      <c r="H538" s="284"/>
      <c r="I538" s="284"/>
      <c r="J538" s="226"/>
      <c r="K538" s="226"/>
      <c r="L538" s="226"/>
      <c r="M538" s="226"/>
      <c r="N538" s="226"/>
      <c r="P538" s="230">
        <f t="shared" si="234"/>
        <v>0</v>
      </c>
    </row>
    <row r="539" spans="2:43" x14ac:dyDescent="0.2">
      <c r="B539" s="284" t="s">
        <v>482</v>
      </c>
      <c r="C539" s="284"/>
      <c r="D539" s="284"/>
      <c r="E539" s="284"/>
      <c r="F539" s="284"/>
      <c r="G539" s="284"/>
      <c r="H539" s="284"/>
      <c r="I539" s="284"/>
      <c r="J539" s="226"/>
      <c r="K539" s="226"/>
      <c r="L539" s="226"/>
      <c r="M539" s="226"/>
      <c r="N539" s="226"/>
      <c r="P539" s="230">
        <f t="shared" si="234"/>
        <v>0</v>
      </c>
    </row>
    <row r="540" spans="2:43" x14ac:dyDescent="0.2">
      <c r="B540" s="284" t="s">
        <v>483</v>
      </c>
      <c r="C540" s="284"/>
      <c r="D540" s="284"/>
      <c r="E540" s="284"/>
      <c r="F540" s="284"/>
      <c r="G540" s="284"/>
      <c r="H540" s="284"/>
      <c r="I540" s="284"/>
      <c r="J540" s="226"/>
      <c r="K540" s="226"/>
      <c r="L540" s="226"/>
      <c r="M540" s="226"/>
      <c r="N540" s="226"/>
      <c r="P540" s="230">
        <f t="shared" si="234"/>
        <v>0</v>
      </c>
    </row>
    <row r="541" spans="2:43" x14ac:dyDescent="0.2">
      <c r="B541" s="284" t="s">
        <v>484</v>
      </c>
      <c r="C541" s="284"/>
      <c r="D541" s="284"/>
      <c r="E541" s="284"/>
      <c r="F541" s="284"/>
      <c r="G541" s="284"/>
      <c r="H541" s="284"/>
      <c r="I541" s="284"/>
      <c r="J541" s="226"/>
      <c r="K541" s="226"/>
      <c r="L541" s="226"/>
      <c r="M541" s="226"/>
      <c r="N541" s="226"/>
      <c r="P541" s="230">
        <f t="shared" si="234"/>
        <v>0</v>
      </c>
    </row>
    <row r="542" spans="2:43" x14ac:dyDescent="0.2">
      <c r="B542" s="264"/>
      <c r="C542" s="264"/>
      <c r="D542" s="264"/>
      <c r="E542" s="264"/>
      <c r="F542" s="264"/>
      <c r="G542" s="264"/>
      <c r="H542" s="264"/>
      <c r="I542" s="265"/>
      <c r="J542" s="226"/>
      <c r="K542" s="226"/>
      <c r="L542" s="226"/>
      <c r="M542" s="226"/>
      <c r="N542" s="226"/>
      <c r="P542" s="230">
        <f t="shared" si="234"/>
        <v>0</v>
      </c>
    </row>
    <row r="543" spans="2:43" x14ac:dyDescent="0.2">
      <c r="B543" s="225" t="s">
        <v>485</v>
      </c>
      <c r="C543" s="225"/>
      <c r="D543" s="225"/>
      <c r="E543" s="225"/>
      <c r="F543" s="225"/>
      <c r="G543" s="225"/>
      <c r="H543" s="201"/>
      <c r="I543" s="226"/>
      <c r="J543" s="226" t="s">
        <v>486</v>
      </c>
      <c r="K543" s="226"/>
      <c r="L543" s="226"/>
      <c r="M543" s="226"/>
      <c r="N543" s="226"/>
      <c r="P543" s="230">
        <f t="shared" si="234"/>
        <v>0</v>
      </c>
    </row>
    <row r="544" spans="2:43" x14ac:dyDescent="0.2">
      <c r="B544" s="266" t="s">
        <v>524</v>
      </c>
      <c r="C544" s="266"/>
      <c r="D544" s="225"/>
      <c r="E544" s="225"/>
      <c r="F544" s="225"/>
      <c r="G544" s="225"/>
      <c r="H544" s="201"/>
      <c r="I544" s="226"/>
      <c r="J544" s="267"/>
      <c r="K544" s="267"/>
      <c r="L544" s="267"/>
      <c r="M544" s="226"/>
      <c r="N544" s="226"/>
      <c r="P544" s="230">
        <f t="shared" si="234"/>
        <v>0</v>
      </c>
    </row>
    <row r="545" spans="1:16" x14ac:dyDescent="0.2">
      <c r="B545" s="268" t="s">
        <v>487</v>
      </c>
      <c r="C545" s="225"/>
      <c r="D545" s="225"/>
      <c r="E545" s="225"/>
      <c r="F545" s="225"/>
      <c r="G545" s="225"/>
      <c r="H545" s="201"/>
      <c r="I545" s="226"/>
      <c r="J545" s="226" t="s">
        <v>487</v>
      </c>
      <c r="K545" s="226"/>
      <c r="L545" s="226"/>
      <c r="M545" s="226"/>
      <c r="N545" s="226"/>
      <c r="P545" s="230">
        <f t="shared" si="234"/>
        <v>0</v>
      </c>
    </row>
    <row r="546" spans="1:16" x14ac:dyDescent="0.2">
      <c r="B546" s="225"/>
      <c r="C546" s="225"/>
      <c r="D546" s="225"/>
      <c r="E546" s="225"/>
      <c r="F546" s="225"/>
      <c r="G546" s="225"/>
      <c r="H546" s="201"/>
      <c r="I546" s="226"/>
      <c r="J546" s="226"/>
      <c r="K546" s="226"/>
      <c r="L546" s="226"/>
      <c r="M546" s="226"/>
      <c r="N546" s="226"/>
      <c r="P546" s="230">
        <f t="shared" si="234"/>
        <v>0</v>
      </c>
    </row>
    <row r="547" spans="1:16" x14ac:dyDescent="0.2">
      <c r="B547" s="266"/>
      <c r="C547" s="266"/>
      <c r="D547" s="225"/>
      <c r="E547" s="225"/>
      <c r="F547" s="225"/>
      <c r="G547" s="225"/>
      <c r="H547" s="201"/>
      <c r="I547" s="226"/>
      <c r="J547" s="267"/>
      <c r="K547" s="267"/>
      <c r="L547" s="267"/>
      <c r="M547" s="226"/>
      <c r="N547" s="226"/>
      <c r="P547" s="230">
        <f t="shared" si="234"/>
        <v>0</v>
      </c>
    </row>
    <row r="548" spans="1:16" x14ac:dyDescent="0.2">
      <c r="B548" s="269" t="s">
        <v>488</v>
      </c>
      <c r="C548" s="225"/>
      <c r="D548" s="225"/>
      <c r="E548" s="225"/>
      <c r="F548" s="225"/>
      <c r="G548" s="225"/>
      <c r="H548" s="201"/>
      <c r="I548" s="226"/>
      <c r="J548" s="285" t="s">
        <v>488</v>
      </c>
      <c r="K548" s="285"/>
      <c r="L548" s="285"/>
      <c r="M548" s="226"/>
      <c r="N548" s="226"/>
      <c r="P548" s="230">
        <f t="shared" si="234"/>
        <v>0</v>
      </c>
    </row>
    <row r="549" spans="1:16" x14ac:dyDescent="0.2">
      <c r="B549" s="225"/>
      <c r="C549" s="225"/>
      <c r="D549" s="225"/>
      <c r="E549" s="225"/>
      <c r="F549" s="225"/>
      <c r="G549" s="225"/>
      <c r="H549" s="201"/>
      <c r="I549" s="226"/>
      <c r="J549" s="226"/>
      <c r="K549" s="226"/>
      <c r="L549" s="226"/>
      <c r="M549" s="226"/>
      <c r="N549" s="226"/>
      <c r="P549" s="230">
        <f t="shared" si="234"/>
        <v>0</v>
      </c>
    </row>
    <row r="550" spans="1:16" x14ac:dyDescent="0.2">
      <c r="B550" s="264" t="s">
        <v>489</v>
      </c>
      <c r="C550" s="225"/>
      <c r="D550" s="225"/>
      <c r="E550" s="225"/>
      <c r="F550" s="225"/>
      <c r="G550" s="225"/>
      <c r="H550" s="201"/>
      <c r="I550" s="226"/>
      <c r="J550" s="226" t="s">
        <v>489</v>
      </c>
      <c r="K550" s="226"/>
      <c r="L550" s="226"/>
      <c r="M550" s="226"/>
      <c r="N550" s="226"/>
      <c r="P550" s="230">
        <f t="shared" si="234"/>
        <v>0</v>
      </c>
    </row>
    <row r="551" spans="1:16" x14ac:dyDescent="0.2">
      <c r="A551" s="272"/>
      <c r="B551" s="225"/>
      <c r="C551" s="225"/>
      <c r="D551" s="225"/>
      <c r="E551" s="225"/>
      <c r="F551" s="225"/>
      <c r="G551" s="225"/>
      <c r="H551" s="201"/>
      <c r="I551" s="226"/>
      <c r="J551" s="226"/>
      <c r="K551" s="226"/>
      <c r="M551" s="226"/>
      <c r="N551" s="228"/>
    </row>
    <row r="552" spans="1:16" x14ac:dyDescent="0.2">
      <c r="A552" s="260"/>
      <c r="B552" s="225"/>
      <c r="C552" s="225"/>
      <c r="D552" s="225"/>
      <c r="E552" s="225"/>
      <c r="F552" s="225"/>
      <c r="G552" s="225"/>
      <c r="H552" s="201"/>
      <c r="I552" s="226"/>
      <c r="J552" s="226"/>
      <c r="K552" s="226"/>
      <c r="M552" s="226"/>
      <c r="N552" s="228" t="s">
        <v>455</v>
      </c>
      <c r="P552" s="230">
        <f t="shared" ref="P552:P569" si="235">IF(A552&gt;0,1,0)</f>
        <v>0</v>
      </c>
    </row>
    <row r="553" spans="1:16" x14ac:dyDescent="0.2">
      <c r="B553" s="225"/>
      <c r="C553" s="225"/>
      <c r="D553" s="225"/>
      <c r="E553" s="225"/>
      <c r="F553" s="225"/>
      <c r="G553" s="225"/>
      <c r="H553" s="201"/>
      <c r="I553" s="226"/>
      <c r="J553" s="226"/>
      <c r="K553" s="226"/>
      <c r="M553" s="226"/>
      <c r="N553" s="228" t="s">
        <v>456</v>
      </c>
      <c r="P553" s="230">
        <f t="shared" si="235"/>
        <v>0</v>
      </c>
    </row>
    <row r="554" spans="1:16" x14ac:dyDescent="0.2">
      <c r="B554" s="225"/>
      <c r="C554" s="225"/>
      <c r="D554" s="225"/>
      <c r="E554" s="225"/>
      <c r="F554" s="225"/>
      <c r="G554" s="225"/>
      <c r="H554" s="201"/>
      <c r="I554" s="226"/>
      <c r="J554" s="226"/>
      <c r="K554" s="226"/>
      <c r="M554" s="226"/>
      <c r="N554" s="228" t="s">
        <v>457</v>
      </c>
      <c r="P554" s="230">
        <f t="shared" si="235"/>
        <v>0</v>
      </c>
    </row>
    <row r="555" spans="1:16" x14ac:dyDescent="0.2">
      <c r="B555" s="225"/>
      <c r="C555" s="225"/>
      <c r="D555" s="225"/>
      <c r="E555" s="225"/>
      <c r="F555" s="225"/>
      <c r="G555" s="225"/>
      <c r="H555" s="201"/>
      <c r="I555" s="226"/>
      <c r="J555" s="226"/>
      <c r="K555" s="226"/>
      <c r="L555" s="226"/>
      <c r="M555" s="226"/>
      <c r="N555" s="226"/>
      <c r="P555" s="230">
        <f t="shared" si="235"/>
        <v>0</v>
      </c>
    </row>
    <row r="556" spans="1:16" x14ac:dyDescent="0.2">
      <c r="B556" s="225"/>
      <c r="C556" s="286" t="s">
        <v>458</v>
      </c>
      <c r="D556" s="286"/>
      <c r="E556" s="286"/>
      <c r="F556" s="286"/>
      <c r="G556" s="286"/>
      <c r="H556" s="286"/>
      <c r="I556" s="286"/>
      <c r="J556" s="286"/>
      <c r="K556" s="286"/>
      <c r="L556" s="286"/>
      <c r="M556" s="226"/>
      <c r="N556" s="226"/>
      <c r="P556" s="230">
        <f t="shared" si="235"/>
        <v>0</v>
      </c>
    </row>
    <row r="557" spans="1:16" x14ac:dyDescent="0.2">
      <c r="B557" s="225"/>
      <c r="C557" s="286" t="s">
        <v>459</v>
      </c>
      <c r="D557" s="286"/>
      <c r="E557" s="286"/>
      <c r="F557" s="286"/>
      <c r="G557" s="286"/>
      <c r="H557" s="286"/>
      <c r="I557" s="286"/>
      <c r="J557" s="286"/>
      <c r="K557" s="286"/>
      <c r="L557" s="286"/>
      <c r="M557" s="226"/>
      <c r="N557" s="226"/>
      <c r="P557" s="230">
        <f t="shared" si="235"/>
        <v>0</v>
      </c>
    </row>
    <row r="558" spans="1:16" x14ac:dyDescent="0.2">
      <c r="B558" s="225" t="s">
        <v>460</v>
      </c>
      <c r="C558" s="234"/>
      <c r="D558" s="234"/>
      <c r="E558" s="234"/>
      <c r="F558" s="234"/>
      <c r="G558" s="234"/>
      <c r="H558" s="234"/>
      <c r="I558" s="235"/>
      <c r="J558" s="235"/>
      <c r="K558" s="235"/>
      <c r="L558" s="287" t="s">
        <v>461</v>
      </c>
      <c r="M558" s="287"/>
      <c r="N558" s="287"/>
      <c r="P558" s="230">
        <f t="shared" si="235"/>
        <v>0</v>
      </c>
    </row>
    <row r="559" spans="1:16" x14ac:dyDescent="0.2">
      <c r="B559" s="225"/>
      <c r="C559" s="234"/>
      <c r="D559" s="234"/>
      <c r="E559" s="234"/>
      <c r="F559" s="234"/>
      <c r="G559" s="234"/>
      <c r="H559" s="234"/>
      <c r="I559" s="235"/>
      <c r="J559" s="235"/>
      <c r="K559" s="235"/>
      <c r="L559" s="235"/>
      <c r="M559" s="235"/>
      <c r="N559" s="235"/>
      <c r="P559" s="230">
        <f t="shared" si="235"/>
        <v>0</v>
      </c>
    </row>
    <row r="560" spans="1:16" x14ac:dyDescent="0.2">
      <c r="B560" s="225" t="s">
        <v>2038</v>
      </c>
      <c r="C560" s="234"/>
      <c r="D560" s="234"/>
      <c r="E560" s="234"/>
      <c r="F560" s="234"/>
      <c r="G560" s="234"/>
      <c r="H560" s="234"/>
      <c r="I560" s="235"/>
      <c r="J560" s="235"/>
      <c r="K560" s="235"/>
      <c r="L560" s="235"/>
      <c r="M560" s="235"/>
      <c r="N560" s="235"/>
      <c r="P560" s="230">
        <f t="shared" si="235"/>
        <v>0</v>
      </c>
    </row>
    <row r="561" spans="1:43" x14ac:dyDescent="0.2">
      <c r="B561" s="225" t="s">
        <v>462</v>
      </c>
      <c r="C561" s="234"/>
      <c r="D561" s="234"/>
      <c r="E561" s="234"/>
      <c r="F561" s="234"/>
      <c r="G561" s="234"/>
      <c r="H561" s="234"/>
      <c r="I561" s="235"/>
      <c r="J561" s="235"/>
      <c r="K561" s="235"/>
      <c r="L561" s="235"/>
      <c r="M561" s="235"/>
      <c r="N561" s="235"/>
      <c r="P561" s="230">
        <f t="shared" si="235"/>
        <v>0</v>
      </c>
    </row>
    <row r="562" spans="1:43" x14ac:dyDescent="0.2">
      <c r="B562" s="225" t="s">
        <v>2037</v>
      </c>
      <c r="C562" s="234"/>
      <c r="D562" s="234"/>
      <c r="E562" s="234"/>
      <c r="F562" s="234"/>
      <c r="G562" s="234"/>
      <c r="H562" s="234"/>
      <c r="I562" s="235"/>
      <c r="J562" s="235"/>
      <c r="K562" s="235"/>
      <c r="L562" s="235"/>
      <c r="M562" s="235"/>
      <c r="N562" s="235"/>
      <c r="P562" s="230">
        <f t="shared" si="235"/>
        <v>0</v>
      </c>
    </row>
    <row r="563" spans="1:43" x14ac:dyDescent="0.2">
      <c r="B563" s="225" t="s">
        <v>2052</v>
      </c>
      <c r="C563" s="234"/>
      <c r="D563" s="234"/>
      <c r="E563" s="234"/>
      <c r="F563" s="234"/>
      <c r="G563" s="234"/>
      <c r="H563" s="234"/>
      <c r="I563" s="235"/>
      <c r="J563" s="235"/>
      <c r="K563" s="235"/>
      <c r="L563" s="235"/>
      <c r="M563" s="235"/>
      <c r="N563" s="235"/>
      <c r="P563" s="230">
        <f t="shared" si="235"/>
        <v>0</v>
      </c>
    </row>
    <row r="564" spans="1:43" x14ac:dyDescent="0.2">
      <c r="B564" s="225"/>
      <c r="C564" s="225"/>
      <c r="D564" s="225"/>
      <c r="E564" s="225"/>
      <c r="F564" s="225"/>
      <c r="G564" s="225"/>
      <c r="H564" s="201"/>
      <c r="I564" s="226"/>
      <c r="J564" s="226"/>
      <c r="K564" s="226"/>
      <c r="L564" s="226"/>
      <c r="M564" s="226"/>
      <c r="N564" s="226"/>
      <c r="P564" s="230">
        <f t="shared" si="235"/>
        <v>0</v>
      </c>
    </row>
    <row r="565" spans="1:43" x14ac:dyDescent="0.2">
      <c r="B565" s="288" t="s">
        <v>106</v>
      </c>
      <c r="C565" s="290" t="s">
        <v>463</v>
      </c>
      <c r="D565" s="288" t="s">
        <v>464</v>
      </c>
      <c r="E565" s="288" t="s">
        <v>465</v>
      </c>
      <c r="F565" s="288" t="s">
        <v>490</v>
      </c>
      <c r="G565" s="288" t="s">
        <v>466</v>
      </c>
      <c r="H565" s="292" t="s">
        <v>8</v>
      </c>
      <c r="I565" s="294" t="s">
        <v>467</v>
      </c>
      <c r="J565" s="295"/>
      <c r="K565" s="295"/>
      <c r="L565" s="296"/>
      <c r="M565" s="297" t="s">
        <v>468</v>
      </c>
      <c r="N565" s="299" t="s">
        <v>469</v>
      </c>
      <c r="P565" s="230">
        <f t="shared" si="235"/>
        <v>0</v>
      </c>
    </row>
    <row r="566" spans="1:43" x14ac:dyDescent="0.2">
      <c r="B566" s="289"/>
      <c r="C566" s="291"/>
      <c r="D566" s="289"/>
      <c r="E566" s="289"/>
      <c r="F566" s="289"/>
      <c r="G566" s="289"/>
      <c r="H566" s="293"/>
      <c r="I566" s="236" t="s">
        <v>470</v>
      </c>
      <c r="J566" s="236" t="s">
        <v>471</v>
      </c>
      <c r="K566" s="236" t="s">
        <v>472</v>
      </c>
      <c r="L566" s="236" t="s">
        <v>473</v>
      </c>
      <c r="M566" s="298"/>
      <c r="N566" s="300"/>
      <c r="P566" s="230">
        <f t="shared" si="235"/>
        <v>0</v>
      </c>
    </row>
    <row r="567" spans="1:43" x14ac:dyDescent="0.2">
      <c r="A567" s="224" t="str">
        <f>CONCATENATE("Лот"," ",A568)</f>
        <v>Лот 11</v>
      </c>
      <c r="B567" s="273" t="s">
        <v>2087</v>
      </c>
      <c r="C567" s="274"/>
      <c r="D567" s="274"/>
      <c r="E567" s="274"/>
      <c r="F567" s="274"/>
      <c r="G567" s="275"/>
      <c r="H567" s="238" t="s">
        <v>17</v>
      </c>
      <c r="I567" s="270">
        <f ca="1">ROUND(VLOOKUP($H567,$AJ$4:$AN$13,2,0)*$Q569*1.51,2)</f>
        <v>120.15</v>
      </c>
      <c r="J567" s="270">
        <f ca="1">ROUND(VLOOKUP($H567,$AJ$4:$AN$13,3,0)*$Q569*1.51,2)</f>
        <v>85.62</v>
      </c>
      <c r="K567" s="270">
        <f ca="1">ROUND(VLOOKUP($H567,$AJ$4:$AN$13,4,0)*$Q569*1.51,2)</f>
        <v>43.38</v>
      </c>
      <c r="L567" s="270"/>
      <c r="M567" s="270">
        <f ca="1">ROUND(VLOOKUP($H567,$AJ$4:$AN$13,5,0)*$Q569*1.51,2)</f>
        <v>6.85</v>
      </c>
      <c r="N567" s="270"/>
      <c r="P567" s="230">
        <f t="shared" si="235"/>
        <v>1</v>
      </c>
    </row>
    <row r="568" spans="1:43" x14ac:dyDescent="0.2">
      <c r="A568" s="224">
        <f>A513+1</f>
        <v>11</v>
      </c>
      <c r="B568" s="276"/>
      <c r="C568" s="277"/>
      <c r="D568" s="277"/>
      <c r="E568" s="277"/>
      <c r="F568" s="277"/>
      <c r="G568" s="278"/>
      <c r="H568" s="238" t="s">
        <v>25</v>
      </c>
      <c r="I568" s="270">
        <f ca="1">ROUND(VLOOKUP($H568,$AJ$4:$AN$13,2,0)*$Q569*1.51,2)</f>
        <v>898.69</v>
      </c>
      <c r="J568" s="270">
        <f ca="1">ROUND(VLOOKUP($H568,$AJ$4:$AN$13,3,0)*$Q569*1.51,2)</f>
        <v>642.13</v>
      </c>
      <c r="K568" s="270">
        <f ca="1">ROUND(VLOOKUP($H568,$AJ$4:$AN$13,4,0)*$Q569*1.51,2)</f>
        <v>323.06</v>
      </c>
      <c r="L568" s="270"/>
      <c r="M568" s="270">
        <f ca="1">ROUND(VLOOKUP($H568,$AJ$4:$AN$13,5,0)*$Q569*1.51,2)</f>
        <v>27.97</v>
      </c>
      <c r="N568" s="270"/>
      <c r="P568" s="230">
        <f t="shared" si="235"/>
        <v>1</v>
      </c>
      <c r="Q568" s="240" t="s">
        <v>2045</v>
      </c>
      <c r="R568" s="240" t="s">
        <v>2046</v>
      </c>
    </row>
    <row r="569" spans="1:43" x14ac:dyDescent="0.2">
      <c r="B569" s="276"/>
      <c r="C569" s="277"/>
      <c r="D569" s="277"/>
      <c r="E569" s="277"/>
      <c r="F569" s="277"/>
      <c r="G569" s="278"/>
      <c r="H569" s="238" t="s">
        <v>19</v>
      </c>
      <c r="I569" s="270">
        <f ca="1">ROUND(VLOOKUP($H569,$AJ$4:$AN$13,2,0)*$Q569*1.51,2)</f>
        <v>71.349999999999994</v>
      </c>
      <c r="J569" s="270">
        <f ca="1">ROUND(VLOOKUP($H569,$AJ$4:$AN$13,3,0)*$Q569*1.51,2)</f>
        <v>51.94</v>
      </c>
      <c r="K569" s="270">
        <f ca="1">ROUND(VLOOKUP($H569,$AJ$4:$AN$13,4,0)*$Q569*1.51,2)</f>
        <v>26.54</v>
      </c>
      <c r="L569" s="270"/>
      <c r="M569" s="270">
        <f ca="1">ROUND(VLOOKUP($H569,$AJ$4:$AN$13,5,0)*$Q569*1.51,2)</f>
        <v>1.43</v>
      </c>
      <c r="N569" s="270"/>
      <c r="P569" s="230">
        <f t="shared" si="235"/>
        <v>0</v>
      </c>
      <c r="Q569" s="123">
        <f ca="1">IFERROR(IF(R569="","",IF(OR(R569&lt;100,R569=100),0.9,IF(OR(AND(R569&gt;100,R569&lt;150),R569=150),1,IF(R569&gt;150,1.05,"")))),"0")</f>
        <v>1.05</v>
      </c>
      <c r="R569" s="123">
        <f ca="1">N585/G573</f>
        <v>212.6854166666667</v>
      </c>
    </row>
    <row r="570" spans="1:43" x14ac:dyDescent="0.2">
      <c r="B570" s="276"/>
      <c r="C570" s="277"/>
      <c r="D570" s="277"/>
      <c r="E570" s="277"/>
      <c r="F570" s="277"/>
      <c r="G570" s="278"/>
      <c r="H570" s="238" t="s">
        <v>268</v>
      </c>
      <c r="I570" s="270">
        <f ca="1">ROUND(VLOOKUP($H570,$AJ$4:$AN$13,2,0)*$Q569*1.51,2)</f>
        <v>898.69</v>
      </c>
      <c r="J570" s="270">
        <f ca="1">ROUND(VLOOKUP($H570,$AJ$4:$AN$13,3,0)*$Q569*1.51,2)</f>
        <v>642.13</v>
      </c>
      <c r="K570" s="270">
        <f ca="1">ROUND(VLOOKUP($H570,$AJ$4:$AN$13,4,0)*$Q569*1.51,2)</f>
        <v>323.06</v>
      </c>
      <c r="L570" s="270"/>
      <c r="M570" s="270">
        <f ca="1">ROUND(VLOOKUP($H570,$AJ$4:$AN$13,5,0)*$Q569*1.51,2)</f>
        <v>27.97</v>
      </c>
      <c r="N570" s="270"/>
    </row>
    <row r="571" spans="1:43" x14ac:dyDescent="0.2">
      <c r="B571" s="276"/>
      <c r="C571" s="277"/>
      <c r="D571" s="277"/>
      <c r="E571" s="277"/>
      <c r="F571" s="277"/>
      <c r="G571" s="278"/>
      <c r="H571" s="238" t="s">
        <v>40</v>
      </c>
      <c r="I571" s="270">
        <f ca="1">ROUND(VLOOKUP($H571,$AJ$4:$AN$13,2,0)*$Q569*1.51,2)</f>
        <v>71.349999999999994</v>
      </c>
      <c r="J571" s="270">
        <f ca="1">ROUND(VLOOKUP($H571,$AJ$4:$AN$13,3,0)*$Q569*1.51,2)</f>
        <v>51.94</v>
      </c>
      <c r="K571" s="270">
        <f ca="1">ROUND(VLOOKUP($H571,$AJ$4:$AN$13,4,0)*$Q569*1.51,2)</f>
        <v>26.54</v>
      </c>
      <c r="L571" s="270"/>
      <c r="M571" s="270">
        <f ca="1">ROUND(VLOOKUP($H571,$AJ$4:$AN$13,5,0)*$Q569*1.51,2)</f>
        <v>1.43</v>
      </c>
      <c r="N571" s="270"/>
      <c r="P571" s="230">
        <f t="shared" ref="P571:P584" si="236">IF(A571&gt;0,1,0)</f>
        <v>0</v>
      </c>
    </row>
    <row r="572" spans="1:43" x14ac:dyDescent="0.2">
      <c r="B572" s="279"/>
      <c r="C572" s="280"/>
      <c r="D572" s="280"/>
      <c r="E572" s="280"/>
      <c r="F572" s="280"/>
      <c r="G572" s="281"/>
      <c r="H572" s="238" t="s">
        <v>18</v>
      </c>
      <c r="I572" s="270">
        <f ca="1">ROUND(VLOOKUP($H572,$AJ$4:$AN$13,2,0)*$Q569*1.51,2)</f>
        <v>22.83</v>
      </c>
      <c r="J572" s="270">
        <f ca="1">ROUND(VLOOKUP($H572,$AJ$4:$AN$13,3,0)*$Q569*1.51,2)</f>
        <v>17.41</v>
      </c>
      <c r="K572" s="270">
        <f ca="1">ROUND(VLOOKUP($H572,$AJ$4:$AN$13,4,0)*$Q569*1.51,2)</f>
        <v>8.85</v>
      </c>
      <c r="L572" s="270"/>
      <c r="M572" s="270">
        <f ca="1">ROUND(VLOOKUP($H572,$AJ$4:$AN$13,5,0)*$Q569*1.51*1,2)</f>
        <v>0.56999999999999995</v>
      </c>
      <c r="N572" s="270"/>
      <c r="P572" s="230">
        <f t="shared" si="236"/>
        <v>0</v>
      </c>
      <c r="AP572" s="241" t="s">
        <v>2053</v>
      </c>
      <c r="AQ572" s="242"/>
    </row>
    <row r="573" spans="1:43" x14ac:dyDescent="0.2">
      <c r="A573" s="224">
        <f>A518+37</f>
        <v>370</v>
      </c>
      <c r="B573" s="243" t="str">
        <f ca="1">OFFSET(ЛОТЫ!$L$5,A573,0,1,1)</f>
        <v>Восходское</v>
      </c>
      <c r="C573" s="244" t="s">
        <v>474</v>
      </c>
      <c r="D573" s="243">
        <f ca="1">OFFSET(ЛОТЫ!$M$5,A573,0,1,1)</f>
        <v>9</v>
      </c>
      <c r="E573" s="243">
        <f ca="1">OFFSET(ЛОТЫ!$N$5,A573,0,1,1)</f>
        <v>19</v>
      </c>
      <c r="F573" s="243">
        <f ca="1">OFFSET(ЛОТЫ!$O$5,A573,0,1,1)</f>
        <v>2</v>
      </c>
      <c r="G573" s="271">
        <f ca="1">IFERROR(INDEX('Ведомость расчета мин. платы'!$G$10:$AC$214,MATCH(CONCATENATE(B573,"/",D573,"/",E573,"/",F573),'Ведомость расчета мин. платы'!$AC$10:$AC$214,0),1),"")</f>
        <v>4.8</v>
      </c>
      <c r="H573" s="246" t="s">
        <v>17</v>
      </c>
      <c r="I573" s="247">
        <f ca="1">IFERROR(INDEX('Ведомость расчета мин. платы'!$J$10:$AE$214,MATCH(CONCATENATE(РАСЧЕТ!B573,"/",РАСЧЕТ!D573,"/",РАСЧЕТ!E573,"/",F573,"/",H573),'Ведомость расчета мин. платы'!$AE$10:$AE$214,0),2),"")</f>
        <v>18</v>
      </c>
      <c r="J573" s="247">
        <f ca="1">IFERROR(INDEX('Ведомость расчета мин. платы'!$J$10:$AE$214,MATCH(CONCATENATE(РАСЧЕТ!B573,"/",РАСЧЕТ!D573,"/",РАСЧЕТ!E573,"/",F573,"/",H573),'Ведомость расчета мин. платы'!$AE$10:$AE$214,0),3),"")</f>
        <v>54.48</v>
      </c>
      <c r="K573" s="247">
        <f ca="1">IFERROR(INDEX('Ведомость расчета мин. платы'!$J$10:$AE$214,MATCH(CONCATENATE(РАСЧЕТ!B573,"/",РАСЧЕТ!D573,"/",РАСЧЕТ!E573,"/",F573,"/",H573),'Ведомость расчета мин. платы'!$AE$10:$AE$214,0),4),"")</f>
        <v>2.16</v>
      </c>
      <c r="L573" s="248">
        <f t="shared" ref="L573:L585" ca="1" si="237">IFERROR(SUM(I573:K573),"")</f>
        <v>74.639999999999986</v>
      </c>
      <c r="M573" s="214">
        <f ca="1">IFERROR(INDEX('Ведомость расчета мин. платы'!$J$10:$AE$214,MATCH(CONCATENATE(РАСЧЕТ!B573,"/",РАСЧЕТ!D573,"/",РАСЧЕТ!E573,"/",F573,"/",H573),'Ведомость расчета мин. платы'!$AE$10:$AE$214,0),6),"")</f>
        <v>46.56</v>
      </c>
      <c r="N573" s="214">
        <f t="shared" ref="N573:N585" ca="1" si="238">IFERROR(SUM(L573:M573),"")</f>
        <v>121.19999999999999</v>
      </c>
      <c r="O573" s="229">
        <f>IF(H573="стоимость","",1)</f>
        <v>1</v>
      </c>
      <c r="P573" s="230">
        <f t="shared" si="236"/>
        <v>1</v>
      </c>
      <c r="AP573" s="242"/>
      <c r="AQ573" s="242"/>
    </row>
    <row r="574" spans="1:43" x14ac:dyDescent="0.2">
      <c r="B574" s="249"/>
      <c r="C574" s="249"/>
      <c r="D574" s="249"/>
      <c r="E574" s="249"/>
      <c r="F574" s="249"/>
      <c r="G574" s="249"/>
      <c r="H574" s="250" t="s">
        <v>475</v>
      </c>
      <c r="I574" s="251">
        <f ca="1">IFERROR(ROUND(I573*I567,2),"")</f>
        <v>2162.6999999999998</v>
      </c>
      <c r="J574" s="251">
        <f t="shared" ref="J574" ca="1" si="239">IFERROR(ROUND(J573*J567,2),"")</f>
        <v>4664.58</v>
      </c>
      <c r="K574" s="251">
        <f t="shared" ref="K574" ca="1" si="240">IFERROR(ROUND(K573*K567,2),"")</f>
        <v>93.7</v>
      </c>
      <c r="L574" s="251">
        <f t="shared" ca="1" si="237"/>
        <v>6920.98</v>
      </c>
      <c r="M574" s="251">
        <f t="shared" ref="M574" ca="1" si="241">IFERROR(ROUND(M573*M567,2),"")</f>
        <v>318.94</v>
      </c>
      <c r="N574" s="252">
        <f t="shared" ca="1" si="238"/>
        <v>7239.9199999999992</v>
      </c>
      <c r="O574" s="229" t="str">
        <f t="shared" ref="O574:O584" si="242">IF(H574="стоимость","",1)</f>
        <v/>
      </c>
      <c r="P574" s="230">
        <f t="shared" si="236"/>
        <v>0</v>
      </c>
      <c r="AP574" s="242">
        <f ca="1">SUMIFS('Ведомость расчета мин. платы'!$S$10:$S$209,'Ведомость расчета мин. платы'!$AE$10:$AE$209,CONCATENATE(B573,"/",D573,"/",E573,"/",F573,"/",H573))</f>
        <v>7239.92</v>
      </c>
      <c r="AQ574" s="253">
        <f t="shared" ref="AQ574" ca="1" si="243">AP574-N574</f>
        <v>0</v>
      </c>
    </row>
    <row r="575" spans="1:43" x14ac:dyDescent="0.2">
      <c r="B575" s="249"/>
      <c r="C575" s="249"/>
      <c r="D575" s="249"/>
      <c r="E575" s="249"/>
      <c r="F575" s="249"/>
      <c r="G575" s="249"/>
      <c r="H575" s="246" t="s">
        <v>25</v>
      </c>
      <c r="I575" s="247" t="str">
        <f ca="1">IFERROR(INDEX('Ведомость расчета мин. платы'!$J$10:$AE$214,MATCH(CONCATENATE(РАСЧЕТ!B573,"/",РАСЧЕТ!D573,"/",РАСЧЕТ!E573,"/",F573,"/",H575),'Ведомость расчета мин. платы'!$AE$10:$AE$214,0),2),"")</f>
        <v/>
      </c>
      <c r="J575" s="247" t="str">
        <f ca="1">IFERROR(INDEX('Ведомость расчета мин. платы'!$J$10:$AE$214,MATCH(CONCATENATE(РАСЧЕТ!B573,"/",РАСЧЕТ!D573,"/",РАСЧЕТ!E573,"/",F573,"/",H575),'Ведомость расчета мин. платы'!$AE$10:$AE$214,0),3),"")</f>
        <v/>
      </c>
      <c r="K575" s="247" t="str">
        <f ca="1">IFERROR(INDEX('Ведомость расчета мин. платы'!$J$10:$AE$214,MATCH(CONCATENATE(РАСЧЕТ!B573,"/",РАСЧЕТ!D573,"/",РАСЧЕТ!E573,"/",F573,"/",H575),'Ведомость расчета мин. платы'!$AE$10:$AE$214,0),4),"")</f>
        <v/>
      </c>
      <c r="L575" s="248">
        <f t="shared" ca="1" si="237"/>
        <v>0</v>
      </c>
      <c r="M575" s="214" t="str">
        <f ca="1">IFERROR(INDEX('Ведомость расчета мин. платы'!$J$10:$AE$214,MATCH(CONCATENATE(РАСЧЕТ!B573,"/",РАСЧЕТ!D573,"/",РАСЧЕТ!E573,"/",F573,"/",H575),'Ведомость расчета мин. платы'!$AE$10:$AE$214,0),6),"")</f>
        <v/>
      </c>
      <c r="N575" s="214">
        <f t="shared" ca="1" si="238"/>
        <v>0</v>
      </c>
      <c r="O575" s="229">
        <f t="shared" si="242"/>
        <v>1</v>
      </c>
      <c r="P575" s="230">
        <f t="shared" si="236"/>
        <v>0</v>
      </c>
      <c r="AP575" s="242"/>
      <c r="AQ575" s="253"/>
    </row>
    <row r="576" spans="1:43" x14ac:dyDescent="0.2">
      <c r="B576" s="249"/>
      <c r="C576" s="249"/>
      <c r="D576" s="249"/>
      <c r="E576" s="249"/>
      <c r="F576" s="249"/>
      <c r="G576" s="249"/>
      <c r="H576" s="250" t="s">
        <v>475</v>
      </c>
      <c r="I576" s="251" t="str">
        <f ca="1">IFERROR(ROUND(I575*I568,2),"")</f>
        <v/>
      </c>
      <c r="J576" s="251" t="str">
        <f t="shared" ref="J576" ca="1" si="244">IFERROR(ROUND(J575*J568,2),"")</f>
        <v/>
      </c>
      <c r="K576" s="251" t="str">
        <f t="shared" ref="K576" ca="1" si="245">IFERROR(ROUND(K575*K568,2),"")</f>
        <v/>
      </c>
      <c r="L576" s="251">
        <f t="shared" ca="1" si="237"/>
        <v>0</v>
      </c>
      <c r="M576" s="251" t="str">
        <f t="shared" ref="M576" ca="1" si="246">IFERROR(ROUND(M575*M568,2),"")</f>
        <v/>
      </c>
      <c r="N576" s="252">
        <f t="shared" ca="1" si="238"/>
        <v>0</v>
      </c>
      <c r="O576" s="229" t="str">
        <f t="shared" si="242"/>
        <v/>
      </c>
      <c r="P576" s="230">
        <f t="shared" si="236"/>
        <v>0</v>
      </c>
      <c r="AP576" s="242">
        <f ca="1">SUMIFS('Ведомость расчета мин. платы'!$S$10:$S$209,'Ведомость расчета мин. платы'!$AE$10:$AE$209,CONCATENATE(B573,"/",D573,"/",E573,"/",F573,"/",H575))</f>
        <v>0</v>
      </c>
      <c r="AQ576" s="253">
        <f t="shared" ref="AQ576" ca="1" si="247">AP576-N576</f>
        <v>0</v>
      </c>
    </row>
    <row r="577" spans="2:43" x14ac:dyDescent="0.2">
      <c r="B577" s="249"/>
      <c r="C577" s="249"/>
      <c r="D577" s="249"/>
      <c r="E577" s="249"/>
      <c r="F577" s="249"/>
      <c r="G577" s="249"/>
      <c r="H577" s="205" t="s">
        <v>19</v>
      </c>
      <c r="I577" s="248">
        <f ca="1">IFERROR(INDEX('Ведомость расчета мин. платы'!$J$10:$AE$214,MATCH(CONCATENATE(РАСЧЕТ!B573,"/",РАСЧЕТ!D573,"/",РАСЧЕТ!E573,"/",F573,"/",H577),'Ведомость расчета мин. платы'!$AE$10:$AE$214,0),2),"")</f>
        <v>0</v>
      </c>
      <c r="J577" s="248">
        <f ca="1">IFERROR(INDEX('Ведомость расчета мин. платы'!$J$10:$AE$214,MATCH(CONCATENATE(РАСЧЕТ!B573,"/",РАСЧЕТ!D573,"/",РАСЧЕТ!E573,"/",F573,"/",H577),'Ведомость расчета мин. платы'!$AE$10:$AE$214,0),3),"")</f>
        <v>6.12</v>
      </c>
      <c r="K577" s="248">
        <f ca="1">IFERROR(INDEX('Ведомость расчета мин. платы'!$J$10:$AE$214,MATCH(CONCATENATE(РАСЧЕТ!B573,"/",РАСЧЕТ!D573,"/",РАСЧЕТ!E573,"/",F573,"/",H577),'Ведомость расчета мин. платы'!$AE$10:$AE$214,0),4),"")</f>
        <v>10.85</v>
      </c>
      <c r="L577" s="248">
        <f t="shared" ca="1" si="237"/>
        <v>16.97</v>
      </c>
      <c r="M577" s="248">
        <f ca="1">IFERROR(INDEX('Ведомость расчета мин. платы'!$J$10:$AE$214,MATCH(CONCATENATE(РАСЧЕТ!B573,"/",РАСЧЕТ!D573,"/",РАСЧЕТ!E573,"/",F573,"/",H577),'Ведомость расчета мин. платы'!$AE$10:$AE$214,0),6),"")</f>
        <v>24.36</v>
      </c>
      <c r="N577" s="214">
        <f t="shared" ca="1" si="238"/>
        <v>41.33</v>
      </c>
      <c r="O577" s="229">
        <f t="shared" si="242"/>
        <v>1</v>
      </c>
      <c r="P577" s="230">
        <f t="shared" si="236"/>
        <v>0</v>
      </c>
      <c r="AP577" s="242"/>
      <c r="AQ577" s="253"/>
    </row>
    <row r="578" spans="2:43" x14ac:dyDescent="0.2">
      <c r="B578" s="249"/>
      <c r="C578" s="249"/>
      <c r="D578" s="249"/>
      <c r="E578" s="249"/>
      <c r="F578" s="249"/>
      <c r="G578" s="249"/>
      <c r="H578" s="250" t="s">
        <v>475</v>
      </c>
      <c r="I578" s="251">
        <f ca="1">IFERROR(ROUND(I577*I569,2),"")</f>
        <v>0</v>
      </c>
      <c r="J578" s="251">
        <f t="shared" ref="J578" ca="1" si="248">IFERROR(ROUND(J577*J569,2),"")</f>
        <v>317.87</v>
      </c>
      <c r="K578" s="251">
        <f t="shared" ref="K578" ca="1" si="249">IFERROR(ROUND(K577*K569,2),"")</f>
        <v>287.95999999999998</v>
      </c>
      <c r="L578" s="251">
        <f t="shared" ca="1" si="237"/>
        <v>605.82999999999993</v>
      </c>
      <c r="M578" s="251">
        <f t="shared" ref="M578" ca="1" si="250">IFERROR(ROUND(M577*M569,2),"")</f>
        <v>34.83</v>
      </c>
      <c r="N578" s="252">
        <f t="shared" ca="1" si="238"/>
        <v>640.66</v>
      </c>
      <c r="O578" s="229" t="str">
        <f t="shared" si="242"/>
        <v/>
      </c>
      <c r="P578" s="230">
        <f t="shared" si="236"/>
        <v>0</v>
      </c>
      <c r="AP578" s="242">
        <f ca="1">SUMIFS('Ведомость расчета мин. платы'!$S$10:$S$209,'Ведомость расчета мин. платы'!$AE$10:$AE$209,CONCATENATE(B573,"/",D573,"/",E573,"/",F573,"/",H577))</f>
        <v>640.66</v>
      </c>
      <c r="AQ578" s="253">
        <f t="shared" ref="AQ578" ca="1" si="251">AP578-N578</f>
        <v>0</v>
      </c>
    </row>
    <row r="579" spans="2:43" x14ac:dyDescent="0.2">
      <c r="B579" s="249"/>
      <c r="C579" s="249"/>
      <c r="D579" s="249"/>
      <c r="E579" s="249"/>
      <c r="F579" s="249"/>
      <c r="G579" s="249"/>
      <c r="H579" s="205" t="s">
        <v>268</v>
      </c>
      <c r="I579" s="248" t="str">
        <f ca="1">IFERROR(INDEX('Ведомость расчета мин. платы'!$J$10:$AE$214,MATCH(CONCATENATE(РАСЧЕТ!B573,"/",РАСЧЕТ!D573,"/",РАСЧЕТ!E573,"/",F573,"/",H579),'Ведомость расчета мин. платы'!$AE$10:$AE$214,0),2),"")</f>
        <v/>
      </c>
      <c r="J579" s="248" t="str">
        <f ca="1">IFERROR(INDEX('Ведомость расчета мин. платы'!$J$10:$AE$214,MATCH(CONCATENATE(РАСЧЕТ!B573,"/",РАСЧЕТ!D573,"/",РАСЧЕТ!E573,"/",F573,"/",H579),'Ведомость расчета мин. платы'!$AE$10:$AE$214,0),3),"")</f>
        <v/>
      </c>
      <c r="K579" s="248" t="str">
        <f ca="1">IFERROR(INDEX('Ведомость расчета мин. платы'!$J$10:$AE$214,MATCH(CONCATENATE(РАСЧЕТ!B573,"/",РАСЧЕТ!D573,"/",РАСЧЕТ!E573,"/",F573,"/",H579),'Ведомость расчета мин. платы'!$AE$10:$AE$214,0),4),"")</f>
        <v/>
      </c>
      <c r="L579" s="248">
        <f t="shared" ca="1" si="237"/>
        <v>0</v>
      </c>
      <c r="M579" s="248" t="str">
        <f ca="1">IFERROR(INDEX('Ведомость расчета мин. платы'!$J$10:$AE$214,MATCH(CONCATENATE(РАСЧЕТ!B573,"/",РАСЧЕТ!D573,"/",РАСЧЕТ!E573,"/",F573,"/",H579),'Ведомость расчета мин. платы'!$AE$10:$AE$214,0),6),"")</f>
        <v/>
      </c>
      <c r="N579" s="214">
        <f t="shared" ca="1" si="238"/>
        <v>0</v>
      </c>
      <c r="O579" s="229">
        <f t="shared" si="242"/>
        <v>1</v>
      </c>
      <c r="P579" s="230">
        <f t="shared" si="236"/>
        <v>0</v>
      </c>
      <c r="AP579" s="242"/>
      <c r="AQ579" s="253"/>
    </row>
    <row r="580" spans="2:43" x14ac:dyDescent="0.2">
      <c r="B580" s="249"/>
      <c r="C580" s="249"/>
      <c r="D580" s="249"/>
      <c r="E580" s="249"/>
      <c r="F580" s="249"/>
      <c r="G580" s="249"/>
      <c r="H580" s="250" t="s">
        <v>475</v>
      </c>
      <c r="I580" s="251" t="str">
        <f ca="1">IFERROR(ROUND(I579*I572,2),"")</f>
        <v/>
      </c>
      <c r="J580" s="251" t="str">
        <f ca="1">IFERROR(ROUND(J579*J570,2),"")</f>
        <v/>
      </c>
      <c r="K580" s="251" t="str">
        <f ca="1">IFERROR(ROUND(K579*K570,2),"")</f>
        <v/>
      </c>
      <c r="L580" s="251">
        <f t="shared" ca="1" si="237"/>
        <v>0</v>
      </c>
      <c r="M580" s="251" t="str">
        <f ca="1">IFERROR(ROUND(M579*M570,2),"")</f>
        <v/>
      </c>
      <c r="N580" s="252">
        <f t="shared" ca="1" si="238"/>
        <v>0</v>
      </c>
      <c r="O580" s="229" t="str">
        <f t="shared" si="242"/>
        <v/>
      </c>
      <c r="P580" s="230">
        <f t="shared" si="236"/>
        <v>0</v>
      </c>
      <c r="AP580" s="242">
        <f ca="1">SUMIFS('Ведомость расчета мин. платы'!$S$10:$S$209,'Ведомость расчета мин. платы'!$AE$10:$AE$209,CONCATENATE(B573,"/",D573,"/",E573,"/",F573,"/",H579))</f>
        <v>0</v>
      </c>
      <c r="AQ580" s="253">
        <f t="shared" ref="AQ580" ca="1" si="252">AP580-N580</f>
        <v>0</v>
      </c>
    </row>
    <row r="581" spans="2:43" x14ac:dyDescent="0.2">
      <c r="B581" s="249"/>
      <c r="C581" s="249"/>
      <c r="D581" s="249"/>
      <c r="E581" s="249"/>
      <c r="F581" s="249"/>
      <c r="G581" s="249"/>
      <c r="H581" s="205" t="s">
        <v>40</v>
      </c>
      <c r="I581" s="248" t="str">
        <f ca="1">IFERROR(INDEX('Ведомость расчета мин. платы'!$J$10:$AE$214,MATCH(CONCATENATE(РАСЧЕТ!B573,"/",РАСЧЕТ!D573,"/",РАСЧЕТ!E573,"/",F573,"/",H581),'Ведомость расчета мин. платы'!$AE$10:$AE$214,0),2),"")</f>
        <v/>
      </c>
      <c r="J581" s="248" t="str">
        <f ca="1">IFERROR(INDEX('Ведомость расчета мин. платы'!$J$10:$AE$214,MATCH(CONCATENATE(РАСЧЕТ!B573,"/",РАСЧЕТ!D573,"/",РАСЧЕТ!E573,"/",F573,"/",H581),'Ведомость расчета мин. платы'!$AE$10:$AE$214,0),3),"")</f>
        <v/>
      </c>
      <c r="K581" s="248" t="str">
        <f ca="1">IFERROR(INDEX('Ведомость расчета мин. платы'!$J$10:$AE$214,MATCH(CONCATENATE(РАСЧЕТ!B573,"/",РАСЧЕТ!D573,"/",РАСЧЕТ!E573,"/",F573,"/",H581),'Ведомость расчета мин. платы'!$AE$10:$AE$214,0),4),"")</f>
        <v/>
      </c>
      <c r="L581" s="248">
        <f t="shared" ca="1" si="237"/>
        <v>0</v>
      </c>
      <c r="M581" s="248" t="str">
        <f ca="1">IFERROR(INDEX('Ведомость расчета мин. платы'!$J$10:$AE$214,MATCH(CONCATENATE(РАСЧЕТ!B573,"/",РАСЧЕТ!D573,"/",РАСЧЕТ!E573,"/",F573,"/",H581),'Ведомость расчета мин. платы'!$AE$10:$AE$214,0),6),"")</f>
        <v/>
      </c>
      <c r="N581" s="214">
        <f t="shared" ca="1" si="238"/>
        <v>0</v>
      </c>
      <c r="O581" s="229">
        <f t="shared" si="242"/>
        <v>1</v>
      </c>
      <c r="P581" s="230">
        <f t="shared" si="236"/>
        <v>0</v>
      </c>
      <c r="AP581" s="242"/>
      <c r="AQ581" s="253"/>
    </row>
    <row r="582" spans="2:43" x14ac:dyDescent="0.2">
      <c r="B582" s="249"/>
      <c r="C582" s="249"/>
      <c r="D582" s="249"/>
      <c r="E582" s="249"/>
      <c r="F582" s="249"/>
      <c r="G582" s="249"/>
      <c r="H582" s="250" t="s">
        <v>475</v>
      </c>
      <c r="I582" s="251" t="str">
        <f ca="1">IFERROR(ROUND(I581*I571,2),"")</f>
        <v/>
      </c>
      <c r="J582" s="251" t="str">
        <f t="shared" ref="J582" ca="1" si="253">IFERROR(ROUND(J581*J571,2),"")</f>
        <v/>
      </c>
      <c r="K582" s="251" t="str">
        <f t="shared" ref="K582" ca="1" si="254">IFERROR(ROUND(K581*K571,2),"")</f>
        <v/>
      </c>
      <c r="L582" s="251">
        <f t="shared" ca="1" si="237"/>
        <v>0</v>
      </c>
      <c r="M582" s="251" t="str">
        <f t="shared" ref="M582" ca="1" si="255">IFERROR(ROUND(M581*M571,2),"")</f>
        <v/>
      </c>
      <c r="N582" s="252">
        <f t="shared" ca="1" si="238"/>
        <v>0</v>
      </c>
      <c r="O582" s="229" t="str">
        <f t="shared" si="242"/>
        <v/>
      </c>
      <c r="P582" s="230">
        <f t="shared" si="236"/>
        <v>0</v>
      </c>
      <c r="AP582" s="242">
        <f ca="1">SUMIFS('Ведомость расчета мин. платы'!$S$10:$S$209,'Ведомость расчета мин. платы'!$AE$10:$AE$209,CONCATENATE(B573,"/",D573,"/",E573,"/",F573,"/",H581))</f>
        <v>0</v>
      </c>
      <c r="AQ582" s="253">
        <f t="shared" ref="AQ582" ca="1" si="256">AP582-N582</f>
        <v>0</v>
      </c>
    </row>
    <row r="583" spans="2:43" x14ac:dyDescent="0.2">
      <c r="B583" s="249"/>
      <c r="C583" s="249"/>
      <c r="D583" s="249"/>
      <c r="E583" s="249"/>
      <c r="F583" s="249"/>
      <c r="G583" s="249"/>
      <c r="H583" s="205" t="s">
        <v>18</v>
      </c>
      <c r="I583" s="248">
        <f ca="1">IFERROR(INDEX('Ведомость расчета мин. платы'!$J$10:$AE$214,MATCH(CONCATENATE(РАСЧЕТ!B573,"/",РАСЧЕТ!D573,"/",РАСЧЕТ!E573,"/",F573,"/",H583),'Ведомость расчета мин. платы'!$AE$10:$AE$214,0),2),"")</f>
        <v>414.48</v>
      </c>
      <c r="J583" s="248">
        <f ca="1">IFERROR(INDEX('Ведомость расчета мин. платы'!$J$10:$AE$214,MATCH(CONCATENATE(РАСЧЕТ!B573,"/",РАСЧЕТ!D573,"/",РАСЧЕТ!E573,"/",F573,"/",H583),'Ведомость расчета мин. платы'!$AE$10:$AE$214,0),3),"")</f>
        <v>97.8</v>
      </c>
      <c r="K583" s="248">
        <f ca="1">IFERROR(INDEX('Ведомость расчета мин. платы'!$J$10:$AE$214,MATCH(CONCATENATE(РАСЧЕТ!B573,"/",РАСЧЕТ!D573,"/",РАСЧЕТ!E573,"/",F573,"/",H583),'Ведомость расчета мин. платы'!$AE$10:$AE$214,0),4),"")</f>
        <v>1.44</v>
      </c>
      <c r="L583" s="248">
        <f t="shared" ca="1" si="237"/>
        <v>513.72</v>
      </c>
      <c r="M583" s="248">
        <f ca="1">IFERROR(INDEX('Ведомость расчета мин. платы'!$J$10:$AE$214,MATCH(CONCATENATE(РАСЧЕТ!B573,"/",РАСЧЕТ!D573,"/",РАСЧЕТ!E573,"/",F573,"/",H583),'Ведомость расчета мин. платы'!$AE$10:$AE$214,0),6),"")</f>
        <v>344.64</v>
      </c>
      <c r="N583" s="214">
        <f t="shared" ca="1" si="238"/>
        <v>858.36</v>
      </c>
      <c r="O583" s="229">
        <f t="shared" si="242"/>
        <v>1</v>
      </c>
      <c r="P583" s="230">
        <f t="shared" si="236"/>
        <v>0</v>
      </c>
      <c r="AP583" s="242"/>
      <c r="AQ583" s="253"/>
    </row>
    <row r="584" spans="2:43" x14ac:dyDescent="0.2">
      <c r="B584" s="249"/>
      <c r="C584" s="249"/>
      <c r="D584" s="249"/>
      <c r="E584" s="249"/>
      <c r="F584" s="249"/>
      <c r="G584" s="249"/>
      <c r="H584" s="250" t="s">
        <v>475</v>
      </c>
      <c r="I584" s="251">
        <f ca="1">IFERROR(ROUND(I583*I572,2),"")</f>
        <v>9462.58</v>
      </c>
      <c r="J584" s="251">
        <f t="shared" ref="J584" ca="1" si="257">IFERROR(ROUND(J583*J572,2),"")</f>
        <v>1702.7</v>
      </c>
      <c r="K584" s="251">
        <f t="shared" ref="K584" ca="1" si="258">IFERROR(ROUND(K583*K572,2),"")</f>
        <v>12.74</v>
      </c>
      <c r="L584" s="251">
        <f t="shared" ca="1" si="237"/>
        <v>11178.02</v>
      </c>
      <c r="M584" s="251">
        <f t="shared" ref="M584" ca="1" si="259">IFERROR(ROUND(M583*M572,2),"")</f>
        <v>196.44</v>
      </c>
      <c r="N584" s="252">
        <f t="shared" ca="1" si="238"/>
        <v>11374.460000000001</v>
      </c>
      <c r="O584" s="229" t="str">
        <f t="shared" si="242"/>
        <v/>
      </c>
      <c r="P584" s="230">
        <f t="shared" si="236"/>
        <v>0</v>
      </c>
      <c r="AP584" s="242">
        <f ca="1">SUMIFS('Ведомость расчета мин. платы'!$S$10:$S$209,'Ведомость расчета мин. платы'!$AE$10:$AE$209,CONCATENATE(B573,"/",D573,"/",E573,"/",F573,"/",H583))</f>
        <v>11374.46</v>
      </c>
      <c r="AQ584" s="253">
        <f t="shared" ref="AQ584" ca="1" si="260">AP584-N584</f>
        <v>0</v>
      </c>
    </row>
    <row r="585" spans="2:43" x14ac:dyDescent="0.2">
      <c r="B585" s="249"/>
      <c r="C585" s="249"/>
      <c r="D585" s="249"/>
      <c r="E585" s="249"/>
      <c r="F585" s="249"/>
      <c r="G585" s="249"/>
      <c r="H585" s="254" t="s">
        <v>476</v>
      </c>
      <c r="I585" s="251">
        <f ca="1">SUMIF($O573:$O586,1,I573:I584)</f>
        <v>432.48</v>
      </c>
      <c r="J585" s="251">
        <f ca="1">SUMIF($O573:$O586,1,J573:J584)</f>
        <v>158.39999999999998</v>
      </c>
      <c r="K585" s="251">
        <f ca="1">SUMIF($O573:$O586,1,K573:K584)</f>
        <v>14.45</v>
      </c>
      <c r="L585" s="251">
        <f t="shared" ca="1" si="237"/>
        <v>605.33000000000004</v>
      </c>
      <c r="M585" s="251">
        <f ca="1">SUMIF($O573:$O586,1,M573:M584)</f>
        <v>415.56</v>
      </c>
      <c r="N585" s="252">
        <f t="shared" ca="1" si="238"/>
        <v>1020.8900000000001</v>
      </c>
      <c r="AP585" s="242"/>
      <c r="AQ585" s="253"/>
    </row>
    <row r="586" spans="2:43" x14ac:dyDescent="0.2">
      <c r="B586" s="249"/>
      <c r="C586" s="249"/>
      <c r="D586" s="249"/>
      <c r="E586" s="249"/>
      <c r="F586" s="249"/>
      <c r="G586" s="249"/>
      <c r="H586" s="254" t="s">
        <v>491</v>
      </c>
      <c r="I586" s="251">
        <f ca="1">SUMIF(H573:H584,"стоимость",I573:I584)</f>
        <v>11625.279999999999</v>
      </c>
      <c r="J586" s="251">
        <f ca="1">SUMIF(H573:H584,"стоимость",J573:J584)</f>
        <v>6685.15</v>
      </c>
      <c r="K586" s="251">
        <f ca="1">SUMIF(H573:H584,"стоимость",K573:K584)</f>
        <v>394.4</v>
      </c>
      <c r="L586" s="251">
        <f ca="1">IFERROR(SUM(I586:K586),"")</f>
        <v>18704.830000000002</v>
      </c>
      <c r="M586" s="251">
        <f ca="1">SUMIF(H573:H584,"стоимость",M573:M584)</f>
        <v>550.21</v>
      </c>
      <c r="N586" s="252">
        <f ca="1">IFERROR(SUM(L586:M586),"")</f>
        <v>19255.04</v>
      </c>
      <c r="AP586" s="242">
        <f ca="1">SUMIFS('Ведомость расчета мин. платы'!$S$10:$S$209,'Ведомость расчета мин. платы'!$J$10:$J$209,"Итого",'Ведомость расчета мин. платы'!$AC$10:$AC$209,CONCATENATE(B573,"/",D573,"/",E573,"/",F573))</f>
        <v>19255.04</v>
      </c>
      <c r="AQ586" s="253">
        <f ca="1">AP586-N586</f>
        <v>0</v>
      </c>
    </row>
    <row r="587" spans="2:43" x14ac:dyDescent="0.2">
      <c r="B587" s="255"/>
      <c r="C587" s="255"/>
      <c r="D587" s="255"/>
      <c r="E587" s="255"/>
      <c r="F587" s="255"/>
      <c r="G587" s="256"/>
      <c r="H587" s="257"/>
      <c r="I587" s="258"/>
      <c r="J587" s="258"/>
      <c r="K587" s="258"/>
      <c r="L587" s="258"/>
      <c r="M587" s="258"/>
      <c r="N587" s="258"/>
      <c r="P587" s="230">
        <f t="shared" ref="P587:P605" si="261">IF(A587&gt;0,1,0)</f>
        <v>0</v>
      </c>
    </row>
    <row r="588" spans="2:43" x14ac:dyDescent="0.2">
      <c r="B588" s="282" t="s">
        <v>477</v>
      </c>
      <c r="C588" s="282"/>
      <c r="D588" s="282"/>
      <c r="E588" s="282"/>
      <c r="F588" s="259"/>
      <c r="G588" s="225"/>
      <c r="H588" s="201"/>
      <c r="I588" s="226"/>
      <c r="J588" s="258"/>
      <c r="K588" s="258"/>
      <c r="L588" s="258"/>
      <c r="M588" s="258"/>
      <c r="N588" s="258"/>
      <c r="P588" s="230">
        <f t="shared" si="261"/>
        <v>0</v>
      </c>
    </row>
    <row r="589" spans="2:43" x14ac:dyDescent="0.2">
      <c r="B589" s="283" t="s">
        <v>525</v>
      </c>
      <c r="C589" s="283"/>
      <c r="D589" s="283"/>
      <c r="E589" s="283"/>
      <c r="F589" s="283"/>
      <c r="G589" s="283"/>
      <c r="H589" s="283"/>
      <c r="I589" s="283"/>
      <c r="J589" s="261"/>
      <c r="K589" s="261"/>
      <c r="L589" s="261"/>
      <c r="M589" s="261"/>
      <c r="N589" s="261"/>
      <c r="P589" s="230">
        <f t="shared" si="261"/>
        <v>0</v>
      </c>
    </row>
    <row r="590" spans="2:43" x14ac:dyDescent="0.2">
      <c r="B590" s="284" t="s">
        <v>478</v>
      </c>
      <c r="C590" s="284"/>
      <c r="D590" s="284"/>
      <c r="E590" s="284"/>
      <c r="F590" s="284"/>
      <c r="G590" s="284"/>
      <c r="H590" s="284"/>
      <c r="I590" s="284"/>
      <c r="J590" s="258"/>
      <c r="K590" s="258"/>
      <c r="L590" s="258"/>
      <c r="M590" s="258"/>
      <c r="N590" s="258"/>
      <c r="P590" s="230">
        <f t="shared" si="261"/>
        <v>0</v>
      </c>
    </row>
    <row r="591" spans="2:43" x14ac:dyDescent="0.2">
      <c r="B591" s="284" t="s">
        <v>479</v>
      </c>
      <c r="C591" s="284"/>
      <c r="D591" s="284"/>
      <c r="E591" s="284"/>
      <c r="F591" s="284"/>
      <c r="G591" s="284"/>
      <c r="H591" s="284"/>
      <c r="I591" s="284"/>
      <c r="J591" s="258"/>
      <c r="K591" s="258"/>
      <c r="L591" s="258"/>
      <c r="M591" s="258"/>
      <c r="N591" s="258"/>
      <c r="P591" s="230">
        <f t="shared" si="261"/>
        <v>0</v>
      </c>
    </row>
    <row r="592" spans="2:43" x14ac:dyDescent="0.2">
      <c r="B592" s="284" t="s">
        <v>480</v>
      </c>
      <c r="C592" s="284"/>
      <c r="D592" s="284"/>
      <c r="E592" s="284"/>
      <c r="F592" s="284"/>
      <c r="G592" s="284"/>
      <c r="H592" s="284"/>
      <c r="I592" s="284"/>
      <c r="J592" s="258"/>
      <c r="K592" s="258"/>
      <c r="L592" s="258"/>
      <c r="M592" s="258"/>
      <c r="N592" s="258"/>
      <c r="P592" s="230">
        <f t="shared" si="261"/>
        <v>0</v>
      </c>
    </row>
    <row r="593" spans="1:16" x14ac:dyDescent="0.2">
      <c r="B593" s="284" t="s">
        <v>481</v>
      </c>
      <c r="C593" s="284"/>
      <c r="D593" s="284"/>
      <c r="E593" s="284"/>
      <c r="F593" s="284"/>
      <c r="G593" s="284"/>
      <c r="H593" s="284"/>
      <c r="I593" s="284"/>
      <c r="J593" s="226"/>
      <c r="K593" s="226"/>
      <c r="L593" s="226"/>
      <c r="M593" s="226"/>
      <c r="N593" s="226"/>
      <c r="P593" s="230">
        <f t="shared" si="261"/>
        <v>0</v>
      </c>
    </row>
    <row r="594" spans="1:16" x14ac:dyDescent="0.2">
      <c r="B594" s="284" t="s">
        <v>482</v>
      </c>
      <c r="C594" s="284"/>
      <c r="D594" s="284"/>
      <c r="E594" s="284"/>
      <c r="F594" s="284"/>
      <c r="G594" s="284"/>
      <c r="H594" s="284"/>
      <c r="I594" s="284"/>
      <c r="J594" s="226"/>
      <c r="K594" s="226"/>
      <c r="L594" s="226"/>
      <c r="M594" s="226"/>
      <c r="N594" s="226"/>
      <c r="P594" s="230">
        <f t="shared" si="261"/>
        <v>0</v>
      </c>
    </row>
    <row r="595" spans="1:16" x14ac:dyDescent="0.2">
      <c r="B595" s="284" t="s">
        <v>483</v>
      </c>
      <c r="C595" s="284"/>
      <c r="D595" s="284"/>
      <c r="E595" s="284"/>
      <c r="F595" s="284"/>
      <c r="G595" s="284"/>
      <c r="H595" s="284"/>
      <c r="I595" s="284"/>
      <c r="J595" s="226"/>
      <c r="K595" s="226"/>
      <c r="L595" s="226"/>
      <c r="M595" s="226"/>
      <c r="N595" s="226"/>
      <c r="P595" s="230">
        <f t="shared" si="261"/>
        <v>0</v>
      </c>
    </row>
    <row r="596" spans="1:16" x14ac:dyDescent="0.2">
      <c r="B596" s="284" t="s">
        <v>484</v>
      </c>
      <c r="C596" s="284"/>
      <c r="D596" s="284"/>
      <c r="E596" s="284"/>
      <c r="F596" s="284"/>
      <c r="G596" s="284"/>
      <c r="H596" s="284"/>
      <c r="I596" s="284"/>
      <c r="J596" s="226"/>
      <c r="K596" s="226"/>
      <c r="L596" s="226"/>
      <c r="M596" s="226"/>
      <c r="N596" s="226"/>
      <c r="P596" s="230">
        <f t="shared" si="261"/>
        <v>0</v>
      </c>
    </row>
    <row r="597" spans="1:16" x14ac:dyDescent="0.2">
      <c r="B597" s="264"/>
      <c r="C597" s="264"/>
      <c r="D597" s="264"/>
      <c r="E597" s="264"/>
      <c r="F597" s="264"/>
      <c r="G597" s="264"/>
      <c r="H597" s="264"/>
      <c r="I597" s="265"/>
      <c r="J597" s="226"/>
      <c r="K597" s="226"/>
      <c r="L597" s="226"/>
      <c r="M597" s="226"/>
      <c r="N597" s="226"/>
      <c r="P597" s="230">
        <f t="shared" si="261"/>
        <v>0</v>
      </c>
    </row>
    <row r="598" spans="1:16" x14ac:dyDescent="0.2">
      <c r="B598" s="225" t="s">
        <v>485</v>
      </c>
      <c r="C598" s="225"/>
      <c r="D598" s="225"/>
      <c r="E598" s="225"/>
      <c r="F598" s="225"/>
      <c r="G598" s="225"/>
      <c r="H598" s="201"/>
      <c r="I598" s="226"/>
      <c r="J598" s="226" t="s">
        <v>486</v>
      </c>
      <c r="K598" s="226"/>
      <c r="L598" s="226"/>
      <c r="M598" s="226"/>
      <c r="N598" s="226"/>
      <c r="P598" s="230">
        <f t="shared" si="261"/>
        <v>0</v>
      </c>
    </row>
    <row r="599" spans="1:16" x14ac:dyDescent="0.2">
      <c r="B599" s="266" t="s">
        <v>524</v>
      </c>
      <c r="C599" s="266"/>
      <c r="D599" s="225"/>
      <c r="E599" s="225"/>
      <c r="F599" s="225"/>
      <c r="G599" s="225"/>
      <c r="H599" s="201"/>
      <c r="I599" s="226"/>
      <c r="J599" s="267"/>
      <c r="K599" s="267"/>
      <c r="L599" s="267"/>
      <c r="M599" s="226"/>
      <c r="N599" s="226"/>
      <c r="P599" s="230">
        <f t="shared" si="261"/>
        <v>0</v>
      </c>
    </row>
    <row r="600" spans="1:16" x14ac:dyDescent="0.2">
      <c r="B600" s="268" t="s">
        <v>487</v>
      </c>
      <c r="C600" s="225"/>
      <c r="D600" s="225"/>
      <c r="E600" s="225"/>
      <c r="F600" s="225"/>
      <c r="G600" s="225"/>
      <c r="H600" s="201"/>
      <c r="I600" s="226"/>
      <c r="J600" s="226" t="s">
        <v>487</v>
      </c>
      <c r="K600" s="226"/>
      <c r="L600" s="226"/>
      <c r="M600" s="226"/>
      <c r="N600" s="226"/>
      <c r="P600" s="230">
        <f t="shared" si="261"/>
        <v>0</v>
      </c>
    </row>
    <row r="601" spans="1:16" x14ac:dyDescent="0.2">
      <c r="B601" s="225"/>
      <c r="C601" s="225"/>
      <c r="D601" s="225"/>
      <c r="E601" s="225"/>
      <c r="F601" s="225"/>
      <c r="G601" s="225"/>
      <c r="H601" s="201"/>
      <c r="I601" s="226"/>
      <c r="J601" s="226"/>
      <c r="K601" s="226"/>
      <c r="L601" s="226"/>
      <c r="M601" s="226"/>
      <c r="N601" s="226"/>
      <c r="P601" s="230">
        <f t="shared" si="261"/>
        <v>0</v>
      </c>
    </row>
    <row r="602" spans="1:16" x14ac:dyDescent="0.2">
      <c r="B602" s="266"/>
      <c r="C602" s="266"/>
      <c r="D602" s="225"/>
      <c r="E602" s="225"/>
      <c r="F602" s="225"/>
      <c r="G602" s="225"/>
      <c r="H602" s="201"/>
      <c r="I602" s="226"/>
      <c r="J602" s="267"/>
      <c r="K602" s="267"/>
      <c r="L602" s="267"/>
      <c r="M602" s="226"/>
      <c r="N602" s="226"/>
      <c r="P602" s="230">
        <f t="shared" si="261"/>
        <v>0</v>
      </c>
    </row>
    <row r="603" spans="1:16" x14ac:dyDescent="0.2">
      <c r="B603" s="269" t="s">
        <v>488</v>
      </c>
      <c r="C603" s="225"/>
      <c r="D603" s="225"/>
      <c r="E603" s="225"/>
      <c r="F603" s="225"/>
      <c r="G603" s="225"/>
      <c r="H603" s="201"/>
      <c r="I603" s="226"/>
      <c r="J603" s="285" t="s">
        <v>488</v>
      </c>
      <c r="K603" s="285"/>
      <c r="L603" s="285"/>
      <c r="M603" s="226"/>
      <c r="N603" s="226"/>
      <c r="P603" s="230">
        <f t="shared" si="261"/>
        <v>0</v>
      </c>
    </row>
    <row r="604" spans="1:16" x14ac:dyDescent="0.2">
      <c r="B604" s="225"/>
      <c r="C604" s="225"/>
      <c r="D604" s="225"/>
      <c r="E604" s="225"/>
      <c r="F604" s="225"/>
      <c r="G604" s="225"/>
      <c r="H604" s="201"/>
      <c r="I604" s="226"/>
      <c r="J604" s="226"/>
      <c r="K604" s="226"/>
      <c r="L604" s="226"/>
      <c r="M604" s="226"/>
      <c r="N604" s="226"/>
      <c r="P604" s="230">
        <f t="shared" si="261"/>
        <v>0</v>
      </c>
    </row>
    <row r="605" spans="1:16" x14ac:dyDescent="0.2">
      <c r="B605" s="264" t="s">
        <v>489</v>
      </c>
      <c r="C605" s="225"/>
      <c r="D605" s="225"/>
      <c r="E605" s="225"/>
      <c r="F605" s="225"/>
      <c r="G605" s="225"/>
      <c r="H605" s="201"/>
      <c r="I605" s="226"/>
      <c r="J605" s="226" t="s">
        <v>489</v>
      </c>
      <c r="K605" s="226"/>
      <c r="L605" s="226"/>
      <c r="M605" s="226"/>
      <c r="N605" s="226"/>
      <c r="P605" s="230">
        <f t="shared" si="261"/>
        <v>0</v>
      </c>
    </row>
    <row r="606" spans="1:16" x14ac:dyDescent="0.2">
      <c r="A606" s="272"/>
      <c r="B606" s="225"/>
      <c r="C606" s="225"/>
      <c r="D606" s="225"/>
      <c r="E606" s="225"/>
      <c r="F606" s="225"/>
      <c r="G606" s="225"/>
      <c r="H606" s="201"/>
      <c r="I606" s="226"/>
      <c r="J606" s="226"/>
      <c r="K606" s="226"/>
      <c r="M606" s="226"/>
      <c r="N606" s="228"/>
    </row>
    <row r="607" spans="1:16" x14ac:dyDescent="0.2">
      <c r="A607" s="260"/>
      <c r="B607" s="225"/>
      <c r="C607" s="225"/>
      <c r="D607" s="225"/>
      <c r="E607" s="225"/>
      <c r="F607" s="225"/>
      <c r="G607" s="225"/>
      <c r="H607" s="201"/>
      <c r="I607" s="226"/>
      <c r="J607" s="226"/>
      <c r="K607" s="226"/>
      <c r="M607" s="226"/>
      <c r="N607" s="228" t="s">
        <v>455</v>
      </c>
      <c r="P607" s="230">
        <f t="shared" ref="P607:P624" si="262">IF(A607&gt;0,1,0)</f>
        <v>0</v>
      </c>
    </row>
    <row r="608" spans="1:16" x14ac:dyDescent="0.2">
      <c r="B608" s="225"/>
      <c r="C608" s="225"/>
      <c r="D608" s="225"/>
      <c r="E608" s="225"/>
      <c r="F608" s="225"/>
      <c r="G608" s="225"/>
      <c r="H608" s="201"/>
      <c r="I608" s="226"/>
      <c r="J608" s="226"/>
      <c r="K608" s="226"/>
      <c r="M608" s="226"/>
      <c r="N608" s="228" t="s">
        <v>456</v>
      </c>
      <c r="P608" s="230">
        <f t="shared" si="262"/>
        <v>0</v>
      </c>
    </row>
    <row r="609" spans="1:18" x14ac:dyDescent="0.2">
      <c r="B609" s="225"/>
      <c r="C609" s="225"/>
      <c r="D609" s="225"/>
      <c r="E609" s="225"/>
      <c r="F609" s="225"/>
      <c r="G609" s="225"/>
      <c r="H609" s="201"/>
      <c r="I609" s="226"/>
      <c r="J609" s="226"/>
      <c r="K609" s="226"/>
      <c r="M609" s="226"/>
      <c r="N609" s="228" t="s">
        <v>457</v>
      </c>
      <c r="P609" s="230">
        <f t="shared" si="262"/>
        <v>0</v>
      </c>
    </row>
    <row r="610" spans="1:18" x14ac:dyDescent="0.2">
      <c r="B610" s="225"/>
      <c r="C610" s="225"/>
      <c r="D610" s="225"/>
      <c r="E610" s="225"/>
      <c r="F610" s="225"/>
      <c r="G610" s="225"/>
      <c r="H610" s="201"/>
      <c r="I610" s="226"/>
      <c r="J610" s="226"/>
      <c r="K610" s="226"/>
      <c r="L610" s="226"/>
      <c r="M610" s="226"/>
      <c r="N610" s="226"/>
      <c r="P610" s="230">
        <f t="shared" si="262"/>
        <v>0</v>
      </c>
    </row>
    <row r="611" spans="1:18" x14ac:dyDescent="0.2">
      <c r="B611" s="225"/>
      <c r="C611" s="286" t="s">
        <v>458</v>
      </c>
      <c r="D611" s="286"/>
      <c r="E611" s="286"/>
      <c r="F611" s="286"/>
      <c r="G611" s="286"/>
      <c r="H611" s="286"/>
      <c r="I611" s="286"/>
      <c r="J611" s="286"/>
      <c r="K611" s="286"/>
      <c r="L611" s="286"/>
      <c r="M611" s="226"/>
      <c r="N611" s="226"/>
      <c r="P611" s="230">
        <f t="shared" si="262"/>
        <v>0</v>
      </c>
    </row>
    <row r="612" spans="1:18" x14ac:dyDescent="0.2">
      <c r="B612" s="225"/>
      <c r="C612" s="286" t="s">
        <v>459</v>
      </c>
      <c r="D612" s="286"/>
      <c r="E612" s="286"/>
      <c r="F612" s="286"/>
      <c r="G612" s="286"/>
      <c r="H612" s="286"/>
      <c r="I612" s="286"/>
      <c r="J612" s="286"/>
      <c r="K612" s="286"/>
      <c r="L612" s="286"/>
      <c r="M612" s="226"/>
      <c r="N612" s="226"/>
      <c r="P612" s="230">
        <f t="shared" si="262"/>
        <v>0</v>
      </c>
    </row>
    <row r="613" spans="1:18" x14ac:dyDescent="0.2">
      <c r="B613" s="225" t="s">
        <v>460</v>
      </c>
      <c r="C613" s="234"/>
      <c r="D613" s="234"/>
      <c r="E613" s="234"/>
      <c r="F613" s="234"/>
      <c r="G613" s="234"/>
      <c r="H613" s="234"/>
      <c r="I613" s="235"/>
      <c r="J613" s="235"/>
      <c r="K613" s="235"/>
      <c r="L613" s="287" t="s">
        <v>461</v>
      </c>
      <c r="M613" s="287"/>
      <c r="N613" s="287"/>
      <c r="P613" s="230">
        <f t="shared" si="262"/>
        <v>0</v>
      </c>
    </row>
    <row r="614" spans="1:18" x14ac:dyDescent="0.2">
      <c r="B614" s="225"/>
      <c r="C614" s="234"/>
      <c r="D614" s="234"/>
      <c r="E614" s="234"/>
      <c r="F614" s="234"/>
      <c r="G614" s="234"/>
      <c r="H614" s="234"/>
      <c r="I614" s="235"/>
      <c r="J614" s="235"/>
      <c r="K614" s="235"/>
      <c r="L614" s="235"/>
      <c r="M614" s="235"/>
      <c r="N614" s="235"/>
      <c r="P614" s="230">
        <f t="shared" si="262"/>
        <v>0</v>
      </c>
    </row>
    <row r="615" spans="1:18" x14ac:dyDescent="0.2">
      <c r="B615" s="225" t="s">
        <v>2038</v>
      </c>
      <c r="C615" s="234"/>
      <c r="D615" s="234"/>
      <c r="E615" s="234"/>
      <c r="F615" s="234"/>
      <c r="G615" s="234"/>
      <c r="H615" s="234"/>
      <c r="I615" s="235"/>
      <c r="J615" s="235"/>
      <c r="K615" s="235"/>
      <c r="L615" s="235"/>
      <c r="M615" s="235"/>
      <c r="N615" s="235"/>
      <c r="P615" s="230">
        <f t="shared" si="262"/>
        <v>0</v>
      </c>
    </row>
    <row r="616" spans="1:18" x14ac:dyDescent="0.2">
      <c r="B616" s="225" t="s">
        <v>462</v>
      </c>
      <c r="C616" s="234"/>
      <c r="D616" s="234"/>
      <c r="E616" s="234"/>
      <c r="F616" s="234"/>
      <c r="G616" s="234"/>
      <c r="H616" s="234"/>
      <c r="I616" s="235"/>
      <c r="J616" s="235"/>
      <c r="K616" s="235"/>
      <c r="L616" s="235"/>
      <c r="M616" s="235"/>
      <c r="N616" s="235"/>
      <c r="P616" s="230">
        <f t="shared" si="262"/>
        <v>0</v>
      </c>
    </row>
    <row r="617" spans="1:18" x14ac:dyDescent="0.2">
      <c r="B617" s="225" t="s">
        <v>2037</v>
      </c>
      <c r="C617" s="234"/>
      <c r="D617" s="234"/>
      <c r="E617" s="234"/>
      <c r="F617" s="234"/>
      <c r="G617" s="234"/>
      <c r="H617" s="234"/>
      <c r="I617" s="235"/>
      <c r="J617" s="235"/>
      <c r="K617" s="235"/>
      <c r="L617" s="235"/>
      <c r="M617" s="235"/>
      <c r="N617" s="235"/>
      <c r="P617" s="230">
        <f t="shared" si="262"/>
        <v>0</v>
      </c>
    </row>
    <row r="618" spans="1:18" x14ac:dyDescent="0.2">
      <c r="B618" s="225" t="s">
        <v>2052</v>
      </c>
      <c r="C618" s="234"/>
      <c r="D618" s="234"/>
      <c r="E618" s="234"/>
      <c r="F618" s="234"/>
      <c r="G618" s="234"/>
      <c r="H618" s="234"/>
      <c r="I618" s="235"/>
      <c r="J618" s="235"/>
      <c r="K618" s="235"/>
      <c r="L618" s="235"/>
      <c r="M618" s="235"/>
      <c r="N618" s="235"/>
      <c r="P618" s="230">
        <f t="shared" si="262"/>
        <v>0</v>
      </c>
    </row>
    <row r="619" spans="1:18" x14ac:dyDescent="0.2">
      <c r="B619" s="225"/>
      <c r="C619" s="225"/>
      <c r="D619" s="225"/>
      <c r="E619" s="225"/>
      <c r="F619" s="225"/>
      <c r="G619" s="225"/>
      <c r="H619" s="201"/>
      <c r="I619" s="226"/>
      <c r="J619" s="226"/>
      <c r="K619" s="226"/>
      <c r="L619" s="226"/>
      <c r="M619" s="226"/>
      <c r="N619" s="226"/>
      <c r="P619" s="230">
        <f t="shared" si="262"/>
        <v>0</v>
      </c>
    </row>
    <row r="620" spans="1:18" x14ac:dyDescent="0.2">
      <c r="B620" s="288" t="s">
        <v>106</v>
      </c>
      <c r="C620" s="290" t="s">
        <v>463</v>
      </c>
      <c r="D620" s="288" t="s">
        <v>464</v>
      </c>
      <c r="E620" s="288" t="s">
        <v>465</v>
      </c>
      <c r="F620" s="288" t="s">
        <v>490</v>
      </c>
      <c r="G620" s="288" t="s">
        <v>466</v>
      </c>
      <c r="H620" s="292" t="s">
        <v>8</v>
      </c>
      <c r="I620" s="294" t="s">
        <v>467</v>
      </c>
      <c r="J620" s="295"/>
      <c r="K620" s="295"/>
      <c r="L620" s="296"/>
      <c r="M620" s="297" t="s">
        <v>468</v>
      </c>
      <c r="N620" s="299" t="s">
        <v>469</v>
      </c>
      <c r="P620" s="230">
        <f t="shared" si="262"/>
        <v>0</v>
      </c>
    </row>
    <row r="621" spans="1:18" x14ac:dyDescent="0.2">
      <c r="B621" s="289"/>
      <c r="C621" s="291"/>
      <c r="D621" s="289"/>
      <c r="E621" s="289"/>
      <c r="F621" s="289"/>
      <c r="G621" s="289"/>
      <c r="H621" s="293"/>
      <c r="I621" s="236" t="s">
        <v>470</v>
      </c>
      <c r="J621" s="236" t="s">
        <v>471</v>
      </c>
      <c r="K621" s="236" t="s">
        <v>472</v>
      </c>
      <c r="L621" s="236" t="s">
        <v>473</v>
      </c>
      <c r="M621" s="298"/>
      <c r="N621" s="300"/>
      <c r="P621" s="230">
        <f t="shared" si="262"/>
        <v>0</v>
      </c>
    </row>
    <row r="622" spans="1:18" x14ac:dyDescent="0.2">
      <c r="A622" s="224" t="str">
        <f>CONCATENATE("Лот"," ",A623)</f>
        <v>Лот 12</v>
      </c>
      <c r="B622" s="273" t="s">
        <v>2087</v>
      </c>
      <c r="C622" s="274"/>
      <c r="D622" s="274"/>
      <c r="E622" s="274"/>
      <c r="F622" s="274"/>
      <c r="G622" s="275"/>
      <c r="H622" s="238" t="s">
        <v>17</v>
      </c>
      <c r="I622" s="270">
        <f ca="1">ROUND(VLOOKUP($H622,$AJ$4:$AN$13,2,0)*$Q624*1.51,2)</f>
        <v>120.15</v>
      </c>
      <c r="J622" s="270">
        <f ca="1">ROUND(VLOOKUP($H622,$AJ$4:$AN$13,3,0)*$Q624*1.51,2)</f>
        <v>85.62</v>
      </c>
      <c r="K622" s="270">
        <f ca="1">ROUND(VLOOKUP($H622,$AJ$4:$AN$13,4,0)*$Q624*1.51,2)</f>
        <v>43.38</v>
      </c>
      <c r="L622" s="270"/>
      <c r="M622" s="270">
        <f ca="1">ROUND(VLOOKUP($H622,$AJ$4:$AN$13,5,0)*$Q624*1.51,2)</f>
        <v>6.85</v>
      </c>
      <c r="N622" s="270"/>
      <c r="P622" s="230">
        <f t="shared" si="262"/>
        <v>1</v>
      </c>
    </row>
    <row r="623" spans="1:18" x14ac:dyDescent="0.2">
      <c r="A623" s="224">
        <f>A568+1</f>
        <v>12</v>
      </c>
      <c r="B623" s="276"/>
      <c r="C623" s="277"/>
      <c r="D623" s="277"/>
      <c r="E623" s="277"/>
      <c r="F623" s="277"/>
      <c r="G623" s="278"/>
      <c r="H623" s="238" t="s">
        <v>25</v>
      </c>
      <c r="I623" s="270">
        <f ca="1">ROUND(VLOOKUP($H623,$AJ$4:$AN$13,2,0)*$Q624*1.51,2)</f>
        <v>898.69</v>
      </c>
      <c r="J623" s="270">
        <f ca="1">ROUND(VLOOKUP($H623,$AJ$4:$AN$13,3,0)*$Q624*1.51,2)</f>
        <v>642.13</v>
      </c>
      <c r="K623" s="270">
        <f ca="1">ROUND(VLOOKUP($H623,$AJ$4:$AN$13,4,0)*$Q624*1.51,2)</f>
        <v>323.06</v>
      </c>
      <c r="L623" s="270"/>
      <c r="M623" s="270">
        <f ca="1">ROUND(VLOOKUP($H623,$AJ$4:$AN$13,5,0)*$Q624*1.51,2)</f>
        <v>27.97</v>
      </c>
      <c r="N623" s="270"/>
      <c r="P623" s="230">
        <f t="shared" si="262"/>
        <v>1</v>
      </c>
      <c r="Q623" s="240" t="s">
        <v>2045</v>
      </c>
      <c r="R623" s="240" t="s">
        <v>2046</v>
      </c>
    </row>
    <row r="624" spans="1:18" x14ac:dyDescent="0.2">
      <c r="B624" s="276"/>
      <c r="C624" s="277"/>
      <c r="D624" s="277"/>
      <c r="E624" s="277"/>
      <c r="F624" s="277"/>
      <c r="G624" s="278"/>
      <c r="H624" s="238" t="s">
        <v>19</v>
      </c>
      <c r="I624" s="270">
        <f ca="1">ROUND(VLOOKUP($H624,$AJ$4:$AN$13,2,0)*$Q624*1.51,2)</f>
        <v>71.349999999999994</v>
      </c>
      <c r="J624" s="270">
        <f ca="1">ROUND(VLOOKUP($H624,$AJ$4:$AN$13,3,0)*$Q624*1.51,2)</f>
        <v>51.94</v>
      </c>
      <c r="K624" s="270">
        <f ca="1">ROUND(VLOOKUP($H624,$AJ$4:$AN$13,4,0)*$Q624*1.51,2)</f>
        <v>26.54</v>
      </c>
      <c r="L624" s="270"/>
      <c r="M624" s="270">
        <f ca="1">ROUND(VLOOKUP($H624,$AJ$4:$AN$13,5,0)*$Q624*1.51,2)</f>
        <v>1.43</v>
      </c>
      <c r="N624" s="270"/>
      <c r="P624" s="230">
        <f t="shared" si="262"/>
        <v>0</v>
      </c>
      <c r="Q624" s="123">
        <f ca="1">IFERROR(IF(R624="","",IF(OR(R624&lt;100,R624=100),0.9,IF(OR(AND(R624&gt;100,R624&lt;150),R624=150),1,IF(R624&gt;150,1.05,"")))),"0")</f>
        <v>1.05</v>
      </c>
      <c r="R624" s="123">
        <f ca="1">N640/G628</f>
        <v>215.56000000000003</v>
      </c>
    </row>
    <row r="625" spans="1:43" x14ac:dyDescent="0.2">
      <c r="B625" s="276"/>
      <c r="C625" s="277"/>
      <c r="D625" s="277"/>
      <c r="E625" s="277"/>
      <c r="F625" s="277"/>
      <c r="G625" s="278"/>
      <c r="H625" s="238" t="s">
        <v>268</v>
      </c>
      <c r="I625" s="270">
        <f ca="1">ROUND(VLOOKUP($H625,$AJ$4:$AN$13,2,0)*$Q624*1.51,2)</f>
        <v>898.69</v>
      </c>
      <c r="J625" s="270">
        <f ca="1">ROUND(VLOOKUP($H625,$AJ$4:$AN$13,3,0)*$Q624*1.51,2)</f>
        <v>642.13</v>
      </c>
      <c r="K625" s="270">
        <f ca="1">ROUND(VLOOKUP($H625,$AJ$4:$AN$13,4,0)*$Q624*1.51,2)</f>
        <v>323.06</v>
      </c>
      <c r="L625" s="270"/>
      <c r="M625" s="270">
        <f ca="1">ROUND(VLOOKUP($H625,$AJ$4:$AN$13,5,0)*$Q624*1.51,2)</f>
        <v>27.97</v>
      </c>
      <c r="N625" s="270"/>
    </row>
    <row r="626" spans="1:43" x14ac:dyDescent="0.2">
      <c r="B626" s="276"/>
      <c r="C626" s="277"/>
      <c r="D626" s="277"/>
      <c r="E626" s="277"/>
      <c r="F626" s="277"/>
      <c r="G626" s="278"/>
      <c r="H626" s="238" t="s">
        <v>40</v>
      </c>
      <c r="I626" s="270">
        <f ca="1">ROUND(VLOOKUP($H626,$AJ$4:$AN$13,2,0)*$Q624*1.51,2)</f>
        <v>71.349999999999994</v>
      </c>
      <c r="J626" s="270">
        <f ca="1">ROUND(VLOOKUP($H626,$AJ$4:$AN$13,3,0)*$Q624*1.51,2)</f>
        <v>51.94</v>
      </c>
      <c r="K626" s="270">
        <f ca="1">ROUND(VLOOKUP($H626,$AJ$4:$AN$13,4,0)*$Q624*1.51,2)</f>
        <v>26.54</v>
      </c>
      <c r="L626" s="270"/>
      <c r="M626" s="270">
        <f ca="1">ROUND(VLOOKUP($H626,$AJ$4:$AN$13,5,0)*$Q624*1.51,2)</f>
        <v>1.43</v>
      </c>
      <c r="N626" s="270"/>
      <c r="P626" s="230">
        <f t="shared" ref="P626:P639" si="263">IF(A626&gt;0,1,0)</f>
        <v>0</v>
      </c>
    </row>
    <row r="627" spans="1:43" x14ac:dyDescent="0.2">
      <c r="B627" s="279"/>
      <c r="C627" s="280"/>
      <c r="D627" s="280"/>
      <c r="E627" s="280"/>
      <c r="F627" s="280"/>
      <c r="G627" s="281"/>
      <c r="H627" s="238" t="s">
        <v>18</v>
      </c>
      <c r="I627" s="270">
        <f ca="1">ROUND(VLOOKUP($H627,$AJ$4:$AN$13,2,0)*$Q624*1.51,2)</f>
        <v>22.83</v>
      </c>
      <c r="J627" s="270">
        <f ca="1">ROUND(VLOOKUP($H627,$AJ$4:$AN$13,3,0)*$Q624*1.51,2)</f>
        <v>17.41</v>
      </c>
      <c r="K627" s="270">
        <f ca="1">ROUND(VLOOKUP($H627,$AJ$4:$AN$13,4,0)*$Q624*1.51,2)</f>
        <v>8.85</v>
      </c>
      <c r="L627" s="270"/>
      <c r="M627" s="270">
        <f ca="1">ROUND(VLOOKUP($H627,$AJ$4:$AN$13,5,0)*$Q624*1.51*1,2)</f>
        <v>0.56999999999999995</v>
      </c>
      <c r="N627" s="270"/>
      <c r="P627" s="230">
        <f t="shared" si="263"/>
        <v>0</v>
      </c>
      <c r="AP627" s="241" t="s">
        <v>2053</v>
      </c>
      <c r="AQ627" s="242"/>
    </row>
    <row r="628" spans="1:43" x14ac:dyDescent="0.2">
      <c r="A628" s="224">
        <f>A573+37</f>
        <v>407</v>
      </c>
      <c r="B628" s="243" t="str">
        <f ca="1">OFFSET(ЛОТЫ!$L$5,A628,0,1,1)</f>
        <v>Восходское</v>
      </c>
      <c r="C628" s="244" t="s">
        <v>474</v>
      </c>
      <c r="D628" s="243">
        <f ca="1">OFFSET(ЛОТЫ!$M$5,A628,0,1,1)</f>
        <v>24</v>
      </c>
      <c r="E628" s="243">
        <f ca="1">OFFSET(ЛОТЫ!$N$5,A628,0,1,1)</f>
        <v>1</v>
      </c>
      <c r="F628" s="243">
        <f ca="1">OFFSET(ЛОТЫ!$O$5,A628,0,1,1)</f>
        <v>1</v>
      </c>
      <c r="G628" s="271">
        <f ca="1">IFERROR(INDEX('Ведомость расчета мин. платы'!$G$10:$AC$214,MATCH(CONCATENATE(B628,"/",D628,"/",E628,"/",F628),'Ведомость расчета мин. платы'!$AC$10:$AC$214,0),1),"")</f>
        <v>6</v>
      </c>
      <c r="H628" s="246" t="s">
        <v>17</v>
      </c>
      <c r="I628" s="247">
        <f ca="1">IFERROR(INDEX('Ведомость расчета мин. платы'!$J$10:$AE$214,MATCH(CONCATENATE(РАСЧЕТ!B628,"/",РАСЧЕТ!D628,"/",РАСЧЕТ!E628,"/",F628,"/",H628),'Ведомость расчета мин. платы'!$AE$10:$AE$214,0),2),"")</f>
        <v>8.4</v>
      </c>
      <c r="J628" s="247">
        <f ca="1">IFERROR(INDEX('Ведомость расчета мин. платы'!$J$10:$AE$214,MATCH(CONCATENATE(РАСЧЕТ!B628,"/",РАСЧЕТ!D628,"/",РАСЧЕТ!E628,"/",F628,"/",H628),'Ведомость расчета мин. платы'!$AE$10:$AE$214,0),3),"")</f>
        <v>34.44</v>
      </c>
      <c r="K628" s="247">
        <f ca="1">IFERROR(INDEX('Ведомость расчета мин. платы'!$J$10:$AE$214,MATCH(CONCATENATE(РАСЧЕТ!B628,"/",РАСЧЕТ!D628,"/",РАСЧЕТ!E628,"/",F628,"/",H628),'Ведомость расчета мин. платы'!$AE$10:$AE$214,0),4),"")</f>
        <v>6.12</v>
      </c>
      <c r="L628" s="248">
        <f t="shared" ref="L628:L640" ca="1" si="264">IFERROR(SUM(I628:K628),"")</f>
        <v>48.959999999999994</v>
      </c>
      <c r="M628" s="214">
        <f ca="1">IFERROR(INDEX('Ведомость расчета мин. платы'!$J$10:$AE$214,MATCH(CONCATENATE(РАСЧЕТ!B628,"/",РАСЧЕТ!D628,"/",РАСЧЕТ!E628,"/",F628,"/",H628),'Ведомость расчета мин. платы'!$AE$10:$AE$214,0),6),"")</f>
        <v>47.04</v>
      </c>
      <c r="N628" s="214">
        <f t="shared" ref="N628:N640" ca="1" si="265">IFERROR(SUM(L628:M628),"")</f>
        <v>96</v>
      </c>
      <c r="O628" s="229">
        <f>IF(H628="стоимость","",1)</f>
        <v>1</v>
      </c>
      <c r="P628" s="230">
        <f t="shared" si="263"/>
        <v>1</v>
      </c>
      <c r="AP628" s="242"/>
      <c r="AQ628" s="242"/>
    </row>
    <row r="629" spans="1:43" x14ac:dyDescent="0.2">
      <c r="B629" s="249"/>
      <c r="C629" s="249"/>
      <c r="D629" s="249"/>
      <c r="E629" s="249"/>
      <c r="F629" s="249"/>
      <c r="G629" s="249"/>
      <c r="H629" s="250" t="s">
        <v>475</v>
      </c>
      <c r="I629" s="251">
        <f ca="1">IFERROR(ROUND(I628*I622,2),"")</f>
        <v>1009.26</v>
      </c>
      <c r="J629" s="251">
        <f t="shared" ref="J629" ca="1" si="266">IFERROR(ROUND(J628*J622,2),"")</f>
        <v>2948.75</v>
      </c>
      <c r="K629" s="251">
        <f t="shared" ref="K629" ca="1" si="267">IFERROR(ROUND(K628*K622,2),"")</f>
        <v>265.49</v>
      </c>
      <c r="L629" s="251">
        <f t="shared" ca="1" si="264"/>
        <v>4223.5</v>
      </c>
      <c r="M629" s="251">
        <v>322.22999999999934</v>
      </c>
      <c r="N629" s="252">
        <f t="shared" ca="1" si="265"/>
        <v>4545.7299999999996</v>
      </c>
      <c r="O629" s="229" t="str">
        <f t="shared" ref="O629:O639" si="268">IF(H629="стоимость","",1)</f>
        <v/>
      </c>
      <c r="P629" s="230">
        <f t="shared" si="263"/>
        <v>0</v>
      </c>
      <c r="AP629" s="242">
        <f ca="1">SUMIFS('Ведомость расчета мин. платы'!$S$10:$S$209,'Ведомость расчета мин. платы'!$AE$10:$AE$209,CONCATENATE(B628,"/",D628,"/",E628,"/",F628,"/",H628))</f>
        <v>4545.7299999999996</v>
      </c>
      <c r="AQ629" s="253">
        <f t="shared" ref="AQ629" ca="1" si="269">AP629-N629</f>
        <v>0</v>
      </c>
    </row>
    <row r="630" spans="1:43" x14ac:dyDescent="0.2">
      <c r="B630" s="249"/>
      <c r="C630" s="249"/>
      <c r="D630" s="249"/>
      <c r="E630" s="249"/>
      <c r="F630" s="249"/>
      <c r="G630" s="249"/>
      <c r="H630" s="246" t="s">
        <v>25</v>
      </c>
      <c r="I630" s="247" t="str">
        <f ca="1">IFERROR(INDEX('Ведомость расчета мин. платы'!$J$10:$AE$214,MATCH(CONCATENATE(РАСЧЕТ!B628,"/",РАСЧЕТ!D628,"/",РАСЧЕТ!E628,"/",F628,"/",H630),'Ведомость расчета мин. платы'!$AE$10:$AE$214,0),2),"")</f>
        <v/>
      </c>
      <c r="J630" s="247" t="str">
        <f ca="1">IFERROR(INDEX('Ведомость расчета мин. платы'!$J$10:$AE$214,MATCH(CONCATENATE(РАСЧЕТ!B628,"/",РАСЧЕТ!D628,"/",РАСЧЕТ!E628,"/",F628,"/",H630),'Ведомость расчета мин. платы'!$AE$10:$AE$214,0),3),"")</f>
        <v/>
      </c>
      <c r="K630" s="247" t="str">
        <f ca="1">IFERROR(INDEX('Ведомость расчета мин. платы'!$J$10:$AE$214,MATCH(CONCATENATE(РАСЧЕТ!B628,"/",РАСЧЕТ!D628,"/",РАСЧЕТ!E628,"/",F628,"/",H630),'Ведомость расчета мин. платы'!$AE$10:$AE$214,0),4),"")</f>
        <v/>
      </c>
      <c r="L630" s="248">
        <f t="shared" ca="1" si="264"/>
        <v>0</v>
      </c>
      <c r="M630" s="214">
        <v>0</v>
      </c>
      <c r="N630" s="214">
        <f t="shared" ca="1" si="265"/>
        <v>0</v>
      </c>
      <c r="O630" s="229">
        <f t="shared" si="268"/>
        <v>1</v>
      </c>
      <c r="P630" s="230">
        <f t="shared" si="263"/>
        <v>0</v>
      </c>
      <c r="AP630" s="242"/>
      <c r="AQ630" s="253"/>
    </row>
    <row r="631" spans="1:43" x14ac:dyDescent="0.2">
      <c r="B631" s="249"/>
      <c r="C631" s="249"/>
      <c r="D631" s="249"/>
      <c r="E631" s="249"/>
      <c r="F631" s="249"/>
      <c r="G631" s="249"/>
      <c r="H631" s="250" t="s">
        <v>475</v>
      </c>
      <c r="I631" s="251" t="str">
        <f ca="1">IFERROR(ROUND(I630*I623,2),"")</f>
        <v/>
      </c>
      <c r="J631" s="251" t="str">
        <f t="shared" ref="J631" ca="1" si="270">IFERROR(ROUND(J630*J623,2),"")</f>
        <v/>
      </c>
      <c r="K631" s="251" t="str">
        <f t="shared" ref="K631" ca="1" si="271">IFERROR(ROUND(K630*K623,2),"")</f>
        <v/>
      </c>
      <c r="L631" s="251">
        <f t="shared" ca="1" si="264"/>
        <v>0</v>
      </c>
      <c r="M631" s="251">
        <v>0</v>
      </c>
      <c r="N631" s="252">
        <f t="shared" ca="1" si="265"/>
        <v>0</v>
      </c>
      <c r="O631" s="229" t="str">
        <f t="shared" si="268"/>
        <v/>
      </c>
      <c r="P631" s="230">
        <f t="shared" si="263"/>
        <v>0</v>
      </c>
      <c r="AP631" s="242">
        <f ca="1">SUMIFS('Ведомость расчета мин. платы'!$S$10:$S$209,'Ведомость расчета мин. платы'!$AE$10:$AE$209,CONCATENATE(B628,"/",D628,"/",E628,"/",F628,"/",H630))</f>
        <v>0</v>
      </c>
      <c r="AQ631" s="253">
        <f t="shared" ref="AQ631" ca="1" si="272">AP631-N631</f>
        <v>0</v>
      </c>
    </row>
    <row r="632" spans="1:43" x14ac:dyDescent="0.2">
      <c r="B632" s="249"/>
      <c r="C632" s="249"/>
      <c r="D632" s="249"/>
      <c r="E632" s="249"/>
      <c r="F632" s="249"/>
      <c r="G632" s="249"/>
      <c r="H632" s="205" t="s">
        <v>19</v>
      </c>
      <c r="I632" s="248" t="str">
        <f ca="1">IFERROR(INDEX('Ведомость расчета мин. платы'!$J$10:$AE$214,MATCH(CONCATENATE(РАСЧЕТ!B628,"/",РАСЧЕТ!D628,"/",РАСЧЕТ!E628,"/",F628,"/",H632),'Ведомость расчета мин. платы'!$AE$10:$AE$214,0),2),"")</f>
        <v/>
      </c>
      <c r="J632" s="248" t="str">
        <f ca="1">IFERROR(INDEX('Ведомость расчета мин. платы'!$J$10:$AE$214,MATCH(CONCATENATE(РАСЧЕТ!B628,"/",РАСЧЕТ!D628,"/",РАСЧЕТ!E628,"/",F628,"/",H632),'Ведомость расчета мин. платы'!$AE$10:$AE$214,0),3),"")</f>
        <v/>
      </c>
      <c r="K632" s="248" t="str">
        <f ca="1">IFERROR(INDEX('Ведомость расчета мин. платы'!$J$10:$AE$214,MATCH(CONCATENATE(РАСЧЕТ!B628,"/",РАСЧЕТ!D628,"/",РАСЧЕТ!E628,"/",F628,"/",H632),'Ведомость расчета мин. платы'!$AE$10:$AE$214,0),4),"")</f>
        <v/>
      </c>
      <c r="L632" s="248">
        <f t="shared" ca="1" si="264"/>
        <v>0</v>
      </c>
      <c r="M632" s="248">
        <v>0</v>
      </c>
      <c r="N632" s="214">
        <f t="shared" ca="1" si="265"/>
        <v>0</v>
      </c>
      <c r="O632" s="229">
        <f t="shared" si="268"/>
        <v>1</v>
      </c>
      <c r="P632" s="230">
        <f t="shared" si="263"/>
        <v>0</v>
      </c>
      <c r="AP632" s="242"/>
      <c r="AQ632" s="253"/>
    </row>
    <row r="633" spans="1:43" x14ac:dyDescent="0.2">
      <c r="B633" s="249"/>
      <c r="C633" s="249"/>
      <c r="D633" s="249"/>
      <c r="E633" s="249"/>
      <c r="F633" s="249"/>
      <c r="G633" s="249"/>
      <c r="H633" s="250" t="s">
        <v>475</v>
      </c>
      <c r="I633" s="251" t="str">
        <f ca="1">IFERROR(ROUND(I632*I624,2),"")</f>
        <v/>
      </c>
      <c r="J633" s="251" t="str">
        <f t="shared" ref="J633" ca="1" si="273">IFERROR(ROUND(J632*J624,2),"")</f>
        <v/>
      </c>
      <c r="K633" s="251" t="str">
        <f t="shared" ref="K633" ca="1" si="274">IFERROR(ROUND(K632*K624,2),"")</f>
        <v/>
      </c>
      <c r="L633" s="251">
        <f t="shared" ca="1" si="264"/>
        <v>0</v>
      </c>
      <c r="M633" s="251">
        <v>0</v>
      </c>
      <c r="N633" s="252">
        <f t="shared" ca="1" si="265"/>
        <v>0</v>
      </c>
      <c r="O633" s="229" t="str">
        <f t="shared" si="268"/>
        <v/>
      </c>
      <c r="P633" s="230">
        <f t="shared" si="263"/>
        <v>0</v>
      </c>
      <c r="AP633" s="242">
        <f ca="1">SUMIFS('Ведомость расчета мин. платы'!$S$10:$S$209,'Ведомость расчета мин. платы'!$AE$10:$AE$209,CONCATENATE(B628,"/",D628,"/",E628,"/",F628,"/",H632))</f>
        <v>0</v>
      </c>
      <c r="AQ633" s="253">
        <f t="shared" ref="AQ633" ca="1" si="275">AP633-N633</f>
        <v>0</v>
      </c>
    </row>
    <row r="634" spans="1:43" x14ac:dyDescent="0.2">
      <c r="B634" s="249"/>
      <c r="C634" s="249"/>
      <c r="D634" s="249"/>
      <c r="E634" s="249"/>
      <c r="F634" s="249"/>
      <c r="G634" s="249"/>
      <c r="H634" s="205" t="s">
        <v>268</v>
      </c>
      <c r="I634" s="248" t="str">
        <f ca="1">IFERROR(INDEX('Ведомость расчета мин. платы'!$J$10:$AE$214,MATCH(CONCATENATE(РАСЧЕТ!B628,"/",РАСЧЕТ!D628,"/",РАСЧЕТ!E628,"/",F628,"/",H634),'Ведомость расчета мин. платы'!$AE$10:$AE$214,0),2),"")</f>
        <v/>
      </c>
      <c r="J634" s="248" t="str">
        <f ca="1">IFERROR(INDEX('Ведомость расчета мин. платы'!$J$10:$AE$214,MATCH(CONCATENATE(РАСЧЕТ!B628,"/",РАСЧЕТ!D628,"/",РАСЧЕТ!E628,"/",F628,"/",H634),'Ведомость расчета мин. платы'!$AE$10:$AE$214,0),3),"")</f>
        <v/>
      </c>
      <c r="K634" s="248" t="str">
        <f ca="1">IFERROR(INDEX('Ведомость расчета мин. платы'!$J$10:$AE$214,MATCH(CONCATENATE(РАСЧЕТ!B628,"/",РАСЧЕТ!D628,"/",РАСЧЕТ!E628,"/",F628,"/",H634),'Ведомость расчета мин. платы'!$AE$10:$AE$214,0),4),"")</f>
        <v/>
      </c>
      <c r="L634" s="248">
        <f t="shared" ca="1" si="264"/>
        <v>0</v>
      </c>
      <c r="M634" s="248">
        <v>0</v>
      </c>
      <c r="N634" s="214">
        <f t="shared" ca="1" si="265"/>
        <v>0</v>
      </c>
      <c r="O634" s="229">
        <f t="shared" si="268"/>
        <v>1</v>
      </c>
      <c r="P634" s="230">
        <f t="shared" si="263"/>
        <v>0</v>
      </c>
      <c r="AP634" s="242"/>
      <c r="AQ634" s="253"/>
    </row>
    <row r="635" spans="1:43" x14ac:dyDescent="0.2">
      <c r="B635" s="249"/>
      <c r="C635" s="249"/>
      <c r="D635" s="249"/>
      <c r="E635" s="249"/>
      <c r="F635" s="249"/>
      <c r="G635" s="249"/>
      <c r="H635" s="250" t="s">
        <v>475</v>
      </c>
      <c r="I635" s="251" t="str">
        <f ca="1">IFERROR(ROUND(I634*I627,2),"")</f>
        <v/>
      </c>
      <c r="J635" s="251" t="str">
        <f ca="1">IFERROR(ROUND(J634*J625,2),"")</f>
        <v/>
      </c>
      <c r="K635" s="251" t="str">
        <f ca="1">IFERROR(ROUND(K634*K625,2),"")</f>
        <v/>
      </c>
      <c r="L635" s="251">
        <f t="shared" ca="1" si="264"/>
        <v>0</v>
      </c>
      <c r="M635" s="251">
        <v>0</v>
      </c>
      <c r="N635" s="252">
        <f t="shared" ca="1" si="265"/>
        <v>0</v>
      </c>
      <c r="O635" s="229" t="str">
        <f t="shared" si="268"/>
        <v/>
      </c>
      <c r="P635" s="230">
        <f t="shared" si="263"/>
        <v>0</v>
      </c>
      <c r="AP635" s="242">
        <f ca="1">SUMIFS('Ведомость расчета мин. платы'!$S$10:$S$209,'Ведомость расчета мин. платы'!$AE$10:$AE$209,CONCATENATE(B628,"/",D628,"/",E628,"/",F628,"/",H634))</f>
        <v>0</v>
      </c>
      <c r="AQ635" s="253">
        <f t="shared" ref="AQ635" ca="1" si="276">AP635-N635</f>
        <v>0</v>
      </c>
    </row>
    <row r="636" spans="1:43" x14ac:dyDescent="0.2">
      <c r="B636" s="249"/>
      <c r="C636" s="249"/>
      <c r="D636" s="249"/>
      <c r="E636" s="249"/>
      <c r="F636" s="249"/>
      <c r="G636" s="249"/>
      <c r="H636" s="205" t="s">
        <v>40</v>
      </c>
      <c r="I636" s="248" t="str">
        <f ca="1">IFERROR(INDEX('Ведомость расчета мин. платы'!$J$10:$AE$214,MATCH(CONCATENATE(РАСЧЕТ!B628,"/",РАСЧЕТ!D628,"/",РАСЧЕТ!E628,"/",F628,"/",H636),'Ведомость расчета мин. платы'!$AE$10:$AE$214,0),2),"")</f>
        <v/>
      </c>
      <c r="J636" s="248" t="str">
        <f ca="1">IFERROR(INDEX('Ведомость расчета мин. платы'!$J$10:$AE$214,MATCH(CONCATENATE(РАСЧЕТ!B628,"/",РАСЧЕТ!D628,"/",РАСЧЕТ!E628,"/",F628,"/",H636),'Ведомость расчета мин. платы'!$AE$10:$AE$214,0),3),"")</f>
        <v/>
      </c>
      <c r="K636" s="248" t="str">
        <f ca="1">IFERROR(INDEX('Ведомость расчета мин. платы'!$J$10:$AE$214,MATCH(CONCATENATE(РАСЧЕТ!B628,"/",РАСЧЕТ!D628,"/",РАСЧЕТ!E628,"/",F628,"/",H636),'Ведомость расчета мин. платы'!$AE$10:$AE$214,0),4),"")</f>
        <v/>
      </c>
      <c r="L636" s="248">
        <f t="shared" ca="1" si="264"/>
        <v>0</v>
      </c>
      <c r="M636" s="248">
        <v>0</v>
      </c>
      <c r="N636" s="214">
        <f t="shared" ca="1" si="265"/>
        <v>0</v>
      </c>
      <c r="O636" s="229">
        <f t="shared" si="268"/>
        <v>1</v>
      </c>
      <c r="P636" s="230">
        <f t="shared" si="263"/>
        <v>0</v>
      </c>
      <c r="AP636" s="242"/>
      <c r="AQ636" s="253"/>
    </row>
    <row r="637" spans="1:43" x14ac:dyDescent="0.2">
      <c r="B637" s="249"/>
      <c r="C637" s="249"/>
      <c r="D637" s="249"/>
      <c r="E637" s="249"/>
      <c r="F637" s="249"/>
      <c r="G637" s="249"/>
      <c r="H637" s="250" t="s">
        <v>475</v>
      </c>
      <c r="I637" s="251" t="str">
        <f ca="1">IFERROR(ROUND(I636*I626,2),"")</f>
        <v/>
      </c>
      <c r="J637" s="251" t="str">
        <f t="shared" ref="J637" ca="1" si="277">IFERROR(ROUND(J636*J626,2),"")</f>
        <v/>
      </c>
      <c r="K637" s="251" t="str">
        <f t="shared" ref="K637" ca="1" si="278">IFERROR(ROUND(K636*K626,2),"")</f>
        <v/>
      </c>
      <c r="L637" s="251">
        <f t="shared" ca="1" si="264"/>
        <v>0</v>
      </c>
      <c r="M637" s="251">
        <v>0</v>
      </c>
      <c r="N637" s="252">
        <f t="shared" ca="1" si="265"/>
        <v>0</v>
      </c>
      <c r="O637" s="229" t="str">
        <f t="shared" si="268"/>
        <v/>
      </c>
      <c r="P637" s="230">
        <f t="shared" si="263"/>
        <v>0</v>
      </c>
      <c r="AP637" s="242">
        <f ca="1">SUMIFS('Ведомость расчета мин. платы'!$S$10:$S$209,'Ведомость расчета мин. платы'!$AE$10:$AE$209,CONCATENATE(B628,"/",D628,"/",E628,"/",F628,"/",H636))</f>
        <v>0</v>
      </c>
      <c r="AQ637" s="253">
        <f t="shared" ref="AQ637" ca="1" si="279">AP637-N637</f>
        <v>0</v>
      </c>
    </row>
    <row r="638" spans="1:43" x14ac:dyDescent="0.2">
      <c r="B638" s="249"/>
      <c r="C638" s="249"/>
      <c r="D638" s="249"/>
      <c r="E638" s="249"/>
      <c r="F638" s="249"/>
      <c r="G638" s="249"/>
      <c r="H638" s="205" t="s">
        <v>18</v>
      </c>
      <c r="I638" s="248">
        <f ca="1">IFERROR(INDEX('Ведомость расчета мин. платы'!$J$10:$AE$214,MATCH(CONCATENATE(РАСЧЕТ!B628,"/",РАСЧЕТ!D628,"/",РАСЧЕТ!E628,"/",F628,"/",H638),'Ведомость расчета мин. платы'!$AE$10:$AE$214,0),2),"")</f>
        <v>498.6</v>
      </c>
      <c r="J638" s="248">
        <f ca="1">IFERROR(INDEX('Ведомость расчета мин. платы'!$J$10:$AE$214,MATCH(CONCATENATE(РАСЧЕТ!B628,"/",РАСЧЕТ!D628,"/",РАСЧЕТ!E628,"/",F628,"/",H638),'Ведомость расчета мин. платы'!$AE$10:$AE$214,0),3),"")</f>
        <v>185.76</v>
      </c>
      <c r="K638" s="248">
        <f ca="1">IFERROR(INDEX('Ведомость расчета мин. платы'!$J$10:$AE$214,MATCH(CONCATENATE(РАСЧЕТ!B628,"/",РАСЧЕТ!D628,"/",РАСЧЕТ!E628,"/",F628,"/",H638),'Ведомость расчета мин. платы'!$AE$10:$AE$214,0),4),"")</f>
        <v>4.32</v>
      </c>
      <c r="L638" s="248">
        <f t="shared" ca="1" si="264"/>
        <v>688.68000000000006</v>
      </c>
      <c r="M638" s="248">
        <v>508.68</v>
      </c>
      <c r="N638" s="214">
        <f t="shared" ca="1" si="265"/>
        <v>1197.3600000000001</v>
      </c>
      <c r="O638" s="229">
        <f t="shared" si="268"/>
        <v>1</v>
      </c>
      <c r="P638" s="230">
        <f t="shared" si="263"/>
        <v>0</v>
      </c>
      <c r="AP638" s="242"/>
      <c r="AQ638" s="253"/>
    </row>
    <row r="639" spans="1:43" x14ac:dyDescent="0.2">
      <c r="B639" s="249"/>
      <c r="C639" s="249"/>
      <c r="D639" s="249"/>
      <c r="E639" s="249"/>
      <c r="F639" s="249"/>
      <c r="G639" s="249"/>
      <c r="H639" s="250" t="s">
        <v>475</v>
      </c>
      <c r="I639" s="251">
        <f ca="1">IFERROR(ROUND(I638*I627,2),"")</f>
        <v>11383.04</v>
      </c>
      <c r="J639" s="251">
        <f t="shared" ref="J639" ca="1" si="280">IFERROR(ROUND(J638*J627,2),"")</f>
        <v>3234.08</v>
      </c>
      <c r="K639" s="251">
        <f t="shared" ref="K639" ca="1" si="281">IFERROR(ROUND(K638*K627,2),"")</f>
        <v>38.229999999999997</v>
      </c>
      <c r="L639" s="251">
        <f t="shared" ca="1" si="264"/>
        <v>14655.35</v>
      </c>
      <c r="M639" s="251">
        <v>289.93999999999977</v>
      </c>
      <c r="N639" s="252">
        <f t="shared" ca="1" si="265"/>
        <v>14945.29</v>
      </c>
      <c r="O639" s="229" t="str">
        <f t="shared" si="268"/>
        <v/>
      </c>
      <c r="P639" s="230">
        <f t="shared" si="263"/>
        <v>0</v>
      </c>
      <c r="AP639" s="242">
        <f ca="1">SUMIFS('Ведомость расчета мин. платы'!$S$10:$S$209,'Ведомость расчета мин. платы'!$AE$10:$AE$209,CONCATENATE(B628,"/",D628,"/",E628,"/",F628,"/",H638))</f>
        <v>14945.29</v>
      </c>
      <c r="AQ639" s="253">
        <f t="shared" ref="AQ639" ca="1" si="282">AP639-N639</f>
        <v>0</v>
      </c>
    </row>
    <row r="640" spans="1:43" x14ac:dyDescent="0.2">
      <c r="B640" s="249"/>
      <c r="C640" s="249"/>
      <c r="D640" s="249"/>
      <c r="E640" s="249"/>
      <c r="F640" s="249"/>
      <c r="G640" s="249"/>
      <c r="H640" s="254" t="s">
        <v>476</v>
      </c>
      <c r="I640" s="251">
        <f ca="1">SUMIF($O628:$O641,1,I628:I639)</f>
        <v>507</v>
      </c>
      <c r="J640" s="251">
        <f ca="1">SUMIF($O628:$O641,1,J628:J639)</f>
        <v>220.2</v>
      </c>
      <c r="K640" s="251">
        <f ca="1">SUMIF($O628:$O641,1,K628:K639)</f>
        <v>10.440000000000001</v>
      </c>
      <c r="L640" s="251">
        <f t="shared" ca="1" si="264"/>
        <v>737.6400000000001</v>
      </c>
      <c r="M640" s="251">
        <f ca="1">SUMIF($O628:$O641,1,M628:M639)</f>
        <v>555.72</v>
      </c>
      <c r="N640" s="252">
        <f t="shared" ca="1" si="265"/>
        <v>1293.3600000000001</v>
      </c>
      <c r="AP640" s="242"/>
      <c r="AQ640" s="253"/>
    </row>
    <row r="641" spans="2:43" x14ac:dyDescent="0.2">
      <c r="B641" s="249"/>
      <c r="C641" s="249"/>
      <c r="D641" s="249"/>
      <c r="E641" s="249"/>
      <c r="F641" s="249"/>
      <c r="G641" s="249"/>
      <c r="H641" s="254" t="s">
        <v>491</v>
      </c>
      <c r="I641" s="251">
        <f ca="1">SUMIF(H628:H639,"стоимость",I628:I639)</f>
        <v>12392.300000000001</v>
      </c>
      <c r="J641" s="251">
        <f ca="1">SUMIF(H628:H639,"стоимость",J628:J639)</f>
        <v>6182.83</v>
      </c>
      <c r="K641" s="251">
        <f ca="1">SUMIF(H628:H639,"стоимость",K628:K639)</f>
        <v>303.72000000000003</v>
      </c>
      <c r="L641" s="251">
        <f ca="1">IFERROR(SUM(I641:K641),"")</f>
        <v>18878.850000000002</v>
      </c>
      <c r="M641" s="251">
        <f>SUMIF(H628:H639,"стоимость",M628:M639)</f>
        <v>612.16999999999916</v>
      </c>
      <c r="N641" s="252">
        <f ca="1">IFERROR(SUM(L641:M641),"")</f>
        <v>19491.02</v>
      </c>
      <c r="AP641" s="242">
        <f ca="1">SUMIFS('Ведомость расчета мин. платы'!$S$10:$S$209,'Ведомость расчета мин. платы'!$J$10:$J$209,"Итого",'Ведомость расчета мин. платы'!$AC$10:$AC$209,CONCATENATE(B628,"/",D628,"/",E628,"/",F628))</f>
        <v>19491.02</v>
      </c>
      <c r="AQ641" s="253">
        <f ca="1">AP641-N641</f>
        <v>0</v>
      </c>
    </row>
    <row r="642" spans="2:43" x14ac:dyDescent="0.2">
      <c r="B642" s="255"/>
      <c r="C642" s="255"/>
      <c r="D642" s="255"/>
      <c r="E642" s="255"/>
      <c r="F642" s="255"/>
      <c r="G642" s="256"/>
      <c r="H642" s="257"/>
      <c r="I642" s="258"/>
      <c r="J642" s="258"/>
      <c r="K642" s="258"/>
      <c r="L642" s="258"/>
      <c r="M642" s="258"/>
      <c r="N642" s="258"/>
      <c r="P642" s="230">
        <f t="shared" ref="P642:P660" si="283">IF(A642&gt;0,1,0)</f>
        <v>0</v>
      </c>
    </row>
    <row r="643" spans="2:43" x14ac:dyDescent="0.2">
      <c r="B643" s="282" t="s">
        <v>477</v>
      </c>
      <c r="C643" s="282"/>
      <c r="D643" s="282"/>
      <c r="E643" s="282"/>
      <c r="F643" s="259"/>
      <c r="G643" s="225"/>
      <c r="H643" s="201"/>
      <c r="I643" s="226"/>
      <c r="J643" s="258"/>
      <c r="K643" s="258"/>
      <c r="L643" s="258"/>
      <c r="M643" s="258"/>
      <c r="N643" s="258"/>
      <c r="P643" s="230">
        <f t="shared" si="283"/>
        <v>0</v>
      </c>
    </row>
    <row r="644" spans="2:43" x14ac:dyDescent="0.2">
      <c r="B644" s="283" t="s">
        <v>525</v>
      </c>
      <c r="C644" s="283"/>
      <c r="D644" s="283"/>
      <c r="E644" s="283"/>
      <c r="F644" s="283"/>
      <c r="G644" s="283"/>
      <c r="H644" s="283"/>
      <c r="I644" s="283"/>
      <c r="J644" s="261"/>
      <c r="K644" s="261"/>
      <c r="L644" s="261"/>
      <c r="M644" s="261"/>
      <c r="N644" s="261"/>
      <c r="P644" s="230">
        <f t="shared" si="283"/>
        <v>0</v>
      </c>
    </row>
    <row r="645" spans="2:43" x14ac:dyDescent="0.2">
      <c r="B645" s="284" t="s">
        <v>478</v>
      </c>
      <c r="C645" s="284"/>
      <c r="D645" s="284"/>
      <c r="E645" s="284"/>
      <c r="F645" s="284"/>
      <c r="G645" s="284"/>
      <c r="H645" s="284"/>
      <c r="I645" s="284"/>
      <c r="J645" s="258"/>
      <c r="K645" s="258"/>
      <c r="L645" s="258"/>
      <c r="M645" s="258"/>
      <c r="N645" s="258"/>
      <c r="P645" s="230">
        <f t="shared" si="283"/>
        <v>0</v>
      </c>
    </row>
    <row r="646" spans="2:43" x14ac:dyDescent="0.2">
      <c r="B646" s="284" t="s">
        <v>479</v>
      </c>
      <c r="C646" s="284"/>
      <c r="D646" s="284"/>
      <c r="E646" s="284"/>
      <c r="F646" s="284"/>
      <c r="G646" s="284"/>
      <c r="H646" s="284"/>
      <c r="I646" s="284"/>
      <c r="J646" s="258"/>
      <c r="K646" s="258"/>
      <c r="L646" s="258"/>
      <c r="M646" s="258"/>
      <c r="N646" s="258"/>
      <c r="P646" s="230">
        <f t="shared" si="283"/>
        <v>0</v>
      </c>
    </row>
    <row r="647" spans="2:43" x14ac:dyDescent="0.2">
      <c r="B647" s="284" t="s">
        <v>480</v>
      </c>
      <c r="C647" s="284"/>
      <c r="D647" s="284"/>
      <c r="E647" s="284"/>
      <c r="F647" s="284"/>
      <c r="G647" s="284"/>
      <c r="H647" s="284"/>
      <c r="I647" s="284"/>
      <c r="J647" s="258"/>
      <c r="K647" s="258"/>
      <c r="L647" s="258"/>
      <c r="M647" s="258"/>
      <c r="N647" s="258"/>
      <c r="P647" s="230">
        <f t="shared" si="283"/>
        <v>0</v>
      </c>
    </row>
    <row r="648" spans="2:43" x14ac:dyDescent="0.2">
      <c r="B648" s="284" t="s">
        <v>481</v>
      </c>
      <c r="C648" s="284"/>
      <c r="D648" s="284"/>
      <c r="E648" s="284"/>
      <c r="F648" s="284"/>
      <c r="G648" s="284"/>
      <c r="H648" s="284"/>
      <c r="I648" s="284"/>
      <c r="J648" s="226"/>
      <c r="K648" s="226"/>
      <c r="L648" s="226"/>
      <c r="M648" s="226"/>
      <c r="N648" s="226"/>
      <c r="P648" s="230">
        <f t="shared" si="283"/>
        <v>0</v>
      </c>
    </row>
    <row r="649" spans="2:43" x14ac:dyDescent="0.2">
      <c r="B649" s="284" t="s">
        <v>482</v>
      </c>
      <c r="C649" s="284"/>
      <c r="D649" s="284"/>
      <c r="E649" s="284"/>
      <c r="F649" s="284"/>
      <c r="G649" s="284"/>
      <c r="H649" s="284"/>
      <c r="I649" s="284"/>
      <c r="J649" s="226"/>
      <c r="K649" s="226"/>
      <c r="L649" s="226"/>
      <c r="M649" s="226"/>
      <c r="N649" s="226"/>
      <c r="P649" s="230">
        <f t="shared" si="283"/>
        <v>0</v>
      </c>
    </row>
    <row r="650" spans="2:43" x14ac:dyDescent="0.2">
      <c r="B650" s="284" t="s">
        <v>483</v>
      </c>
      <c r="C650" s="284"/>
      <c r="D650" s="284"/>
      <c r="E650" s="284"/>
      <c r="F650" s="284"/>
      <c r="G650" s="284"/>
      <c r="H650" s="284"/>
      <c r="I650" s="284"/>
      <c r="J650" s="226"/>
      <c r="K650" s="226"/>
      <c r="L650" s="226"/>
      <c r="M650" s="226"/>
      <c r="N650" s="226"/>
      <c r="P650" s="230">
        <f t="shared" si="283"/>
        <v>0</v>
      </c>
    </row>
    <row r="651" spans="2:43" x14ac:dyDescent="0.2">
      <c r="B651" s="284" t="s">
        <v>484</v>
      </c>
      <c r="C651" s="284"/>
      <c r="D651" s="284"/>
      <c r="E651" s="284"/>
      <c r="F651" s="284"/>
      <c r="G651" s="284"/>
      <c r="H651" s="284"/>
      <c r="I651" s="284"/>
      <c r="J651" s="226"/>
      <c r="K651" s="226"/>
      <c r="L651" s="226"/>
      <c r="M651" s="226"/>
      <c r="N651" s="226"/>
      <c r="P651" s="230">
        <f t="shared" si="283"/>
        <v>0</v>
      </c>
    </row>
    <row r="652" spans="2:43" x14ac:dyDescent="0.2">
      <c r="B652" s="264"/>
      <c r="C652" s="264"/>
      <c r="D652" s="264"/>
      <c r="E652" s="264"/>
      <c r="F652" s="264"/>
      <c r="G652" s="264"/>
      <c r="H652" s="264"/>
      <c r="I652" s="265"/>
      <c r="J652" s="226"/>
      <c r="K652" s="226"/>
      <c r="L652" s="226"/>
      <c r="M652" s="226"/>
      <c r="N652" s="226"/>
      <c r="P652" s="230">
        <f t="shared" si="283"/>
        <v>0</v>
      </c>
    </row>
    <row r="653" spans="2:43" x14ac:dyDescent="0.2">
      <c r="B653" s="225" t="s">
        <v>485</v>
      </c>
      <c r="C653" s="225"/>
      <c r="D653" s="225"/>
      <c r="E653" s="225"/>
      <c r="F653" s="225"/>
      <c r="G653" s="225"/>
      <c r="H653" s="201"/>
      <c r="I653" s="226"/>
      <c r="J653" s="226" t="s">
        <v>486</v>
      </c>
      <c r="K653" s="226"/>
      <c r="L653" s="226"/>
      <c r="M653" s="226"/>
      <c r="N653" s="226"/>
      <c r="P653" s="230">
        <f t="shared" si="283"/>
        <v>0</v>
      </c>
    </row>
    <row r="654" spans="2:43" x14ac:dyDescent="0.2">
      <c r="B654" s="266" t="s">
        <v>524</v>
      </c>
      <c r="C654" s="266"/>
      <c r="D654" s="225"/>
      <c r="E654" s="225"/>
      <c r="F654" s="225"/>
      <c r="G654" s="225"/>
      <c r="H654" s="201"/>
      <c r="I654" s="226"/>
      <c r="J654" s="267"/>
      <c r="K654" s="267"/>
      <c r="L654" s="267"/>
      <c r="M654" s="226"/>
      <c r="N654" s="226"/>
      <c r="P654" s="230">
        <f t="shared" si="283"/>
        <v>0</v>
      </c>
    </row>
    <row r="655" spans="2:43" x14ac:dyDescent="0.2">
      <c r="B655" s="268" t="s">
        <v>487</v>
      </c>
      <c r="C655" s="225"/>
      <c r="D655" s="225"/>
      <c r="E655" s="225"/>
      <c r="F655" s="225"/>
      <c r="G655" s="225"/>
      <c r="H655" s="201"/>
      <c r="I655" s="226"/>
      <c r="J655" s="226" t="s">
        <v>487</v>
      </c>
      <c r="K655" s="226"/>
      <c r="L655" s="226"/>
      <c r="M655" s="226"/>
      <c r="N655" s="226"/>
      <c r="P655" s="230">
        <f t="shared" si="283"/>
        <v>0</v>
      </c>
    </row>
    <row r="656" spans="2:43" x14ac:dyDescent="0.2">
      <c r="B656" s="225"/>
      <c r="C656" s="225"/>
      <c r="D656" s="225"/>
      <c r="E656" s="225"/>
      <c r="F656" s="225"/>
      <c r="G656" s="225"/>
      <c r="H656" s="201"/>
      <c r="I656" s="226"/>
      <c r="J656" s="226"/>
      <c r="K656" s="226"/>
      <c r="L656" s="226"/>
      <c r="M656" s="226"/>
      <c r="N656" s="226"/>
      <c r="P656" s="230">
        <f t="shared" si="283"/>
        <v>0</v>
      </c>
    </row>
    <row r="657" spans="1:16" x14ac:dyDescent="0.2">
      <c r="B657" s="266"/>
      <c r="C657" s="266"/>
      <c r="D657" s="225"/>
      <c r="E657" s="225"/>
      <c r="F657" s="225"/>
      <c r="G657" s="225"/>
      <c r="H657" s="201"/>
      <c r="I657" s="226"/>
      <c r="J657" s="267"/>
      <c r="K657" s="267"/>
      <c r="L657" s="267"/>
      <c r="M657" s="226"/>
      <c r="N657" s="226"/>
      <c r="P657" s="230">
        <f t="shared" si="283"/>
        <v>0</v>
      </c>
    </row>
    <row r="658" spans="1:16" x14ac:dyDescent="0.2">
      <c r="B658" s="269" t="s">
        <v>488</v>
      </c>
      <c r="C658" s="225"/>
      <c r="D658" s="225"/>
      <c r="E658" s="225"/>
      <c r="F658" s="225"/>
      <c r="G658" s="225"/>
      <c r="H658" s="201"/>
      <c r="I658" s="226"/>
      <c r="J658" s="285" t="s">
        <v>488</v>
      </c>
      <c r="K658" s="285"/>
      <c r="L658" s="285"/>
      <c r="M658" s="226"/>
      <c r="N658" s="226"/>
      <c r="P658" s="230">
        <f t="shared" si="283"/>
        <v>0</v>
      </c>
    </row>
    <row r="659" spans="1:16" x14ac:dyDescent="0.2">
      <c r="B659" s="225"/>
      <c r="C659" s="225"/>
      <c r="D659" s="225"/>
      <c r="E659" s="225"/>
      <c r="F659" s="225"/>
      <c r="G659" s="225"/>
      <c r="H659" s="201"/>
      <c r="I659" s="226"/>
      <c r="J659" s="226"/>
      <c r="K659" s="226"/>
      <c r="L659" s="226"/>
      <c r="M659" s="226"/>
      <c r="N659" s="226"/>
      <c r="P659" s="230">
        <f t="shared" si="283"/>
        <v>0</v>
      </c>
    </row>
    <row r="660" spans="1:16" x14ac:dyDescent="0.2">
      <c r="B660" s="264" t="s">
        <v>489</v>
      </c>
      <c r="C660" s="225"/>
      <c r="D660" s="225"/>
      <c r="E660" s="225"/>
      <c r="F660" s="225"/>
      <c r="G660" s="225"/>
      <c r="H660" s="201"/>
      <c r="I660" s="226"/>
      <c r="J660" s="226" t="s">
        <v>489</v>
      </c>
      <c r="K660" s="226"/>
      <c r="L660" s="226"/>
      <c r="M660" s="226"/>
      <c r="N660" s="226"/>
      <c r="P660" s="230">
        <f t="shared" si="283"/>
        <v>0</v>
      </c>
    </row>
    <row r="661" spans="1:16" x14ac:dyDescent="0.2">
      <c r="A661" s="272"/>
      <c r="B661" s="225"/>
      <c r="C661" s="225"/>
      <c r="D661" s="225"/>
      <c r="E661" s="225"/>
      <c r="F661" s="225"/>
      <c r="G661" s="225"/>
      <c r="H661" s="201"/>
      <c r="I661" s="226"/>
      <c r="J661" s="226"/>
      <c r="K661" s="226"/>
      <c r="M661" s="226"/>
      <c r="N661" s="228"/>
    </row>
    <row r="662" spans="1:16" x14ac:dyDescent="0.2">
      <c r="A662" s="260"/>
      <c r="B662" s="225"/>
      <c r="C662" s="225"/>
      <c r="D662" s="225"/>
      <c r="E662" s="225"/>
      <c r="F662" s="225"/>
      <c r="G662" s="225"/>
      <c r="H662" s="201"/>
      <c r="I662" s="226"/>
      <c r="J662" s="226"/>
      <c r="K662" s="226"/>
      <c r="M662" s="226"/>
      <c r="N662" s="228" t="s">
        <v>455</v>
      </c>
      <c r="P662" s="230">
        <f t="shared" ref="P662:P679" si="284">IF(A662&gt;0,1,0)</f>
        <v>0</v>
      </c>
    </row>
    <row r="663" spans="1:16" x14ac:dyDescent="0.2">
      <c r="B663" s="225"/>
      <c r="C663" s="225"/>
      <c r="D663" s="225"/>
      <c r="E663" s="225"/>
      <c r="F663" s="225"/>
      <c r="G663" s="225"/>
      <c r="H663" s="201"/>
      <c r="I663" s="226"/>
      <c r="J663" s="226"/>
      <c r="K663" s="226"/>
      <c r="M663" s="226"/>
      <c r="N663" s="228" t="s">
        <v>456</v>
      </c>
      <c r="P663" s="230">
        <f t="shared" si="284"/>
        <v>0</v>
      </c>
    </row>
    <row r="664" spans="1:16" x14ac:dyDescent="0.2">
      <c r="B664" s="225"/>
      <c r="C664" s="225"/>
      <c r="D664" s="225"/>
      <c r="E664" s="225"/>
      <c r="F664" s="225"/>
      <c r="G664" s="225"/>
      <c r="H664" s="201"/>
      <c r="I664" s="226"/>
      <c r="J664" s="226"/>
      <c r="K664" s="226"/>
      <c r="M664" s="226"/>
      <c r="N664" s="228" t="s">
        <v>457</v>
      </c>
      <c r="P664" s="230">
        <f t="shared" si="284"/>
        <v>0</v>
      </c>
    </row>
    <row r="665" spans="1:16" x14ac:dyDescent="0.2">
      <c r="B665" s="225"/>
      <c r="C665" s="225"/>
      <c r="D665" s="225"/>
      <c r="E665" s="225"/>
      <c r="F665" s="225"/>
      <c r="G665" s="225"/>
      <c r="H665" s="201"/>
      <c r="I665" s="226"/>
      <c r="J665" s="226"/>
      <c r="K665" s="226"/>
      <c r="L665" s="226"/>
      <c r="M665" s="226"/>
      <c r="N665" s="226"/>
      <c r="P665" s="230">
        <f t="shared" si="284"/>
        <v>0</v>
      </c>
    </row>
    <row r="666" spans="1:16" x14ac:dyDescent="0.2">
      <c r="B666" s="225"/>
      <c r="C666" s="286" t="s">
        <v>458</v>
      </c>
      <c r="D666" s="286"/>
      <c r="E666" s="286"/>
      <c r="F666" s="286"/>
      <c r="G666" s="286"/>
      <c r="H666" s="286"/>
      <c r="I666" s="286"/>
      <c r="J666" s="286"/>
      <c r="K666" s="286"/>
      <c r="L666" s="286"/>
      <c r="M666" s="226"/>
      <c r="N666" s="226"/>
      <c r="P666" s="230">
        <f t="shared" si="284"/>
        <v>0</v>
      </c>
    </row>
    <row r="667" spans="1:16" x14ac:dyDescent="0.2">
      <c r="B667" s="225"/>
      <c r="C667" s="286" t="s">
        <v>459</v>
      </c>
      <c r="D667" s="286"/>
      <c r="E667" s="286"/>
      <c r="F667" s="286"/>
      <c r="G667" s="286"/>
      <c r="H667" s="286"/>
      <c r="I667" s="286"/>
      <c r="J667" s="286"/>
      <c r="K667" s="286"/>
      <c r="L667" s="286"/>
      <c r="M667" s="226"/>
      <c r="N667" s="226"/>
      <c r="P667" s="230">
        <f t="shared" si="284"/>
        <v>0</v>
      </c>
    </row>
    <row r="668" spans="1:16" x14ac:dyDescent="0.2">
      <c r="B668" s="225" t="s">
        <v>460</v>
      </c>
      <c r="C668" s="234"/>
      <c r="D668" s="234"/>
      <c r="E668" s="234"/>
      <c r="F668" s="234"/>
      <c r="G668" s="234"/>
      <c r="H668" s="234"/>
      <c r="I668" s="235"/>
      <c r="J668" s="235"/>
      <c r="K668" s="235"/>
      <c r="L668" s="287" t="s">
        <v>461</v>
      </c>
      <c r="M668" s="287"/>
      <c r="N668" s="287"/>
      <c r="P668" s="230">
        <f t="shared" si="284"/>
        <v>0</v>
      </c>
    </row>
    <row r="669" spans="1:16" x14ac:dyDescent="0.2">
      <c r="B669" s="225"/>
      <c r="C669" s="234"/>
      <c r="D669" s="234"/>
      <c r="E669" s="234"/>
      <c r="F669" s="234"/>
      <c r="G669" s="234"/>
      <c r="H669" s="234"/>
      <c r="I669" s="235"/>
      <c r="J669" s="235"/>
      <c r="K669" s="235"/>
      <c r="L669" s="235"/>
      <c r="M669" s="235"/>
      <c r="N669" s="235"/>
      <c r="P669" s="230">
        <f t="shared" si="284"/>
        <v>0</v>
      </c>
    </row>
    <row r="670" spans="1:16" x14ac:dyDescent="0.2">
      <c r="B670" s="225" t="s">
        <v>2038</v>
      </c>
      <c r="C670" s="234"/>
      <c r="D670" s="234"/>
      <c r="E670" s="234"/>
      <c r="F670" s="234"/>
      <c r="G670" s="234"/>
      <c r="H670" s="234"/>
      <c r="I670" s="235"/>
      <c r="J670" s="235"/>
      <c r="K670" s="235"/>
      <c r="L670" s="235"/>
      <c r="M670" s="235"/>
      <c r="N670" s="235"/>
      <c r="P670" s="230">
        <f t="shared" si="284"/>
        <v>0</v>
      </c>
    </row>
    <row r="671" spans="1:16" x14ac:dyDescent="0.2">
      <c r="B671" s="225" t="s">
        <v>462</v>
      </c>
      <c r="C671" s="234"/>
      <c r="D671" s="234"/>
      <c r="E671" s="234"/>
      <c r="F671" s="234"/>
      <c r="G671" s="234"/>
      <c r="H671" s="234"/>
      <c r="I671" s="235"/>
      <c r="J671" s="235"/>
      <c r="K671" s="235"/>
      <c r="L671" s="235"/>
      <c r="M671" s="235"/>
      <c r="N671" s="235"/>
      <c r="P671" s="230">
        <f t="shared" si="284"/>
        <v>0</v>
      </c>
    </row>
    <row r="672" spans="1:16" x14ac:dyDescent="0.2">
      <c r="B672" s="225" t="s">
        <v>2037</v>
      </c>
      <c r="C672" s="234"/>
      <c r="D672" s="234"/>
      <c r="E672" s="234"/>
      <c r="F672" s="234"/>
      <c r="G672" s="234"/>
      <c r="H672" s="234"/>
      <c r="I672" s="235"/>
      <c r="J672" s="235"/>
      <c r="K672" s="235"/>
      <c r="L672" s="235"/>
      <c r="M672" s="235"/>
      <c r="N672" s="235"/>
      <c r="P672" s="230">
        <f t="shared" si="284"/>
        <v>0</v>
      </c>
    </row>
    <row r="673" spans="1:43" x14ac:dyDescent="0.2">
      <c r="B673" s="225" t="s">
        <v>2052</v>
      </c>
      <c r="C673" s="234"/>
      <c r="D673" s="234"/>
      <c r="E673" s="234"/>
      <c r="F673" s="234"/>
      <c r="G673" s="234"/>
      <c r="H673" s="234"/>
      <c r="I673" s="235"/>
      <c r="J673" s="235"/>
      <c r="K673" s="235"/>
      <c r="L673" s="235"/>
      <c r="M673" s="235"/>
      <c r="N673" s="235"/>
      <c r="P673" s="230">
        <f t="shared" si="284"/>
        <v>0</v>
      </c>
    </row>
    <row r="674" spans="1:43" x14ac:dyDescent="0.2">
      <c r="B674" s="225"/>
      <c r="C674" s="225"/>
      <c r="D674" s="225"/>
      <c r="E674" s="225"/>
      <c r="F674" s="225"/>
      <c r="G674" s="225"/>
      <c r="H674" s="201"/>
      <c r="I674" s="226"/>
      <c r="J674" s="226"/>
      <c r="K674" s="226"/>
      <c r="L674" s="226"/>
      <c r="M674" s="226"/>
      <c r="N674" s="226"/>
      <c r="P674" s="230">
        <f t="shared" si="284"/>
        <v>0</v>
      </c>
    </row>
    <row r="675" spans="1:43" x14ac:dyDescent="0.2">
      <c r="B675" s="288" t="s">
        <v>106</v>
      </c>
      <c r="C675" s="290" t="s">
        <v>463</v>
      </c>
      <c r="D675" s="288" t="s">
        <v>464</v>
      </c>
      <c r="E675" s="288" t="s">
        <v>465</v>
      </c>
      <c r="F675" s="288" t="s">
        <v>490</v>
      </c>
      <c r="G675" s="288" t="s">
        <v>466</v>
      </c>
      <c r="H675" s="292" t="s">
        <v>8</v>
      </c>
      <c r="I675" s="294" t="s">
        <v>467</v>
      </c>
      <c r="J675" s="295"/>
      <c r="K675" s="295"/>
      <c r="L675" s="296"/>
      <c r="M675" s="297" t="s">
        <v>468</v>
      </c>
      <c r="N675" s="299" t="s">
        <v>469</v>
      </c>
      <c r="P675" s="230">
        <f t="shared" si="284"/>
        <v>0</v>
      </c>
    </row>
    <row r="676" spans="1:43" x14ac:dyDescent="0.2">
      <c r="B676" s="289"/>
      <c r="C676" s="291"/>
      <c r="D676" s="289"/>
      <c r="E676" s="289"/>
      <c r="F676" s="289"/>
      <c r="G676" s="289"/>
      <c r="H676" s="293"/>
      <c r="I676" s="236" t="s">
        <v>470</v>
      </c>
      <c r="J676" s="236" t="s">
        <v>471</v>
      </c>
      <c r="K676" s="236" t="s">
        <v>472</v>
      </c>
      <c r="L676" s="236" t="s">
        <v>473</v>
      </c>
      <c r="M676" s="298"/>
      <c r="N676" s="300"/>
      <c r="P676" s="230">
        <f t="shared" si="284"/>
        <v>0</v>
      </c>
    </row>
    <row r="677" spans="1:43" x14ac:dyDescent="0.2">
      <c r="A677" s="224" t="str">
        <f>CONCATENATE("Лот"," ",A678)</f>
        <v>Лот 13</v>
      </c>
      <c r="B677" s="273" t="s">
        <v>2087</v>
      </c>
      <c r="C677" s="274"/>
      <c r="D677" s="274"/>
      <c r="E677" s="274"/>
      <c r="F677" s="274"/>
      <c r="G677" s="275"/>
      <c r="H677" s="238" t="s">
        <v>17</v>
      </c>
      <c r="I677" s="270">
        <f ca="1">ROUND(VLOOKUP($H677,$AJ$4:$AN$13,2,0)*$Q679*1.51,2)</f>
        <v>120.15</v>
      </c>
      <c r="J677" s="270">
        <f ca="1">ROUND(VLOOKUP($H677,$AJ$4:$AN$13,3,0)*$Q679*1.51,2)</f>
        <v>85.62</v>
      </c>
      <c r="K677" s="270">
        <f ca="1">ROUND(VLOOKUP($H677,$AJ$4:$AN$13,4,0)*$Q679*1.51,2)</f>
        <v>43.38</v>
      </c>
      <c r="L677" s="270"/>
      <c r="M677" s="270">
        <f ca="1">ROUND(VLOOKUP($H677,$AJ$4:$AN$13,5,0)*$Q679*1.51,2)</f>
        <v>6.85</v>
      </c>
      <c r="N677" s="270"/>
      <c r="P677" s="230">
        <f t="shared" si="284"/>
        <v>1</v>
      </c>
    </row>
    <row r="678" spans="1:43" x14ac:dyDescent="0.2">
      <c r="A678" s="224">
        <f>A623+1</f>
        <v>13</v>
      </c>
      <c r="B678" s="276"/>
      <c r="C678" s="277"/>
      <c r="D678" s="277"/>
      <c r="E678" s="277"/>
      <c r="F678" s="277"/>
      <c r="G678" s="278"/>
      <c r="H678" s="238" t="s">
        <v>25</v>
      </c>
      <c r="I678" s="270">
        <f ca="1">ROUND(VLOOKUP($H678,$AJ$4:$AN$13,2,0)*$Q679*1.51,2)</f>
        <v>898.69</v>
      </c>
      <c r="J678" s="270">
        <f ca="1">ROUND(VLOOKUP($H678,$AJ$4:$AN$13,3,0)*$Q679*1.51,2)</f>
        <v>642.13</v>
      </c>
      <c r="K678" s="270">
        <f ca="1">ROUND(VLOOKUP($H678,$AJ$4:$AN$13,4,0)*$Q679*1.51,2)</f>
        <v>323.06</v>
      </c>
      <c r="L678" s="270"/>
      <c r="M678" s="270">
        <f ca="1">ROUND(VLOOKUP($H678,$AJ$4:$AN$13,5,0)*$Q679*1.51,2)</f>
        <v>27.97</v>
      </c>
      <c r="N678" s="270"/>
      <c r="P678" s="230">
        <f t="shared" si="284"/>
        <v>1</v>
      </c>
      <c r="Q678" s="240" t="s">
        <v>2045</v>
      </c>
      <c r="R678" s="240" t="s">
        <v>2046</v>
      </c>
    </row>
    <row r="679" spans="1:43" x14ac:dyDescent="0.2">
      <c r="B679" s="276"/>
      <c r="C679" s="277"/>
      <c r="D679" s="277"/>
      <c r="E679" s="277"/>
      <c r="F679" s="277"/>
      <c r="G679" s="278"/>
      <c r="H679" s="238" t="s">
        <v>19</v>
      </c>
      <c r="I679" s="270">
        <f ca="1">ROUND(VLOOKUP($H679,$AJ$4:$AN$13,2,0)*$Q679*1.51,2)</f>
        <v>71.349999999999994</v>
      </c>
      <c r="J679" s="270">
        <f ca="1">ROUND(VLOOKUP($H679,$AJ$4:$AN$13,3,0)*$Q679*1.51,2)</f>
        <v>51.94</v>
      </c>
      <c r="K679" s="270">
        <f ca="1">ROUND(VLOOKUP($H679,$AJ$4:$AN$13,4,0)*$Q679*1.51,2)</f>
        <v>26.54</v>
      </c>
      <c r="L679" s="270"/>
      <c r="M679" s="270">
        <f ca="1">ROUND(VLOOKUP($H679,$AJ$4:$AN$13,5,0)*$Q679*1.51,2)</f>
        <v>1.43</v>
      </c>
      <c r="N679" s="270"/>
      <c r="P679" s="230">
        <f t="shared" si="284"/>
        <v>0</v>
      </c>
      <c r="Q679" s="123">
        <f ca="1">IFERROR(IF(R679="","",IF(OR(R679&lt;100,R679=100),0.9,IF(OR(AND(R679&gt;100,R679&lt;150),R679=150),1,IF(R679&gt;150,1.05,"")))),"0")</f>
        <v>1.05</v>
      </c>
      <c r="R679" s="123">
        <f ca="1">N695/G683</f>
        <v>217.33411764705883</v>
      </c>
    </row>
    <row r="680" spans="1:43" x14ac:dyDescent="0.2">
      <c r="B680" s="276"/>
      <c r="C680" s="277"/>
      <c r="D680" s="277"/>
      <c r="E680" s="277"/>
      <c r="F680" s="277"/>
      <c r="G680" s="278"/>
      <c r="H680" s="238" t="s">
        <v>268</v>
      </c>
      <c r="I680" s="270">
        <f ca="1">ROUND(VLOOKUP($H680,$AJ$4:$AN$13,2,0)*$Q679*1.51,2)</f>
        <v>898.69</v>
      </c>
      <c r="J680" s="270">
        <f ca="1">ROUND(VLOOKUP($H680,$AJ$4:$AN$13,3,0)*$Q679*1.51,2)</f>
        <v>642.13</v>
      </c>
      <c r="K680" s="270">
        <f ca="1">ROUND(VLOOKUP($H680,$AJ$4:$AN$13,4,0)*$Q679*1.51,2)</f>
        <v>323.06</v>
      </c>
      <c r="L680" s="270"/>
      <c r="M680" s="270">
        <f ca="1">ROUND(VLOOKUP($H680,$AJ$4:$AN$13,5,0)*$Q679*1.51,2)</f>
        <v>27.97</v>
      </c>
      <c r="N680" s="270"/>
    </row>
    <row r="681" spans="1:43" x14ac:dyDescent="0.2">
      <c r="B681" s="276"/>
      <c r="C681" s="277"/>
      <c r="D681" s="277"/>
      <c r="E681" s="277"/>
      <c r="F681" s="277"/>
      <c r="G681" s="278"/>
      <c r="H681" s="238" t="s">
        <v>40</v>
      </c>
      <c r="I681" s="270">
        <f ca="1">ROUND(VLOOKUP($H681,$AJ$4:$AN$13,2,0)*$Q679*1.51,2)</f>
        <v>71.349999999999994</v>
      </c>
      <c r="J681" s="270">
        <f ca="1">ROUND(VLOOKUP($H681,$AJ$4:$AN$13,3,0)*$Q679*1.51,2)</f>
        <v>51.94</v>
      </c>
      <c r="K681" s="270">
        <f ca="1">ROUND(VLOOKUP($H681,$AJ$4:$AN$13,4,0)*$Q679*1.51,2)</f>
        <v>26.54</v>
      </c>
      <c r="L681" s="270"/>
      <c r="M681" s="270">
        <f ca="1">ROUND(VLOOKUP($H681,$AJ$4:$AN$13,5,0)*$Q679*1.51,2)</f>
        <v>1.43</v>
      </c>
      <c r="N681" s="270"/>
      <c r="P681" s="230">
        <f t="shared" ref="P681:P694" si="285">IF(A681&gt;0,1,0)</f>
        <v>0</v>
      </c>
    </row>
    <row r="682" spans="1:43" x14ac:dyDescent="0.2">
      <c r="B682" s="279"/>
      <c r="C682" s="280"/>
      <c r="D682" s="280"/>
      <c r="E682" s="280"/>
      <c r="F682" s="280"/>
      <c r="G682" s="281"/>
      <c r="H682" s="238" t="s">
        <v>18</v>
      </c>
      <c r="I682" s="270">
        <f ca="1">ROUND(VLOOKUP($H682,$AJ$4:$AN$13,2,0)*$Q679*1.51,2)</f>
        <v>22.83</v>
      </c>
      <c r="J682" s="270">
        <f ca="1">ROUND(VLOOKUP($H682,$AJ$4:$AN$13,3,0)*$Q679*1.51,2)</f>
        <v>17.41</v>
      </c>
      <c r="K682" s="270">
        <f ca="1">ROUND(VLOOKUP($H682,$AJ$4:$AN$13,4,0)*$Q679*1.51,2)</f>
        <v>8.85</v>
      </c>
      <c r="L682" s="270"/>
      <c r="M682" s="270">
        <f ca="1">ROUND(VLOOKUP($H682,$AJ$4:$AN$13,5,0)*$Q679*1.51*1,2)</f>
        <v>0.56999999999999995</v>
      </c>
      <c r="N682" s="270"/>
      <c r="P682" s="230">
        <f t="shared" si="285"/>
        <v>0</v>
      </c>
      <c r="AP682" s="241" t="s">
        <v>2053</v>
      </c>
      <c r="AQ682" s="242"/>
    </row>
    <row r="683" spans="1:43" x14ac:dyDescent="0.2">
      <c r="A683" s="224">
        <f>A628+37</f>
        <v>444</v>
      </c>
      <c r="B683" s="243" t="str">
        <f ca="1">OFFSET(ЛОТЫ!$L$5,A683,0,1,1)</f>
        <v>Восходское</v>
      </c>
      <c r="C683" s="244" t="s">
        <v>474</v>
      </c>
      <c r="D683" s="243">
        <f ca="1">OFFSET(ЛОТЫ!$M$5,A683,0,1,1)</f>
        <v>36</v>
      </c>
      <c r="E683" s="243">
        <f ca="1">OFFSET(ЛОТЫ!$N$5,A683,0,1,1)</f>
        <v>10</v>
      </c>
      <c r="F683" s="243">
        <f ca="1">OFFSET(ЛОТЫ!$O$5,A683,0,1,1)</f>
        <v>1</v>
      </c>
      <c r="G683" s="271">
        <f ca="1">IFERROR(INDEX('Ведомость расчета мин. платы'!$G$10:$AC$214,MATCH(CONCATENATE(B683,"/",D683,"/",E683,"/",F683),'Ведомость расчета мин. платы'!$AC$10:$AC$214,0),1),"")</f>
        <v>8.5</v>
      </c>
      <c r="H683" s="246" t="s">
        <v>17</v>
      </c>
      <c r="I683" s="247">
        <f ca="1">IFERROR(INDEX('Ведомость расчета мин. платы'!$J$10:$AE$214,MATCH(CONCATENATE(РАСЧЕТ!B683,"/",РАСЧЕТ!D683,"/",РАСЧЕТ!E683,"/",F683,"/",H683),'Ведомость расчета мин. платы'!$AE$10:$AE$214,0),2),"")</f>
        <v>14.57</v>
      </c>
      <c r="J683" s="247">
        <f ca="1">IFERROR(INDEX('Ведомость расчета мин. платы'!$J$10:$AE$214,MATCH(CONCATENATE(РАСЧЕТ!B683,"/",РАСЧЕТ!D683,"/",РАСЧЕТ!E683,"/",F683,"/",H683),'Ведомость расчета мин. платы'!$AE$10:$AE$214,0),3),"")</f>
        <v>59.74</v>
      </c>
      <c r="K683" s="247">
        <f ca="1">IFERROR(INDEX('Ведомость расчета мин. платы'!$J$10:$AE$214,MATCH(CONCATENATE(РАСЧЕТ!B683,"/",РАСЧЕТ!D683,"/",РАСЧЕТ!E683,"/",F683,"/",H683),'Ведомость расчета мин. платы'!$AE$10:$AE$214,0),4),"")</f>
        <v>13.84</v>
      </c>
      <c r="L683" s="248">
        <f t="shared" ref="L683:L695" ca="1" si="286">IFERROR(SUM(I683:K683),"")</f>
        <v>88.15</v>
      </c>
      <c r="M683" s="214">
        <f ca="1">IFERROR(INDEX('Ведомость расчета мин. платы'!$J$10:$AE$214,MATCH(CONCATENATE(РАСЧЕТ!B683,"/",РАСЧЕТ!D683,"/",РАСЧЕТ!E683,"/",F683,"/",H683),'Ведомость расчета мин. платы'!$AE$10:$AE$214,0),6),"")</f>
        <v>73.83</v>
      </c>
      <c r="N683" s="214">
        <f t="shared" ref="N683:N695" ca="1" si="287">IFERROR(SUM(L683:M683),"")</f>
        <v>161.98000000000002</v>
      </c>
      <c r="O683" s="229">
        <f>IF(H683="стоимость","",1)</f>
        <v>1</v>
      </c>
      <c r="P683" s="230">
        <f t="shared" si="285"/>
        <v>1</v>
      </c>
      <c r="AP683" s="242"/>
      <c r="AQ683" s="242"/>
    </row>
    <row r="684" spans="1:43" x14ac:dyDescent="0.2">
      <c r="B684" s="249"/>
      <c r="C684" s="249"/>
      <c r="D684" s="249"/>
      <c r="E684" s="249"/>
      <c r="F684" s="249"/>
      <c r="G684" s="249"/>
      <c r="H684" s="250" t="s">
        <v>475</v>
      </c>
      <c r="I684" s="251">
        <f ca="1">IFERROR(ROUND(I683*I677,2),"")</f>
        <v>1750.59</v>
      </c>
      <c r="J684" s="251">
        <f t="shared" ref="J684" ca="1" si="288">IFERROR(ROUND(J683*J677,2),"")</f>
        <v>5114.9399999999996</v>
      </c>
      <c r="K684" s="251">
        <f t="shared" ref="K684" ca="1" si="289">IFERROR(ROUND(K683*K677,2),"")</f>
        <v>600.38</v>
      </c>
      <c r="L684" s="251">
        <f t="shared" ca="1" si="286"/>
        <v>7465.91</v>
      </c>
      <c r="M684" s="251">
        <f t="shared" ref="M684" ca="1" si="290">IFERROR(ROUND(M683*M677,2),"")</f>
        <v>505.74</v>
      </c>
      <c r="N684" s="252">
        <f t="shared" ca="1" si="287"/>
        <v>7971.65</v>
      </c>
      <c r="O684" s="229" t="str">
        <f t="shared" ref="O684:O694" si="291">IF(H684="стоимость","",1)</f>
        <v/>
      </c>
      <c r="P684" s="230">
        <f t="shared" si="285"/>
        <v>0</v>
      </c>
      <c r="AP684" s="242">
        <f ca="1">SUMIFS('Ведомость расчета мин. платы'!$S$10:$S$209,'Ведомость расчета мин. платы'!$AE$10:$AE$209,CONCATENATE(B683,"/",D683,"/",E683,"/",F683,"/",H683))</f>
        <v>7971.65</v>
      </c>
      <c r="AQ684" s="253">
        <f t="shared" ref="AQ684" ca="1" si="292">AP684-N684</f>
        <v>0</v>
      </c>
    </row>
    <row r="685" spans="1:43" x14ac:dyDescent="0.2">
      <c r="B685" s="249"/>
      <c r="C685" s="249"/>
      <c r="D685" s="249"/>
      <c r="E685" s="249"/>
      <c r="F685" s="249"/>
      <c r="G685" s="249"/>
      <c r="H685" s="246" t="s">
        <v>25</v>
      </c>
      <c r="I685" s="247" t="str">
        <f ca="1">IFERROR(INDEX('Ведомость расчета мин. платы'!$J$10:$AE$214,MATCH(CONCATENATE(РАСЧЕТ!B683,"/",РАСЧЕТ!D683,"/",РАСЧЕТ!E683,"/",F683,"/",H685),'Ведомость расчета мин. платы'!$AE$10:$AE$214,0),2),"")</f>
        <v/>
      </c>
      <c r="J685" s="247" t="str">
        <f ca="1">IFERROR(INDEX('Ведомость расчета мин. платы'!$J$10:$AE$214,MATCH(CONCATENATE(РАСЧЕТ!B683,"/",РАСЧЕТ!D683,"/",РАСЧЕТ!E683,"/",F683,"/",H685),'Ведомость расчета мин. платы'!$AE$10:$AE$214,0),3),"")</f>
        <v/>
      </c>
      <c r="K685" s="247" t="str">
        <f ca="1">IFERROR(INDEX('Ведомость расчета мин. платы'!$J$10:$AE$214,MATCH(CONCATENATE(РАСЧЕТ!B683,"/",РАСЧЕТ!D683,"/",РАСЧЕТ!E683,"/",F683,"/",H685),'Ведомость расчета мин. платы'!$AE$10:$AE$214,0),4),"")</f>
        <v/>
      </c>
      <c r="L685" s="248">
        <f t="shared" ca="1" si="286"/>
        <v>0</v>
      </c>
      <c r="M685" s="214" t="str">
        <f ca="1">IFERROR(INDEX('Ведомость расчета мин. платы'!$J$10:$AE$214,MATCH(CONCATENATE(РАСЧЕТ!B683,"/",РАСЧЕТ!D683,"/",РАСЧЕТ!E683,"/",F683,"/",H685),'Ведомость расчета мин. платы'!$AE$10:$AE$214,0),6),"")</f>
        <v/>
      </c>
      <c r="N685" s="214">
        <f t="shared" ca="1" si="287"/>
        <v>0</v>
      </c>
      <c r="O685" s="229">
        <f t="shared" si="291"/>
        <v>1</v>
      </c>
      <c r="P685" s="230">
        <f t="shared" si="285"/>
        <v>0</v>
      </c>
      <c r="AP685" s="242"/>
      <c r="AQ685" s="253"/>
    </row>
    <row r="686" spans="1:43" x14ac:dyDescent="0.2">
      <c r="B686" s="249"/>
      <c r="C686" s="249"/>
      <c r="D686" s="249"/>
      <c r="E686" s="249"/>
      <c r="F686" s="249"/>
      <c r="G686" s="249"/>
      <c r="H686" s="250" t="s">
        <v>475</v>
      </c>
      <c r="I686" s="251" t="str">
        <f ca="1">IFERROR(ROUND(I685*I678,2),"")</f>
        <v/>
      </c>
      <c r="J686" s="251" t="str">
        <f t="shared" ref="J686" ca="1" si="293">IFERROR(ROUND(J685*J678,2),"")</f>
        <v/>
      </c>
      <c r="K686" s="251" t="str">
        <f t="shared" ref="K686" ca="1" si="294">IFERROR(ROUND(K685*K678,2),"")</f>
        <v/>
      </c>
      <c r="L686" s="251">
        <f t="shared" ca="1" si="286"/>
        <v>0</v>
      </c>
      <c r="M686" s="251" t="str">
        <f t="shared" ref="M686" ca="1" si="295">IFERROR(ROUND(M685*M678,2),"")</f>
        <v/>
      </c>
      <c r="N686" s="252">
        <f t="shared" ca="1" si="287"/>
        <v>0</v>
      </c>
      <c r="O686" s="229" t="str">
        <f t="shared" si="291"/>
        <v/>
      </c>
      <c r="P686" s="230">
        <f t="shared" si="285"/>
        <v>0</v>
      </c>
      <c r="AP686" s="242">
        <f ca="1">SUMIFS('Ведомость расчета мин. платы'!$S$10:$S$209,'Ведомость расчета мин. платы'!$AE$10:$AE$209,CONCATENATE(B683,"/",D683,"/",E683,"/",F683,"/",H685))</f>
        <v>0</v>
      </c>
      <c r="AQ686" s="253">
        <f t="shared" ref="AQ686" ca="1" si="296">AP686-N686</f>
        <v>0</v>
      </c>
    </row>
    <row r="687" spans="1:43" x14ac:dyDescent="0.2">
      <c r="B687" s="249"/>
      <c r="C687" s="249"/>
      <c r="D687" s="249"/>
      <c r="E687" s="249"/>
      <c r="F687" s="249"/>
      <c r="G687" s="249"/>
      <c r="H687" s="205" t="s">
        <v>19</v>
      </c>
      <c r="I687" s="248">
        <f ca="1">IFERROR(INDEX('Ведомость расчета мин. платы'!$J$10:$AE$214,MATCH(CONCATENATE(РАСЧЕТ!B683,"/",РАСЧЕТ!D683,"/",РАСЧЕТ!E683,"/",F683,"/",H687),'Ведомость расчета мин. платы'!$AE$10:$AE$214,0),2),"")</f>
        <v>0</v>
      </c>
      <c r="J687" s="248">
        <f ca="1">IFERROR(INDEX('Ведомость расчета мин. платы'!$J$10:$AE$214,MATCH(CONCATENATE(РАСЧЕТ!B683,"/",РАСЧЕТ!D683,"/",РАСЧЕТ!E683,"/",F683,"/",H687),'Ведомость расчета мин. платы'!$AE$10:$AE$214,0),3),"")</f>
        <v>3.93</v>
      </c>
      <c r="K687" s="248">
        <f ca="1">IFERROR(INDEX('Ведомость расчета мин. платы'!$J$10:$AE$214,MATCH(CONCATENATE(РАСЧЕТ!B683,"/",РАСЧЕТ!D683,"/",РАСЧЕТ!E683,"/",F683,"/",H687),'Ведомость расчета мин. платы'!$AE$10:$AE$214,0),4),"")</f>
        <v>11.83</v>
      </c>
      <c r="L687" s="248">
        <f t="shared" ca="1" si="286"/>
        <v>15.76</v>
      </c>
      <c r="M687" s="248">
        <f ca="1">IFERROR(INDEX('Ведомость расчета мин. платы'!$J$10:$AE$214,MATCH(CONCATENATE(РАСЧЕТ!B683,"/",РАСЧЕТ!D683,"/",РАСЧЕТ!E683,"/",F683,"/",H687),'Ведомость расчета мин. платы'!$AE$10:$AE$214,0),6),"")</f>
        <v>30.92</v>
      </c>
      <c r="N687" s="214">
        <f t="shared" ca="1" si="287"/>
        <v>46.68</v>
      </c>
      <c r="O687" s="229">
        <f t="shared" si="291"/>
        <v>1</v>
      </c>
      <c r="P687" s="230">
        <f t="shared" si="285"/>
        <v>0</v>
      </c>
      <c r="AP687" s="242"/>
      <c r="AQ687" s="253"/>
    </row>
    <row r="688" spans="1:43" x14ac:dyDescent="0.2">
      <c r="B688" s="249"/>
      <c r="C688" s="249"/>
      <c r="D688" s="249"/>
      <c r="E688" s="249"/>
      <c r="F688" s="249"/>
      <c r="G688" s="249"/>
      <c r="H688" s="250" t="s">
        <v>475</v>
      </c>
      <c r="I688" s="251">
        <f ca="1">IFERROR(ROUND(I687*I679,2),"")</f>
        <v>0</v>
      </c>
      <c r="J688" s="251">
        <f t="shared" ref="J688" ca="1" si="297">IFERROR(ROUND(J687*J679,2),"")</f>
        <v>204.12</v>
      </c>
      <c r="K688" s="251">
        <f t="shared" ref="K688" ca="1" si="298">IFERROR(ROUND(K687*K679,2),"")</f>
        <v>313.97000000000003</v>
      </c>
      <c r="L688" s="251">
        <f t="shared" ca="1" si="286"/>
        <v>518.09</v>
      </c>
      <c r="M688" s="251">
        <f t="shared" ref="M688" ca="1" si="299">IFERROR(ROUND(M687*M679,2),"")</f>
        <v>44.22</v>
      </c>
      <c r="N688" s="252">
        <f t="shared" ca="1" si="287"/>
        <v>562.31000000000006</v>
      </c>
      <c r="O688" s="229" t="str">
        <f t="shared" si="291"/>
        <v/>
      </c>
      <c r="P688" s="230">
        <f t="shared" si="285"/>
        <v>0</v>
      </c>
      <c r="AP688" s="242">
        <f ca="1">SUMIFS('Ведомость расчета мин. платы'!$S$10:$S$209,'Ведомость расчета мин. платы'!$AE$10:$AE$209,CONCATENATE(B683,"/",D683,"/",E683,"/",F683,"/",H687))</f>
        <v>562.30999999999995</v>
      </c>
      <c r="AQ688" s="253">
        <f t="shared" ref="AQ688" ca="1" si="300">AP688-N688</f>
        <v>0</v>
      </c>
    </row>
    <row r="689" spans="2:43" x14ac:dyDescent="0.2">
      <c r="B689" s="249"/>
      <c r="C689" s="249"/>
      <c r="D689" s="249"/>
      <c r="E689" s="249"/>
      <c r="F689" s="249"/>
      <c r="G689" s="249"/>
      <c r="H689" s="205" t="s">
        <v>268</v>
      </c>
      <c r="I689" s="248" t="str">
        <f ca="1">IFERROR(INDEX('Ведомость расчета мин. платы'!$J$10:$AE$214,MATCH(CONCATENATE(РАСЧЕТ!B683,"/",РАСЧЕТ!D683,"/",РАСЧЕТ!E683,"/",F683,"/",H689),'Ведомость расчета мин. платы'!$AE$10:$AE$214,0),2),"")</f>
        <v/>
      </c>
      <c r="J689" s="248" t="str">
        <f ca="1">IFERROR(INDEX('Ведомость расчета мин. платы'!$J$10:$AE$214,MATCH(CONCATENATE(РАСЧЕТ!B683,"/",РАСЧЕТ!D683,"/",РАСЧЕТ!E683,"/",F683,"/",H689),'Ведомость расчета мин. платы'!$AE$10:$AE$214,0),3),"")</f>
        <v/>
      </c>
      <c r="K689" s="248" t="str">
        <f ca="1">IFERROR(INDEX('Ведомость расчета мин. платы'!$J$10:$AE$214,MATCH(CONCATENATE(РАСЧЕТ!B683,"/",РАСЧЕТ!D683,"/",РАСЧЕТ!E683,"/",F683,"/",H689),'Ведомость расчета мин. платы'!$AE$10:$AE$214,0),4),"")</f>
        <v/>
      </c>
      <c r="L689" s="248">
        <f t="shared" ca="1" si="286"/>
        <v>0</v>
      </c>
      <c r="M689" s="248" t="str">
        <f ca="1">IFERROR(INDEX('Ведомость расчета мин. платы'!$J$10:$AE$214,MATCH(CONCATENATE(РАСЧЕТ!B683,"/",РАСЧЕТ!D683,"/",РАСЧЕТ!E683,"/",F683,"/",H689),'Ведомость расчета мин. платы'!$AE$10:$AE$214,0),6),"")</f>
        <v/>
      </c>
      <c r="N689" s="214">
        <f t="shared" ca="1" si="287"/>
        <v>0</v>
      </c>
      <c r="O689" s="229">
        <f t="shared" si="291"/>
        <v>1</v>
      </c>
      <c r="P689" s="230">
        <f t="shared" si="285"/>
        <v>0</v>
      </c>
      <c r="AP689" s="242"/>
      <c r="AQ689" s="253"/>
    </row>
    <row r="690" spans="2:43" x14ac:dyDescent="0.2">
      <c r="B690" s="249"/>
      <c r="C690" s="249"/>
      <c r="D690" s="249"/>
      <c r="E690" s="249"/>
      <c r="F690" s="249"/>
      <c r="G690" s="249"/>
      <c r="H690" s="250" t="s">
        <v>475</v>
      </c>
      <c r="I690" s="251" t="str">
        <f ca="1">IFERROR(ROUND(I689*I682,2),"")</f>
        <v/>
      </c>
      <c r="J690" s="251" t="str">
        <f ca="1">IFERROR(ROUND(J689*J680,2),"")</f>
        <v/>
      </c>
      <c r="K690" s="251" t="str">
        <f ca="1">IFERROR(ROUND(K689*K680,2),"")</f>
        <v/>
      </c>
      <c r="L690" s="251">
        <f t="shared" ca="1" si="286"/>
        <v>0</v>
      </c>
      <c r="M690" s="251" t="str">
        <f ca="1">IFERROR(ROUND(M689*M680,2),"")</f>
        <v/>
      </c>
      <c r="N690" s="252">
        <f t="shared" ca="1" si="287"/>
        <v>0</v>
      </c>
      <c r="O690" s="229" t="str">
        <f t="shared" si="291"/>
        <v/>
      </c>
      <c r="P690" s="230">
        <f t="shared" si="285"/>
        <v>0</v>
      </c>
      <c r="AP690" s="242">
        <f ca="1">SUMIFS('Ведомость расчета мин. платы'!$S$10:$S$209,'Ведомость расчета мин. платы'!$AE$10:$AE$209,CONCATENATE(B683,"/",D683,"/",E683,"/",F683,"/",H689))</f>
        <v>0</v>
      </c>
      <c r="AQ690" s="253">
        <f t="shared" ref="AQ690" ca="1" si="301">AP690-N690</f>
        <v>0</v>
      </c>
    </row>
    <row r="691" spans="2:43" x14ac:dyDescent="0.2">
      <c r="B691" s="249"/>
      <c r="C691" s="249"/>
      <c r="D691" s="249"/>
      <c r="E691" s="249"/>
      <c r="F691" s="249"/>
      <c r="G691" s="249"/>
      <c r="H691" s="205" t="s">
        <v>40</v>
      </c>
      <c r="I691" s="248" t="str">
        <f ca="1">IFERROR(INDEX('Ведомость расчета мин. платы'!$J$10:$AE$214,MATCH(CONCATENATE(РАСЧЕТ!B683,"/",РАСЧЕТ!D683,"/",РАСЧЕТ!E683,"/",F683,"/",H691),'Ведомость расчета мин. платы'!$AE$10:$AE$214,0),2),"")</f>
        <v/>
      </c>
      <c r="J691" s="248" t="str">
        <f ca="1">IFERROR(INDEX('Ведомость расчета мин. платы'!$J$10:$AE$214,MATCH(CONCATENATE(РАСЧЕТ!B683,"/",РАСЧЕТ!D683,"/",РАСЧЕТ!E683,"/",F683,"/",H691),'Ведомость расчета мин. платы'!$AE$10:$AE$214,0),3),"")</f>
        <v/>
      </c>
      <c r="K691" s="248" t="str">
        <f ca="1">IFERROR(INDEX('Ведомость расчета мин. платы'!$J$10:$AE$214,MATCH(CONCATENATE(РАСЧЕТ!B683,"/",РАСЧЕТ!D683,"/",РАСЧЕТ!E683,"/",F683,"/",H691),'Ведомость расчета мин. платы'!$AE$10:$AE$214,0),4),"")</f>
        <v/>
      </c>
      <c r="L691" s="248">
        <f t="shared" ca="1" si="286"/>
        <v>0</v>
      </c>
      <c r="M691" s="248" t="str">
        <f ca="1">IFERROR(INDEX('Ведомость расчета мин. платы'!$J$10:$AE$214,MATCH(CONCATENATE(РАСЧЕТ!B683,"/",РАСЧЕТ!D683,"/",РАСЧЕТ!E683,"/",F683,"/",H691),'Ведомость расчета мин. платы'!$AE$10:$AE$214,0),6),"")</f>
        <v/>
      </c>
      <c r="N691" s="214">
        <f t="shared" ca="1" si="287"/>
        <v>0</v>
      </c>
      <c r="O691" s="229">
        <f t="shared" si="291"/>
        <v>1</v>
      </c>
      <c r="P691" s="230">
        <f t="shared" si="285"/>
        <v>0</v>
      </c>
      <c r="AP691" s="242"/>
      <c r="AQ691" s="253"/>
    </row>
    <row r="692" spans="2:43" x14ac:dyDescent="0.2">
      <c r="B692" s="249"/>
      <c r="C692" s="249"/>
      <c r="D692" s="249"/>
      <c r="E692" s="249"/>
      <c r="F692" s="249"/>
      <c r="G692" s="249"/>
      <c r="H692" s="250" t="s">
        <v>475</v>
      </c>
      <c r="I692" s="251" t="str">
        <f ca="1">IFERROR(ROUND(I691*I681,2),"")</f>
        <v/>
      </c>
      <c r="J692" s="251" t="str">
        <f t="shared" ref="J692" ca="1" si="302">IFERROR(ROUND(J691*J681,2),"")</f>
        <v/>
      </c>
      <c r="K692" s="251" t="str">
        <f t="shared" ref="K692" ca="1" si="303">IFERROR(ROUND(K691*K681,2),"")</f>
        <v/>
      </c>
      <c r="L692" s="251">
        <f t="shared" ca="1" si="286"/>
        <v>0</v>
      </c>
      <c r="M692" s="251" t="str">
        <f t="shared" ref="M692" ca="1" si="304">IFERROR(ROUND(M691*M681,2),"")</f>
        <v/>
      </c>
      <c r="N692" s="252">
        <f t="shared" ca="1" si="287"/>
        <v>0</v>
      </c>
      <c r="O692" s="229" t="str">
        <f t="shared" si="291"/>
        <v/>
      </c>
      <c r="P692" s="230">
        <f t="shared" si="285"/>
        <v>0</v>
      </c>
      <c r="AP692" s="242">
        <f ca="1">SUMIFS('Ведомость расчета мин. платы'!$S$10:$S$209,'Ведомость расчета мин. платы'!$AE$10:$AE$209,CONCATENATE(B683,"/",D683,"/",E683,"/",F683,"/",H691))</f>
        <v>0</v>
      </c>
      <c r="AQ692" s="253">
        <f t="shared" ref="AQ692" ca="1" si="305">AP692-N692</f>
        <v>0</v>
      </c>
    </row>
    <row r="693" spans="2:43" x14ac:dyDescent="0.2">
      <c r="B693" s="249"/>
      <c r="C693" s="249"/>
      <c r="D693" s="249"/>
      <c r="E693" s="249"/>
      <c r="F693" s="249"/>
      <c r="G693" s="249"/>
      <c r="H693" s="205" t="s">
        <v>18</v>
      </c>
      <c r="I693" s="248">
        <f ca="1">IFERROR(INDEX('Ведомость расчета мин. платы'!$J$10:$AE$214,MATCH(CONCATENATE(РАСЧЕТ!B683,"/",РАСЧЕТ!D683,"/",РАСЧЕТ!E683,"/",F683,"/",H693),'Ведомость расчета мин. платы'!$AE$10:$AE$214,0),2),"")</f>
        <v>616.13</v>
      </c>
      <c r="J693" s="248">
        <f ca="1">IFERROR(INDEX('Ведомость расчета мин. платы'!$J$10:$AE$214,MATCH(CONCATENATE(РАСЧЕТ!B683,"/",РАСЧЕТ!D683,"/",РАСЧЕТ!E683,"/",F683,"/",H693),'Ведомость расчета мин. платы'!$AE$10:$AE$214,0),3),"")</f>
        <v>334.78</v>
      </c>
      <c r="K693" s="248">
        <f ca="1">IFERROR(INDEX('Ведомость расчета мин. платы'!$J$10:$AE$214,MATCH(CONCATENATE(РАСЧЕТ!B683,"/",РАСЧЕТ!D683,"/",РАСЧЕТ!E683,"/",F683,"/",H693),'Ведомость расчета мин. платы'!$AE$10:$AE$214,0),4),"")</f>
        <v>9.84</v>
      </c>
      <c r="L693" s="248">
        <f t="shared" ca="1" si="286"/>
        <v>960.75</v>
      </c>
      <c r="M693" s="248">
        <f ca="1">IFERROR(INDEX('Ведомость расчета мин. платы'!$J$10:$AE$214,MATCH(CONCATENATE(РАСЧЕТ!B683,"/",РАСЧЕТ!D683,"/",РАСЧЕТ!E683,"/",F683,"/",H693),'Ведомость расчета мин. платы'!$AE$10:$AE$214,0),6),"")</f>
        <v>677.93</v>
      </c>
      <c r="N693" s="214">
        <f t="shared" ca="1" si="287"/>
        <v>1638.6799999999998</v>
      </c>
      <c r="O693" s="229">
        <f t="shared" si="291"/>
        <v>1</v>
      </c>
      <c r="P693" s="230">
        <f t="shared" si="285"/>
        <v>0</v>
      </c>
      <c r="AP693" s="242"/>
      <c r="AQ693" s="253"/>
    </row>
    <row r="694" spans="2:43" x14ac:dyDescent="0.2">
      <c r="B694" s="249"/>
      <c r="C694" s="249"/>
      <c r="D694" s="249"/>
      <c r="E694" s="249"/>
      <c r="F694" s="249"/>
      <c r="G694" s="249"/>
      <c r="H694" s="250" t="s">
        <v>475</v>
      </c>
      <c r="I694" s="251">
        <f ca="1">IFERROR(ROUND(I693*I682,2),"")</f>
        <v>14066.25</v>
      </c>
      <c r="J694" s="251">
        <f t="shared" ref="J694" ca="1" si="306">IFERROR(ROUND(J693*J682,2),"")</f>
        <v>5828.52</v>
      </c>
      <c r="K694" s="251">
        <f t="shared" ref="K694" ca="1" si="307">IFERROR(ROUND(K693*K682,2),"")</f>
        <v>87.08</v>
      </c>
      <c r="L694" s="251">
        <f t="shared" ca="1" si="286"/>
        <v>19981.850000000002</v>
      </c>
      <c r="M694" s="251">
        <v>386.40999999999798</v>
      </c>
      <c r="N694" s="252">
        <f t="shared" ca="1" si="287"/>
        <v>20368.259999999998</v>
      </c>
      <c r="O694" s="229" t="str">
        <f t="shared" si="291"/>
        <v/>
      </c>
      <c r="P694" s="230">
        <f t="shared" si="285"/>
        <v>0</v>
      </c>
      <c r="AP694" s="242">
        <f ca="1">SUMIFS('Ведомость расчета мин. платы'!$S$10:$S$209,'Ведомость расчета мин. платы'!$AE$10:$AE$209,CONCATENATE(B683,"/",D683,"/",E683,"/",F683,"/",H693))</f>
        <v>20368.259999999998</v>
      </c>
      <c r="AQ694" s="253">
        <f t="shared" ref="AQ694" ca="1" si="308">AP694-N694</f>
        <v>0</v>
      </c>
    </row>
    <row r="695" spans="2:43" x14ac:dyDescent="0.2">
      <c r="B695" s="249"/>
      <c r="C695" s="249"/>
      <c r="D695" s="249"/>
      <c r="E695" s="249"/>
      <c r="F695" s="249"/>
      <c r="G695" s="249"/>
      <c r="H695" s="254" t="s">
        <v>476</v>
      </c>
      <c r="I695" s="251">
        <f ca="1">SUMIF($O683:$O696,1,I683:I694)</f>
        <v>630.70000000000005</v>
      </c>
      <c r="J695" s="251">
        <f ca="1">SUMIF($O683:$O696,1,J683:J694)</f>
        <v>398.45</v>
      </c>
      <c r="K695" s="251">
        <f ca="1">SUMIF($O683:$O696,1,K683:K694)</f>
        <v>35.510000000000005</v>
      </c>
      <c r="L695" s="251">
        <f t="shared" ca="1" si="286"/>
        <v>1064.6600000000001</v>
      </c>
      <c r="M695" s="251">
        <f ca="1">SUMIF($O683:$O696,1,M683:M694)</f>
        <v>782.68</v>
      </c>
      <c r="N695" s="252">
        <f t="shared" ca="1" si="287"/>
        <v>1847.3400000000001</v>
      </c>
      <c r="AP695" s="242"/>
      <c r="AQ695" s="253"/>
    </row>
    <row r="696" spans="2:43" x14ac:dyDescent="0.2">
      <c r="B696" s="249"/>
      <c r="C696" s="249"/>
      <c r="D696" s="249"/>
      <c r="E696" s="249"/>
      <c r="F696" s="249"/>
      <c r="G696" s="249"/>
      <c r="H696" s="254" t="s">
        <v>491</v>
      </c>
      <c r="I696" s="251">
        <f ca="1">SUMIF(H683:H694,"стоимость",I683:I694)</f>
        <v>15816.84</v>
      </c>
      <c r="J696" s="251">
        <f ca="1">SUMIF(H683:H694,"стоимость",J683:J694)</f>
        <v>11147.58</v>
      </c>
      <c r="K696" s="251">
        <f ca="1">SUMIF(H683:H694,"стоимость",K683:K694)</f>
        <v>1001.4300000000001</v>
      </c>
      <c r="L696" s="251">
        <f ca="1">IFERROR(SUM(I696:K696),"")</f>
        <v>27965.85</v>
      </c>
      <c r="M696" s="251">
        <f ca="1">SUMIF(H683:H694,"стоимость",M683:M694)</f>
        <v>936.36999999999807</v>
      </c>
      <c r="N696" s="252">
        <f ca="1">IFERROR(SUM(L696:M696),"")</f>
        <v>28902.219999999998</v>
      </c>
      <c r="AP696" s="242">
        <f ca="1">SUMIFS('Ведомость расчета мин. платы'!$S$10:$S$209,'Ведомость расчета мин. платы'!$J$10:$J$209,"Итого",'Ведомость расчета мин. платы'!$AC$10:$AC$209,CONCATENATE(B683,"/",D683,"/",E683,"/",F683))</f>
        <v>28902.219999999998</v>
      </c>
      <c r="AQ696" s="253">
        <f ca="1">AP696-N696</f>
        <v>0</v>
      </c>
    </row>
    <row r="697" spans="2:43" x14ac:dyDescent="0.2">
      <c r="B697" s="255"/>
      <c r="C697" s="255"/>
      <c r="D697" s="255"/>
      <c r="E697" s="255"/>
      <c r="F697" s="255"/>
      <c r="G697" s="256"/>
      <c r="H697" s="257"/>
      <c r="I697" s="258"/>
      <c r="J697" s="258"/>
      <c r="K697" s="258"/>
      <c r="L697" s="258"/>
      <c r="M697" s="258"/>
      <c r="N697" s="258"/>
      <c r="P697" s="230">
        <f t="shared" ref="P697:P715" si="309">IF(A697&gt;0,1,0)</f>
        <v>0</v>
      </c>
    </row>
    <row r="698" spans="2:43" x14ac:dyDescent="0.2">
      <c r="B698" s="282" t="s">
        <v>477</v>
      </c>
      <c r="C698" s="282"/>
      <c r="D698" s="282"/>
      <c r="E698" s="282"/>
      <c r="F698" s="259"/>
      <c r="G698" s="225"/>
      <c r="H698" s="201"/>
      <c r="I698" s="226"/>
      <c r="J698" s="258"/>
      <c r="K698" s="258"/>
      <c r="L698" s="258"/>
      <c r="M698" s="258"/>
      <c r="N698" s="258"/>
      <c r="P698" s="230">
        <f t="shared" si="309"/>
        <v>0</v>
      </c>
    </row>
    <row r="699" spans="2:43" x14ac:dyDescent="0.2">
      <c r="B699" s="283" t="s">
        <v>525</v>
      </c>
      <c r="C699" s="283"/>
      <c r="D699" s="283"/>
      <c r="E699" s="283"/>
      <c r="F699" s="283"/>
      <c r="G699" s="283"/>
      <c r="H699" s="283"/>
      <c r="I699" s="283"/>
      <c r="J699" s="261"/>
      <c r="K699" s="261"/>
      <c r="L699" s="261"/>
      <c r="M699" s="261"/>
      <c r="N699" s="261"/>
      <c r="P699" s="230">
        <f t="shared" si="309"/>
        <v>0</v>
      </c>
    </row>
    <row r="700" spans="2:43" x14ac:dyDescent="0.2">
      <c r="B700" s="284" t="s">
        <v>478</v>
      </c>
      <c r="C700" s="284"/>
      <c r="D700" s="284"/>
      <c r="E700" s="284"/>
      <c r="F700" s="284"/>
      <c r="G700" s="284"/>
      <c r="H700" s="284"/>
      <c r="I700" s="284"/>
      <c r="J700" s="258"/>
      <c r="K700" s="258"/>
      <c r="L700" s="258"/>
      <c r="M700" s="258"/>
      <c r="N700" s="258"/>
      <c r="P700" s="230">
        <f t="shared" si="309"/>
        <v>0</v>
      </c>
    </row>
    <row r="701" spans="2:43" x14ac:dyDescent="0.2">
      <c r="B701" s="284" t="s">
        <v>479</v>
      </c>
      <c r="C701" s="284"/>
      <c r="D701" s="284"/>
      <c r="E701" s="284"/>
      <c r="F701" s="284"/>
      <c r="G701" s="284"/>
      <c r="H701" s="284"/>
      <c r="I701" s="284"/>
      <c r="J701" s="258"/>
      <c r="K701" s="258"/>
      <c r="L701" s="258"/>
      <c r="M701" s="258"/>
      <c r="N701" s="258"/>
      <c r="P701" s="230">
        <f t="shared" si="309"/>
        <v>0</v>
      </c>
    </row>
    <row r="702" spans="2:43" x14ac:dyDescent="0.2">
      <c r="B702" s="284" t="s">
        <v>480</v>
      </c>
      <c r="C702" s="284"/>
      <c r="D702" s="284"/>
      <c r="E702" s="284"/>
      <c r="F702" s="284"/>
      <c r="G702" s="284"/>
      <c r="H702" s="284"/>
      <c r="I702" s="284"/>
      <c r="J702" s="258"/>
      <c r="K702" s="258"/>
      <c r="L702" s="258"/>
      <c r="M702" s="258"/>
      <c r="N702" s="258"/>
      <c r="P702" s="230">
        <f t="shared" si="309"/>
        <v>0</v>
      </c>
    </row>
    <row r="703" spans="2:43" x14ac:dyDescent="0.2">
      <c r="B703" s="284" t="s">
        <v>481</v>
      </c>
      <c r="C703" s="284"/>
      <c r="D703" s="284"/>
      <c r="E703" s="284"/>
      <c r="F703" s="284"/>
      <c r="G703" s="284"/>
      <c r="H703" s="284"/>
      <c r="I703" s="284"/>
      <c r="J703" s="226"/>
      <c r="K703" s="226"/>
      <c r="L703" s="226"/>
      <c r="M703" s="226"/>
      <c r="N703" s="226"/>
      <c r="P703" s="230">
        <f t="shared" si="309"/>
        <v>0</v>
      </c>
    </row>
    <row r="704" spans="2:43" x14ac:dyDescent="0.2">
      <c r="B704" s="284" t="s">
        <v>482</v>
      </c>
      <c r="C704" s="284"/>
      <c r="D704" s="284"/>
      <c r="E704" s="284"/>
      <c r="F704" s="284"/>
      <c r="G704" s="284"/>
      <c r="H704" s="284"/>
      <c r="I704" s="284"/>
      <c r="J704" s="226"/>
      <c r="K704" s="226"/>
      <c r="L704" s="226"/>
      <c r="M704" s="226"/>
      <c r="N704" s="226"/>
      <c r="P704" s="230">
        <f t="shared" si="309"/>
        <v>0</v>
      </c>
    </row>
    <row r="705" spans="1:16" x14ac:dyDescent="0.2">
      <c r="B705" s="284" t="s">
        <v>483</v>
      </c>
      <c r="C705" s="284"/>
      <c r="D705" s="284"/>
      <c r="E705" s="284"/>
      <c r="F705" s="284"/>
      <c r="G705" s="284"/>
      <c r="H705" s="284"/>
      <c r="I705" s="284"/>
      <c r="J705" s="226"/>
      <c r="K705" s="226"/>
      <c r="L705" s="226"/>
      <c r="M705" s="226"/>
      <c r="N705" s="226"/>
      <c r="P705" s="230">
        <f t="shared" si="309"/>
        <v>0</v>
      </c>
    </row>
    <row r="706" spans="1:16" x14ac:dyDescent="0.2">
      <c r="B706" s="284" t="s">
        <v>484</v>
      </c>
      <c r="C706" s="284"/>
      <c r="D706" s="284"/>
      <c r="E706" s="284"/>
      <c r="F706" s="284"/>
      <c r="G706" s="284"/>
      <c r="H706" s="284"/>
      <c r="I706" s="284"/>
      <c r="J706" s="226"/>
      <c r="K706" s="226"/>
      <c r="L706" s="226"/>
      <c r="M706" s="226"/>
      <c r="N706" s="226"/>
      <c r="P706" s="230">
        <f t="shared" si="309"/>
        <v>0</v>
      </c>
    </row>
    <row r="707" spans="1:16" x14ac:dyDescent="0.2">
      <c r="B707" s="264"/>
      <c r="C707" s="264"/>
      <c r="D707" s="264"/>
      <c r="E707" s="264"/>
      <c r="F707" s="264"/>
      <c r="G707" s="264"/>
      <c r="H707" s="264"/>
      <c r="I707" s="265"/>
      <c r="J707" s="226"/>
      <c r="K707" s="226"/>
      <c r="L707" s="226"/>
      <c r="M707" s="226"/>
      <c r="N707" s="226"/>
      <c r="P707" s="230">
        <f t="shared" si="309"/>
        <v>0</v>
      </c>
    </row>
    <row r="708" spans="1:16" x14ac:dyDescent="0.2">
      <c r="B708" s="225" t="s">
        <v>485</v>
      </c>
      <c r="C708" s="225"/>
      <c r="D708" s="225"/>
      <c r="E708" s="225"/>
      <c r="F708" s="225"/>
      <c r="G708" s="225"/>
      <c r="H708" s="201"/>
      <c r="I708" s="226"/>
      <c r="J708" s="226" t="s">
        <v>486</v>
      </c>
      <c r="K708" s="226"/>
      <c r="L708" s="226"/>
      <c r="M708" s="226"/>
      <c r="N708" s="226"/>
      <c r="P708" s="230">
        <f t="shared" si="309"/>
        <v>0</v>
      </c>
    </row>
    <row r="709" spans="1:16" x14ac:dyDescent="0.2">
      <c r="B709" s="266" t="s">
        <v>524</v>
      </c>
      <c r="C709" s="266"/>
      <c r="D709" s="225"/>
      <c r="E709" s="225"/>
      <c r="F709" s="225"/>
      <c r="G709" s="225"/>
      <c r="H709" s="201"/>
      <c r="I709" s="226"/>
      <c r="J709" s="267"/>
      <c r="K709" s="267"/>
      <c r="L709" s="267"/>
      <c r="M709" s="226"/>
      <c r="N709" s="226"/>
      <c r="P709" s="230">
        <f t="shared" si="309"/>
        <v>0</v>
      </c>
    </row>
    <row r="710" spans="1:16" x14ac:dyDescent="0.2">
      <c r="B710" s="268" t="s">
        <v>487</v>
      </c>
      <c r="C710" s="225"/>
      <c r="D710" s="225"/>
      <c r="E710" s="225"/>
      <c r="F710" s="225"/>
      <c r="G710" s="225"/>
      <c r="H710" s="201"/>
      <c r="I710" s="226"/>
      <c r="J710" s="226" t="s">
        <v>487</v>
      </c>
      <c r="K710" s="226"/>
      <c r="L710" s="226"/>
      <c r="M710" s="226"/>
      <c r="N710" s="226"/>
      <c r="P710" s="230">
        <f t="shared" si="309"/>
        <v>0</v>
      </c>
    </row>
    <row r="711" spans="1:16" x14ac:dyDescent="0.2">
      <c r="B711" s="225"/>
      <c r="C711" s="225"/>
      <c r="D711" s="225"/>
      <c r="E711" s="225"/>
      <c r="F711" s="225"/>
      <c r="G711" s="225"/>
      <c r="H711" s="201"/>
      <c r="I711" s="226"/>
      <c r="J711" s="226"/>
      <c r="K711" s="226"/>
      <c r="L711" s="226"/>
      <c r="M711" s="226"/>
      <c r="N711" s="226"/>
      <c r="P711" s="230">
        <f t="shared" si="309"/>
        <v>0</v>
      </c>
    </row>
    <row r="712" spans="1:16" x14ac:dyDescent="0.2">
      <c r="B712" s="266"/>
      <c r="C712" s="266"/>
      <c r="D712" s="225"/>
      <c r="E712" s="225"/>
      <c r="F712" s="225"/>
      <c r="G712" s="225"/>
      <c r="H712" s="201"/>
      <c r="I712" s="226"/>
      <c r="J712" s="267"/>
      <c r="K712" s="267"/>
      <c r="L712" s="267"/>
      <c r="M712" s="226"/>
      <c r="N712" s="226"/>
      <c r="P712" s="230">
        <f t="shared" si="309"/>
        <v>0</v>
      </c>
    </row>
    <row r="713" spans="1:16" x14ac:dyDescent="0.2">
      <c r="B713" s="269" t="s">
        <v>488</v>
      </c>
      <c r="C713" s="225"/>
      <c r="D713" s="225"/>
      <c r="E713" s="225"/>
      <c r="F713" s="225"/>
      <c r="G713" s="225"/>
      <c r="H713" s="201"/>
      <c r="I713" s="226"/>
      <c r="J713" s="285" t="s">
        <v>488</v>
      </c>
      <c r="K713" s="285"/>
      <c r="L713" s="285"/>
      <c r="M713" s="226"/>
      <c r="N713" s="226"/>
      <c r="P713" s="230">
        <f t="shared" si="309"/>
        <v>0</v>
      </c>
    </row>
    <row r="714" spans="1:16" x14ac:dyDescent="0.2">
      <c r="B714" s="225"/>
      <c r="C714" s="225"/>
      <c r="D714" s="225"/>
      <c r="E714" s="225"/>
      <c r="F714" s="225"/>
      <c r="G714" s="225"/>
      <c r="H714" s="201"/>
      <c r="I714" s="226"/>
      <c r="J714" s="226"/>
      <c r="K714" s="226"/>
      <c r="L714" s="226"/>
      <c r="M714" s="226"/>
      <c r="N714" s="226"/>
      <c r="P714" s="230">
        <f t="shared" si="309"/>
        <v>0</v>
      </c>
    </row>
    <row r="715" spans="1:16" x14ac:dyDescent="0.2">
      <c r="B715" s="264" t="s">
        <v>489</v>
      </c>
      <c r="C715" s="225"/>
      <c r="D715" s="225"/>
      <c r="E715" s="225"/>
      <c r="F715" s="225"/>
      <c r="G715" s="225"/>
      <c r="H715" s="201"/>
      <c r="I715" s="226"/>
      <c r="J715" s="226" t="s">
        <v>489</v>
      </c>
      <c r="K715" s="226"/>
      <c r="L715" s="226"/>
      <c r="M715" s="226"/>
      <c r="N715" s="226"/>
      <c r="P715" s="230">
        <f t="shared" si="309"/>
        <v>0</v>
      </c>
    </row>
    <row r="716" spans="1:16" x14ac:dyDescent="0.2">
      <c r="A716" s="272"/>
      <c r="B716" s="225"/>
      <c r="C716" s="225"/>
      <c r="D716" s="225"/>
      <c r="E716" s="225"/>
      <c r="F716" s="225"/>
      <c r="G716" s="225"/>
      <c r="H716" s="201"/>
      <c r="I716" s="226"/>
      <c r="J716" s="226"/>
      <c r="K716" s="226"/>
      <c r="M716" s="226"/>
      <c r="N716" s="228"/>
    </row>
    <row r="717" spans="1:16" x14ac:dyDescent="0.2">
      <c r="A717" s="260"/>
      <c r="B717" s="225"/>
      <c r="C717" s="225"/>
      <c r="D717" s="225"/>
      <c r="E717" s="225"/>
      <c r="F717" s="225"/>
      <c r="G717" s="225"/>
      <c r="H717" s="201"/>
      <c r="I717" s="226"/>
      <c r="J717" s="226"/>
      <c r="K717" s="226"/>
      <c r="M717" s="226"/>
      <c r="N717" s="228" t="s">
        <v>455</v>
      </c>
      <c r="P717" s="230">
        <f t="shared" ref="P717:P734" si="310">IF(A717&gt;0,1,0)</f>
        <v>0</v>
      </c>
    </row>
    <row r="718" spans="1:16" x14ac:dyDescent="0.2">
      <c r="B718" s="225"/>
      <c r="C718" s="225"/>
      <c r="D718" s="225"/>
      <c r="E718" s="225"/>
      <c r="F718" s="225"/>
      <c r="G718" s="225"/>
      <c r="H718" s="201"/>
      <c r="I718" s="226"/>
      <c r="J718" s="226"/>
      <c r="K718" s="226"/>
      <c r="M718" s="226"/>
      <c r="N718" s="228" t="s">
        <v>456</v>
      </c>
      <c r="P718" s="230">
        <f t="shared" si="310"/>
        <v>0</v>
      </c>
    </row>
    <row r="719" spans="1:16" x14ac:dyDescent="0.2">
      <c r="B719" s="225"/>
      <c r="C719" s="225"/>
      <c r="D719" s="225"/>
      <c r="E719" s="225"/>
      <c r="F719" s="225"/>
      <c r="G719" s="225"/>
      <c r="H719" s="201"/>
      <c r="I719" s="226"/>
      <c r="J719" s="226"/>
      <c r="K719" s="226"/>
      <c r="M719" s="226"/>
      <c r="N719" s="228" t="s">
        <v>457</v>
      </c>
      <c r="P719" s="230">
        <f t="shared" si="310"/>
        <v>0</v>
      </c>
    </row>
    <row r="720" spans="1:16" x14ac:dyDescent="0.2">
      <c r="B720" s="225"/>
      <c r="C720" s="225"/>
      <c r="D720" s="225"/>
      <c r="E720" s="225"/>
      <c r="F720" s="225"/>
      <c r="G720" s="225"/>
      <c r="H720" s="201"/>
      <c r="I720" s="226"/>
      <c r="J720" s="226"/>
      <c r="K720" s="226"/>
      <c r="L720" s="226"/>
      <c r="M720" s="226"/>
      <c r="N720" s="226"/>
      <c r="P720" s="230">
        <f t="shared" si="310"/>
        <v>0</v>
      </c>
    </row>
    <row r="721" spans="1:18" x14ac:dyDescent="0.2">
      <c r="B721" s="225"/>
      <c r="C721" s="286" t="s">
        <v>458</v>
      </c>
      <c r="D721" s="286"/>
      <c r="E721" s="286"/>
      <c r="F721" s="286"/>
      <c r="G721" s="286"/>
      <c r="H721" s="286"/>
      <c r="I721" s="286"/>
      <c r="J721" s="286"/>
      <c r="K721" s="286"/>
      <c r="L721" s="286"/>
      <c r="M721" s="226"/>
      <c r="N721" s="226"/>
      <c r="P721" s="230">
        <f t="shared" si="310"/>
        <v>0</v>
      </c>
    </row>
    <row r="722" spans="1:18" x14ac:dyDescent="0.2">
      <c r="B722" s="225"/>
      <c r="C722" s="286" t="s">
        <v>459</v>
      </c>
      <c r="D722" s="286"/>
      <c r="E722" s="286"/>
      <c r="F722" s="286"/>
      <c r="G722" s="286"/>
      <c r="H722" s="286"/>
      <c r="I722" s="286"/>
      <c r="J722" s="286"/>
      <c r="K722" s="286"/>
      <c r="L722" s="286"/>
      <c r="M722" s="226"/>
      <c r="N722" s="226"/>
      <c r="P722" s="230">
        <f t="shared" si="310"/>
        <v>0</v>
      </c>
    </row>
    <row r="723" spans="1:18" x14ac:dyDescent="0.2">
      <c r="B723" s="225" t="s">
        <v>460</v>
      </c>
      <c r="C723" s="234"/>
      <c r="D723" s="234"/>
      <c r="E723" s="234"/>
      <c r="F723" s="234"/>
      <c r="G723" s="234"/>
      <c r="H723" s="234"/>
      <c r="I723" s="235"/>
      <c r="J723" s="235"/>
      <c r="K723" s="235"/>
      <c r="L723" s="287" t="s">
        <v>461</v>
      </c>
      <c r="M723" s="287"/>
      <c r="N723" s="287"/>
      <c r="P723" s="230">
        <f t="shared" si="310"/>
        <v>0</v>
      </c>
    </row>
    <row r="724" spans="1:18" x14ac:dyDescent="0.2">
      <c r="B724" s="225"/>
      <c r="C724" s="234"/>
      <c r="D724" s="234"/>
      <c r="E724" s="234"/>
      <c r="F724" s="234"/>
      <c r="G724" s="234"/>
      <c r="H724" s="234"/>
      <c r="I724" s="235"/>
      <c r="J724" s="235"/>
      <c r="K724" s="235"/>
      <c r="L724" s="235"/>
      <c r="M724" s="235"/>
      <c r="N724" s="235"/>
      <c r="P724" s="230">
        <f t="shared" si="310"/>
        <v>0</v>
      </c>
    </row>
    <row r="725" spans="1:18" x14ac:dyDescent="0.2">
      <c r="B725" s="225" t="s">
        <v>2038</v>
      </c>
      <c r="C725" s="234"/>
      <c r="D725" s="234"/>
      <c r="E725" s="234"/>
      <c r="F725" s="234"/>
      <c r="G725" s="234"/>
      <c r="H725" s="234"/>
      <c r="I725" s="235"/>
      <c r="J725" s="235"/>
      <c r="K725" s="235"/>
      <c r="L725" s="235"/>
      <c r="M725" s="235"/>
      <c r="N725" s="235"/>
      <c r="P725" s="230">
        <f t="shared" si="310"/>
        <v>0</v>
      </c>
    </row>
    <row r="726" spans="1:18" x14ac:dyDescent="0.2">
      <c r="B726" s="225" t="s">
        <v>462</v>
      </c>
      <c r="C726" s="234"/>
      <c r="D726" s="234"/>
      <c r="E726" s="234"/>
      <c r="F726" s="234"/>
      <c r="G726" s="234"/>
      <c r="H726" s="234"/>
      <c r="I726" s="235"/>
      <c r="J726" s="235"/>
      <c r="K726" s="235"/>
      <c r="L726" s="235"/>
      <c r="M726" s="235"/>
      <c r="N726" s="235"/>
      <c r="P726" s="230">
        <f t="shared" si="310"/>
        <v>0</v>
      </c>
    </row>
    <row r="727" spans="1:18" x14ac:dyDescent="0.2">
      <c r="B727" s="225" t="s">
        <v>2037</v>
      </c>
      <c r="C727" s="234"/>
      <c r="D727" s="234"/>
      <c r="E727" s="234"/>
      <c r="F727" s="234"/>
      <c r="G727" s="234"/>
      <c r="H727" s="234"/>
      <c r="I727" s="235"/>
      <c r="J727" s="235"/>
      <c r="K727" s="235"/>
      <c r="L727" s="235"/>
      <c r="M727" s="235"/>
      <c r="N727" s="235"/>
      <c r="P727" s="230">
        <f t="shared" si="310"/>
        <v>0</v>
      </c>
    </row>
    <row r="728" spans="1:18" x14ac:dyDescent="0.2">
      <c r="B728" s="225" t="s">
        <v>2052</v>
      </c>
      <c r="C728" s="234"/>
      <c r="D728" s="234"/>
      <c r="E728" s="234"/>
      <c r="F728" s="234"/>
      <c r="G728" s="234"/>
      <c r="H728" s="234"/>
      <c r="I728" s="235"/>
      <c r="J728" s="235"/>
      <c r="K728" s="235"/>
      <c r="L728" s="235"/>
      <c r="M728" s="235"/>
      <c r="N728" s="235"/>
      <c r="P728" s="230">
        <f t="shared" si="310"/>
        <v>0</v>
      </c>
    </row>
    <row r="729" spans="1:18" x14ac:dyDescent="0.2">
      <c r="B729" s="225"/>
      <c r="C729" s="225"/>
      <c r="D729" s="225"/>
      <c r="E729" s="225"/>
      <c r="F729" s="225"/>
      <c r="G729" s="225"/>
      <c r="H729" s="201"/>
      <c r="I729" s="226"/>
      <c r="J729" s="226"/>
      <c r="K729" s="226"/>
      <c r="L729" s="226"/>
      <c r="M729" s="226"/>
      <c r="N729" s="226"/>
      <c r="P729" s="230">
        <f t="shared" si="310"/>
        <v>0</v>
      </c>
    </row>
    <row r="730" spans="1:18" x14ac:dyDescent="0.2">
      <c r="B730" s="288" t="s">
        <v>106</v>
      </c>
      <c r="C730" s="290" t="s">
        <v>463</v>
      </c>
      <c r="D730" s="288" t="s">
        <v>464</v>
      </c>
      <c r="E730" s="288" t="s">
        <v>465</v>
      </c>
      <c r="F730" s="288" t="s">
        <v>490</v>
      </c>
      <c r="G730" s="288" t="s">
        <v>466</v>
      </c>
      <c r="H730" s="292" t="s">
        <v>8</v>
      </c>
      <c r="I730" s="294" t="s">
        <v>467</v>
      </c>
      <c r="J730" s="295"/>
      <c r="K730" s="295"/>
      <c r="L730" s="296"/>
      <c r="M730" s="297" t="s">
        <v>468</v>
      </c>
      <c r="N730" s="299" t="s">
        <v>469</v>
      </c>
      <c r="P730" s="230">
        <f t="shared" si="310"/>
        <v>0</v>
      </c>
    </row>
    <row r="731" spans="1:18" x14ac:dyDescent="0.2">
      <c r="B731" s="289"/>
      <c r="C731" s="291"/>
      <c r="D731" s="289"/>
      <c r="E731" s="289"/>
      <c r="F731" s="289"/>
      <c r="G731" s="289"/>
      <c r="H731" s="293"/>
      <c r="I731" s="236" t="s">
        <v>470</v>
      </c>
      <c r="J731" s="236" t="s">
        <v>471</v>
      </c>
      <c r="K731" s="236" t="s">
        <v>472</v>
      </c>
      <c r="L731" s="236" t="s">
        <v>473</v>
      </c>
      <c r="M731" s="298"/>
      <c r="N731" s="300"/>
      <c r="P731" s="230">
        <f t="shared" si="310"/>
        <v>0</v>
      </c>
    </row>
    <row r="732" spans="1:18" x14ac:dyDescent="0.2">
      <c r="A732" s="224" t="str">
        <f>CONCATENATE("Лот"," ",A733)</f>
        <v>Лот 14</v>
      </c>
      <c r="B732" s="273" t="s">
        <v>2087</v>
      </c>
      <c r="C732" s="274"/>
      <c r="D732" s="274"/>
      <c r="E732" s="274"/>
      <c r="F732" s="274"/>
      <c r="G732" s="275"/>
      <c r="H732" s="238" t="s">
        <v>17</v>
      </c>
      <c r="I732" s="270">
        <f ca="1">ROUND(VLOOKUP($H732,$AJ$4:$AN$13,2,0)*$Q734*1.51,2)</f>
        <v>120.15</v>
      </c>
      <c r="J732" s="270">
        <f ca="1">ROUND(VLOOKUP($H732,$AJ$4:$AN$13,3,0)*$Q734*1.51,2)</f>
        <v>85.62</v>
      </c>
      <c r="K732" s="270">
        <f ca="1">ROUND(VLOOKUP($H732,$AJ$4:$AN$13,4,0)*$Q734*1.51,2)</f>
        <v>43.38</v>
      </c>
      <c r="L732" s="270"/>
      <c r="M732" s="270">
        <f ca="1">ROUND(VLOOKUP($H732,$AJ$4:$AN$13,5,0)*$Q734*1.51,2)</f>
        <v>6.85</v>
      </c>
      <c r="N732" s="270"/>
      <c r="P732" s="230">
        <f t="shared" si="310"/>
        <v>1</v>
      </c>
    </row>
    <row r="733" spans="1:18" x14ac:dyDescent="0.2">
      <c r="A733" s="224">
        <f>A678+1</f>
        <v>14</v>
      </c>
      <c r="B733" s="276"/>
      <c r="C733" s="277"/>
      <c r="D733" s="277"/>
      <c r="E733" s="277"/>
      <c r="F733" s="277"/>
      <c r="G733" s="278"/>
      <c r="H733" s="238" t="s">
        <v>25</v>
      </c>
      <c r="I733" s="270">
        <f ca="1">ROUND(VLOOKUP($H733,$AJ$4:$AN$13,2,0)*$Q734*1.51,2)</f>
        <v>898.69</v>
      </c>
      <c r="J733" s="270">
        <f ca="1">ROUND(VLOOKUP($H733,$AJ$4:$AN$13,3,0)*$Q734*1.51,2)</f>
        <v>642.13</v>
      </c>
      <c r="K733" s="270">
        <f ca="1">ROUND(VLOOKUP($H733,$AJ$4:$AN$13,4,0)*$Q734*1.51,2)</f>
        <v>323.06</v>
      </c>
      <c r="L733" s="270"/>
      <c r="M733" s="270">
        <f ca="1">ROUND(VLOOKUP($H733,$AJ$4:$AN$13,5,0)*$Q734*1.51,2)</f>
        <v>27.97</v>
      </c>
      <c r="N733" s="270"/>
      <c r="P733" s="230">
        <f t="shared" si="310"/>
        <v>1</v>
      </c>
      <c r="Q733" s="240" t="s">
        <v>2045</v>
      </c>
      <c r="R733" s="240" t="s">
        <v>2046</v>
      </c>
    </row>
    <row r="734" spans="1:18" x14ac:dyDescent="0.2">
      <c r="B734" s="276"/>
      <c r="C734" s="277"/>
      <c r="D734" s="277"/>
      <c r="E734" s="277"/>
      <c r="F734" s="277"/>
      <c r="G734" s="278"/>
      <c r="H734" s="238" t="s">
        <v>19</v>
      </c>
      <c r="I734" s="270">
        <f ca="1">ROUND(VLOOKUP($H734,$AJ$4:$AN$13,2,0)*$Q734*1.51,2)</f>
        <v>71.349999999999994</v>
      </c>
      <c r="J734" s="270">
        <f ca="1">ROUND(VLOOKUP($H734,$AJ$4:$AN$13,3,0)*$Q734*1.51,2)</f>
        <v>51.94</v>
      </c>
      <c r="K734" s="270">
        <f ca="1">ROUND(VLOOKUP($H734,$AJ$4:$AN$13,4,0)*$Q734*1.51,2)</f>
        <v>26.54</v>
      </c>
      <c r="L734" s="270"/>
      <c r="M734" s="270">
        <f ca="1">ROUND(VLOOKUP($H734,$AJ$4:$AN$13,5,0)*$Q734*1.51,2)</f>
        <v>1.43</v>
      </c>
      <c r="N734" s="270"/>
      <c r="P734" s="230">
        <f t="shared" si="310"/>
        <v>0</v>
      </c>
      <c r="Q734" s="123">
        <f ca="1">IFERROR(IF(R734="","",IF(OR(R734&lt;100,R734=100),0.9,IF(OR(AND(R734&gt;100,R734&lt;150),R734=150),1,IF(R734&gt;150,1.05,"")))),"0")</f>
        <v>1.05</v>
      </c>
      <c r="R734" s="123">
        <f ca="1">N750/G738</f>
        <v>213.61299999999997</v>
      </c>
    </row>
    <row r="735" spans="1:18" x14ac:dyDescent="0.2">
      <c r="B735" s="276"/>
      <c r="C735" s="277"/>
      <c r="D735" s="277"/>
      <c r="E735" s="277"/>
      <c r="F735" s="277"/>
      <c r="G735" s="278"/>
      <c r="H735" s="238" t="s">
        <v>268</v>
      </c>
      <c r="I735" s="270">
        <f ca="1">ROUND(VLOOKUP($H735,$AJ$4:$AN$13,2,0)*$Q734*1.51,2)</f>
        <v>898.69</v>
      </c>
      <c r="J735" s="270">
        <f ca="1">ROUND(VLOOKUP($H735,$AJ$4:$AN$13,3,0)*$Q734*1.51,2)</f>
        <v>642.13</v>
      </c>
      <c r="K735" s="270">
        <f ca="1">ROUND(VLOOKUP($H735,$AJ$4:$AN$13,4,0)*$Q734*1.51,2)</f>
        <v>323.06</v>
      </c>
      <c r="L735" s="270"/>
      <c r="M735" s="270">
        <f ca="1">ROUND(VLOOKUP($H735,$AJ$4:$AN$13,5,0)*$Q734*1.51,2)</f>
        <v>27.97</v>
      </c>
      <c r="N735" s="270"/>
    </row>
    <row r="736" spans="1:18" x14ac:dyDescent="0.2">
      <c r="B736" s="276"/>
      <c r="C736" s="277"/>
      <c r="D736" s="277"/>
      <c r="E736" s="277"/>
      <c r="F736" s="277"/>
      <c r="G736" s="278"/>
      <c r="H736" s="238" t="s">
        <v>40</v>
      </c>
      <c r="I736" s="270">
        <f ca="1">ROUND(VLOOKUP($H736,$AJ$4:$AN$13,2,0)*$Q734*1.51,2)</f>
        <v>71.349999999999994</v>
      </c>
      <c r="J736" s="270">
        <f ca="1">ROUND(VLOOKUP($H736,$AJ$4:$AN$13,3,0)*$Q734*1.51,2)</f>
        <v>51.94</v>
      </c>
      <c r="K736" s="270">
        <f ca="1">ROUND(VLOOKUP($H736,$AJ$4:$AN$13,4,0)*$Q734*1.51,2)</f>
        <v>26.54</v>
      </c>
      <c r="L736" s="270"/>
      <c r="M736" s="270">
        <f ca="1">ROUND(VLOOKUP($H736,$AJ$4:$AN$13,5,0)*$Q734*1.51,2)</f>
        <v>1.43</v>
      </c>
      <c r="N736" s="270"/>
      <c r="P736" s="230">
        <f t="shared" ref="P736:P749" si="311">IF(A736&gt;0,1,0)</f>
        <v>0</v>
      </c>
    </row>
    <row r="737" spans="1:43" x14ac:dyDescent="0.2">
      <c r="B737" s="279"/>
      <c r="C737" s="280"/>
      <c r="D737" s="280"/>
      <c r="E737" s="280"/>
      <c r="F737" s="280"/>
      <c r="G737" s="281"/>
      <c r="H737" s="238" t="s">
        <v>18</v>
      </c>
      <c r="I737" s="270">
        <f ca="1">ROUND(VLOOKUP($H737,$AJ$4:$AN$13,2,0)*$Q734*1.51,2)</f>
        <v>22.83</v>
      </c>
      <c r="J737" s="270">
        <f ca="1">ROUND(VLOOKUP($H737,$AJ$4:$AN$13,3,0)*$Q734*1.51,2)</f>
        <v>17.41</v>
      </c>
      <c r="K737" s="270">
        <f ca="1">ROUND(VLOOKUP($H737,$AJ$4:$AN$13,4,0)*$Q734*1.51,2)</f>
        <v>8.85</v>
      </c>
      <c r="L737" s="270"/>
      <c r="M737" s="270">
        <f ca="1">ROUND(VLOOKUP($H737,$AJ$4:$AN$13,5,0)*$Q734*1.51*1,2)</f>
        <v>0.56999999999999995</v>
      </c>
      <c r="N737" s="270"/>
      <c r="P737" s="230">
        <f t="shared" si="311"/>
        <v>0</v>
      </c>
      <c r="AP737" s="241" t="s">
        <v>2053</v>
      </c>
      <c r="AQ737" s="242"/>
    </row>
    <row r="738" spans="1:43" x14ac:dyDescent="0.2">
      <c r="A738" s="224">
        <f>A683+37</f>
        <v>481</v>
      </c>
      <c r="B738" s="243" t="str">
        <f ca="1">OFFSET(ЛОТЫ!$L$5,A738,0,1,1)</f>
        <v>Восходское</v>
      </c>
      <c r="C738" s="244" t="s">
        <v>474</v>
      </c>
      <c r="D738" s="243">
        <f ca="1">OFFSET(ЛОТЫ!$M$5,A738,0,1,1)</f>
        <v>36</v>
      </c>
      <c r="E738" s="243">
        <f ca="1">OFFSET(ЛОТЫ!$N$5,A738,0,1,1)</f>
        <v>10</v>
      </c>
      <c r="F738" s="243">
        <f ca="1">OFFSET(ЛОТЫ!$O$5,A738,0,1,1)</f>
        <v>2</v>
      </c>
      <c r="G738" s="271">
        <f ca="1">IFERROR(INDEX('Ведомость расчета мин. платы'!$G$10:$AC$214,MATCH(CONCATENATE(B738,"/",D738,"/",E738,"/",F738),'Ведомость расчета мин. платы'!$AC$10:$AC$214,0),1),"")</f>
        <v>10</v>
      </c>
      <c r="H738" s="246" t="s">
        <v>17</v>
      </c>
      <c r="I738" s="247">
        <f ca="1">IFERROR(INDEX('Ведомость расчета мин. платы'!$J$10:$AE$214,MATCH(CONCATENATE(РАСЧЕТ!B738,"/",РАСЧЕТ!D738,"/",РАСЧЕТ!E738,"/",F738,"/",H738),'Ведомость расчета мин. платы'!$AE$10:$AE$214,0),2),"")</f>
        <v>16.88</v>
      </c>
      <c r="J738" s="247">
        <f ca="1">IFERROR(INDEX('Ведомость расчета мин. платы'!$J$10:$AE$214,MATCH(CONCATENATE(РАСЧЕТ!B738,"/",РАСЧЕТ!D738,"/",РАСЧЕТ!E738,"/",F738,"/",H738),'Ведомость расчета мин. платы'!$AE$10:$AE$214,0),3),"")</f>
        <v>80.25</v>
      </c>
      <c r="K738" s="247">
        <f ca="1">IFERROR(INDEX('Ведомость расчета мин. платы'!$J$10:$AE$214,MATCH(CONCATENATE(РАСЧЕТ!B738,"/",РАСЧЕТ!D738,"/",РАСЧЕТ!E738,"/",F738,"/",H738),'Ведомость расчета мин. платы'!$AE$10:$AE$214,0),4),"")</f>
        <v>16.13</v>
      </c>
      <c r="L738" s="248">
        <f t="shared" ref="L738:L750" ca="1" si="312">IFERROR(SUM(I738:K738),"")</f>
        <v>113.25999999999999</v>
      </c>
      <c r="M738" s="214">
        <f ca="1">IFERROR(INDEX('Ведомость расчета мин. платы'!$J$10:$AE$214,MATCH(CONCATENATE(РАСЧЕТ!B738,"/",РАСЧЕТ!D738,"/",РАСЧЕТ!E738,"/",F738,"/",H738),'Ведомость расчета мин. платы'!$AE$10:$AE$214,0),6),"")</f>
        <v>81.760000000000005</v>
      </c>
      <c r="N738" s="214">
        <f t="shared" ref="N738:N750" ca="1" si="313">IFERROR(SUM(L738:M738),"")</f>
        <v>195.01999999999998</v>
      </c>
      <c r="O738" s="229">
        <f>IF(H738="стоимость","",1)</f>
        <v>1</v>
      </c>
      <c r="P738" s="230">
        <f t="shared" si="311"/>
        <v>1</v>
      </c>
      <c r="AP738" s="242"/>
      <c r="AQ738" s="242"/>
    </row>
    <row r="739" spans="1:43" x14ac:dyDescent="0.2">
      <c r="B739" s="249"/>
      <c r="C739" s="249"/>
      <c r="D739" s="249"/>
      <c r="E739" s="249"/>
      <c r="F739" s="249"/>
      <c r="G739" s="249"/>
      <c r="H739" s="250" t="s">
        <v>475</v>
      </c>
      <c r="I739" s="251">
        <f ca="1">IFERROR(ROUND(I738*I732,2),"")</f>
        <v>2028.13</v>
      </c>
      <c r="J739" s="251">
        <f t="shared" ref="J739" ca="1" si="314">IFERROR(ROUND(J738*J732,2),"")</f>
        <v>6871.01</v>
      </c>
      <c r="K739" s="251">
        <f t="shared" ref="K739" ca="1" si="315">IFERROR(ROUND(K738*K732,2),"")</f>
        <v>699.72</v>
      </c>
      <c r="L739" s="251">
        <f t="shared" ca="1" si="312"/>
        <v>9598.8599999999988</v>
      </c>
      <c r="M739" s="251">
        <v>560.05000000000155</v>
      </c>
      <c r="N739" s="252">
        <f t="shared" ca="1" si="313"/>
        <v>10158.91</v>
      </c>
      <c r="O739" s="229" t="str">
        <f t="shared" ref="O739:O749" si="316">IF(H739="стоимость","",1)</f>
        <v/>
      </c>
      <c r="P739" s="230">
        <f t="shared" si="311"/>
        <v>0</v>
      </c>
      <c r="AP739" s="242">
        <f ca="1">SUMIFS('Ведомость расчета мин. платы'!$S$10:$S$209,'Ведомость расчета мин. платы'!$AE$10:$AE$209,CONCATENATE(B738,"/",D738,"/",E738,"/",F738,"/",H738))</f>
        <v>10158.91</v>
      </c>
      <c r="AQ739" s="253">
        <f t="shared" ref="AQ739" ca="1" si="317">AP739-N739</f>
        <v>0</v>
      </c>
    </row>
    <row r="740" spans="1:43" x14ac:dyDescent="0.2">
      <c r="B740" s="249"/>
      <c r="C740" s="249"/>
      <c r="D740" s="249"/>
      <c r="E740" s="249"/>
      <c r="F740" s="249"/>
      <c r="G740" s="249"/>
      <c r="H740" s="246" t="s">
        <v>25</v>
      </c>
      <c r="I740" s="247" t="str">
        <f ca="1">IFERROR(INDEX('Ведомость расчета мин. платы'!$J$10:$AE$214,MATCH(CONCATENATE(РАСЧЕТ!B738,"/",РАСЧЕТ!D738,"/",РАСЧЕТ!E738,"/",F738,"/",H740),'Ведомость расчета мин. платы'!$AE$10:$AE$214,0),2),"")</f>
        <v/>
      </c>
      <c r="J740" s="247" t="str">
        <f ca="1">IFERROR(INDEX('Ведомость расчета мин. платы'!$J$10:$AE$214,MATCH(CONCATENATE(РАСЧЕТ!B738,"/",РАСЧЕТ!D738,"/",РАСЧЕТ!E738,"/",F738,"/",H740),'Ведомость расчета мин. платы'!$AE$10:$AE$214,0),3),"")</f>
        <v/>
      </c>
      <c r="K740" s="247" t="str">
        <f ca="1">IFERROR(INDEX('Ведомость расчета мин. платы'!$J$10:$AE$214,MATCH(CONCATENATE(РАСЧЕТ!B738,"/",РАСЧЕТ!D738,"/",РАСЧЕТ!E738,"/",F738,"/",H740),'Ведомость расчета мин. платы'!$AE$10:$AE$214,0),4),"")</f>
        <v/>
      </c>
      <c r="L740" s="248">
        <f t="shared" ca="1" si="312"/>
        <v>0</v>
      </c>
      <c r="M740" s="214" t="str">
        <f ca="1">IFERROR(INDEX('Ведомость расчета мин. платы'!$J$10:$AE$214,MATCH(CONCATENATE(РАСЧЕТ!B738,"/",РАСЧЕТ!D738,"/",РАСЧЕТ!E738,"/",F738,"/",H740),'Ведомость расчета мин. платы'!$AE$10:$AE$214,0),6),"")</f>
        <v/>
      </c>
      <c r="N740" s="214">
        <f t="shared" ca="1" si="313"/>
        <v>0</v>
      </c>
      <c r="O740" s="229">
        <f t="shared" si="316"/>
        <v>1</v>
      </c>
      <c r="P740" s="230">
        <f t="shared" si="311"/>
        <v>0</v>
      </c>
      <c r="AP740" s="242"/>
      <c r="AQ740" s="253"/>
    </row>
    <row r="741" spans="1:43" x14ac:dyDescent="0.2">
      <c r="B741" s="249"/>
      <c r="C741" s="249"/>
      <c r="D741" s="249"/>
      <c r="E741" s="249"/>
      <c r="F741" s="249"/>
      <c r="G741" s="249"/>
      <c r="H741" s="250" t="s">
        <v>475</v>
      </c>
      <c r="I741" s="251" t="str">
        <f ca="1">IFERROR(ROUND(I740*I733,2),"")</f>
        <v/>
      </c>
      <c r="J741" s="251" t="str">
        <f t="shared" ref="J741" ca="1" si="318">IFERROR(ROUND(J740*J733,2),"")</f>
        <v/>
      </c>
      <c r="K741" s="251" t="str">
        <f t="shared" ref="K741" ca="1" si="319">IFERROR(ROUND(K740*K733,2),"")</f>
        <v/>
      </c>
      <c r="L741" s="251">
        <f t="shared" ca="1" si="312"/>
        <v>0</v>
      </c>
      <c r="M741" s="251" t="str">
        <f t="shared" ref="M741" ca="1" si="320">IFERROR(ROUND(M740*M733,2),"")</f>
        <v/>
      </c>
      <c r="N741" s="252">
        <f t="shared" ca="1" si="313"/>
        <v>0</v>
      </c>
      <c r="O741" s="229" t="str">
        <f t="shared" si="316"/>
        <v/>
      </c>
      <c r="P741" s="230">
        <f t="shared" si="311"/>
        <v>0</v>
      </c>
      <c r="AP741" s="242">
        <f ca="1">SUMIFS('Ведомость расчета мин. платы'!$S$10:$S$209,'Ведомость расчета мин. платы'!$AE$10:$AE$209,CONCATENATE(B738,"/",D738,"/",E738,"/",F738,"/",H740))</f>
        <v>0</v>
      </c>
      <c r="AQ741" s="253">
        <f t="shared" ref="AQ741" ca="1" si="321">AP741-N741</f>
        <v>0</v>
      </c>
    </row>
    <row r="742" spans="1:43" x14ac:dyDescent="0.2">
      <c r="B742" s="249"/>
      <c r="C742" s="249"/>
      <c r="D742" s="249"/>
      <c r="E742" s="249"/>
      <c r="F742" s="249"/>
      <c r="G742" s="249"/>
      <c r="H742" s="205" t="s">
        <v>19</v>
      </c>
      <c r="I742" s="248">
        <f ca="1">IFERROR(INDEX('Ведомость расчета мин. платы'!$J$10:$AE$214,MATCH(CONCATENATE(РАСЧЕТ!B738,"/",РАСЧЕТ!D738,"/",РАСЧЕТ!E738,"/",F738,"/",H742),'Ведомость расчета мин. платы'!$AE$10:$AE$214,0),2),"")</f>
        <v>0</v>
      </c>
      <c r="J742" s="248">
        <f ca="1">IFERROR(INDEX('Ведомость расчета мин. платы'!$J$10:$AE$214,MATCH(CONCATENATE(РАСЧЕТ!B738,"/",РАСЧЕТ!D738,"/",РАСЧЕТ!E738,"/",F738,"/",H742),'Ведомость расчета мин. платы'!$AE$10:$AE$214,0),3),"")</f>
        <v>4.97</v>
      </c>
      <c r="K742" s="248">
        <f ca="1">IFERROR(INDEX('Ведомость расчета мин. платы'!$J$10:$AE$214,MATCH(CONCATENATE(РАСЧЕТ!B738,"/",РАСЧЕТ!D738,"/",РАСЧЕТ!E738,"/",F738,"/",H742),'Ведомость расчета мин. платы'!$AE$10:$AE$214,0),4),"")</f>
        <v>12.49</v>
      </c>
      <c r="L742" s="248">
        <f t="shared" ca="1" si="312"/>
        <v>17.46</v>
      </c>
      <c r="M742" s="248">
        <f ca="1">IFERROR(INDEX('Ведомость расчета мин. платы'!$J$10:$AE$214,MATCH(CONCATENATE(РАСЧЕТ!B738,"/",РАСЧЕТ!D738,"/",РАСЧЕТ!E738,"/",F738,"/",H742),'Ведомость расчета мин. платы'!$AE$10:$AE$214,0),6),"")</f>
        <v>34.89</v>
      </c>
      <c r="N742" s="214">
        <f t="shared" ca="1" si="313"/>
        <v>52.35</v>
      </c>
      <c r="O742" s="229">
        <f t="shared" si="316"/>
        <v>1</v>
      </c>
      <c r="P742" s="230">
        <f t="shared" si="311"/>
        <v>0</v>
      </c>
      <c r="AP742" s="242"/>
      <c r="AQ742" s="253"/>
    </row>
    <row r="743" spans="1:43" x14ac:dyDescent="0.2">
      <c r="B743" s="249"/>
      <c r="C743" s="249"/>
      <c r="D743" s="249"/>
      <c r="E743" s="249"/>
      <c r="F743" s="249"/>
      <c r="G743" s="249"/>
      <c r="H743" s="250" t="s">
        <v>475</v>
      </c>
      <c r="I743" s="251">
        <f ca="1">IFERROR(ROUND(I742*I734,2),"")</f>
        <v>0</v>
      </c>
      <c r="J743" s="251">
        <f t="shared" ref="J743" ca="1" si="322">IFERROR(ROUND(J742*J734,2),"")</f>
        <v>258.14</v>
      </c>
      <c r="K743" s="251">
        <f t="shared" ref="K743" ca="1" si="323">IFERROR(ROUND(K742*K734,2),"")</f>
        <v>331.48</v>
      </c>
      <c r="L743" s="251">
        <f t="shared" ca="1" si="312"/>
        <v>589.62</v>
      </c>
      <c r="M743" s="251">
        <v>49.899999999999991</v>
      </c>
      <c r="N743" s="252">
        <f t="shared" ca="1" si="313"/>
        <v>639.52</v>
      </c>
      <c r="O743" s="229" t="str">
        <f t="shared" si="316"/>
        <v/>
      </c>
      <c r="P743" s="230">
        <f t="shared" si="311"/>
        <v>0</v>
      </c>
      <c r="AP743" s="242">
        <f ca="1">SUMIFS('Ведомость расчета мин. платы'!$S$10:$S$209,'Ведомость расчета мин. платы'!$AE$10:$AE$209,CONCATENATE(B738,"/",D738,"/",E738,"/",F738,"/",H742))</f>
        <v>639.52</v>
      </c>
      <c r="AQ743" s="253">
        <f t="shared" ref="AQ743" ca="1" si="324">AP743-N743</f>
        <v>0</v>
      </c>
    </row>
    <row r="744" spans="1:43" x14ac:dyDescent="0.2">
      <c r="B744" s="249"/>
      <c r="C744" s="249"/>
      <c r="D744" s="249"/>
      <c r="E744" s="249"/>
      <c r="F744" s="249"/>
      <c r="G744" s="249"/>
      <c r="H744" s="205" t="s">
        <v>268</v>
      </c>
      <c r="I744" s="248" t="str">
        <f ca="1">IFERROR(INDEX('Ведомость расчета мин. платы'!$J$10:$AE$214,MATCH(CONCATENATE(РАСЧЕТ!B738,"/",РАСЧЕТ!D738,"/",РАСЧЕТ!E738,"/",F738,"/",H744),'Ведомость расчета мин. платы'!$AE$10:$AE$214,0),2),"")</f>
        <v/>
      </c>
      <c r="J744" s="248" t="str">
        <f ca="1">IFERROR(INDEX('Ведомость расчета мин. платы'!$J$10:$AE$214,MATCH(CONCATENATE(РАСЧЕТ!B738,"/",РАСЧЕТ!D738,"/",РАСЧЕТ!E738,"/",F738,"/",H744),'Ведомость расчета мин. платы'!$AE$10:$AE$214,0),3),"")</f>
        <v/>
      </c>
      <c r="K744" s="248" t="str">
        <f ca="1">IFERROR(INDEX('Ведомость расчета мин. платы'!$J$10:$AE$214,MATCH(CONCATENATE(РАСЧЕТ!B738,"/",РАСЧЕТ!D738,"/",РАСЧЕТ!E738,"/",F738,"/",H744),'Ведомость расчета мин. платы'!$AE$10:$AE$214,0),4),"")</f>
        <v/>
      </c>
      <c r="L744" s="248">
        <f t="shared" ca="1" si="312"/>
        <v>0</v>
      </c>
      <c r="M744" s="248" t="str">
        <f ca="1">IFERROR(INDEX('Ведомость расчета мин. платы'!$J$10:$AE$214,MATCH(CONCATENATE(РАСЧЕТ!B738,"/",РАСЧЕТ!D738,"/",РАСЧЕТ!E738,"/",F738,"/",H744),'Ведомость расчета мин. платы'!$AE$10:$AE$214,0),6),"")</f>
        <v/>
      </c>
      <c r="N744" s="214">
        <f t="shared" ca="1" si="313"/>
        <v>0</v>
      </c>
      <c r="O744" s="229">
        <f t="shared" si="316"/>
        <v>1</v>
      </c>
      <c r="P744" s="230">
        <f t="shared" si="311"/>
        <v>0</v>
      </c>
      <c r="AP744" s="242"/>
      <c r="AQ744" s="253"/>
    </row>
    <row r="745" spans="1:43" x14ac:dyDescent="0.2">
      <c r="B745" s="249"/>
      <c r="C745" s="249"/>
      <c r="D745" s="249"/>
      <c r="E745" s="249"/>
      <c r="F745" s="249"/>
      <c r="G745" s="249"/>
      <c r="H745" s="250" t="s">
        <v>475</v>
      </c>
      <c r="I745" s="251" t="str">
        <f ca="1">IFERROR(ROUND(I744*I737,2),"")</f>
        <v/>
      </c>
      <c r="J745" s="251" t="str">
        <f ca="1">IFERROR(ROUND(J744*J735,2),"")</f>
        <v/>
      </c>
      <c r="K745" s="251" t="str">
        <f ca="1">IFERROR(ROUND(K744*K735,2),"")</f>
        <v/>
      </c>
      <c r="L745" s="251">
        <f t="shared" ca="1" si="312"/>
        <v>0</v>
      </c>
      <c r="M745" s="251" t="str">
        <f ca="1">IFERROR(ROUND(M744*M735,2),"")</f>
        <v/>
      </c>
      <c r="N745" s="252">
        <f t="shared" ca="1" si="313"/>
        <v>0</v>
      </c>
      <c r="O745" s="229" t="str">
        <f t="shared" si="316"/>
        <v/>
      </c>
      <c r="P745" s="230">
        <f t="shared" si="311"/>
        <v>0</v>
      </c>
      <c r="AP745" s="242">
        <f ca="1">SUMIFS('Ведомость расчета мин. платы'!$S$10:$S$209,'Ведомость расчета мин. платы'!$AE$10:$AE$209,CONCATENATE(B738,"/",D738,"/",E738,"/",F738,"/",H744))</f>
        <v>0</v>
      </c>
      <c r="AQ745" s="253">
        <f t="shared" ref="AQ745" ca="1" si="325">AP745-N745</f>
        <v>0</v>
      </c>
    </row>
    <row r="746" spans="1:43" x14ac:dyDescent="0.2">
      <c r="B746" s="249"/>
      <c r="C746" s="249"/>
      <c r="D746" s="249"/>
      <c r="E746" s="249"/>
      <c r="F746" s="249"/>
      <c r="G746" s="249"/>
      <c r="H746" s="205" t="s">
        <v>40</v>
      </c>
      <c r="I746" s="248" t="str">
        <f ca="1">IFERROR(INDEX('Ведомость расчета мин. платы'!$J$10:$AE$214,MATCH(CONCATENATE(РАСЧЕТ!B738,"/",РАСЧЕТ!D738,"/",РАСЧЕТ!E738,"/",F738,"/",H746),'Ведомость расчета мин. платы'!$AE$10:$AE$214,0),2),"")</f>
        <v/>
      </c>
      <c r="J746" s="248" t="str">
        <f ca="1">IFERROR(INDEX('Ведомость расчета мин. платы'!$J$10:$AE$214,MATCH(CONCATENATE(РАСЧЕТ!B738,"/",РАСЧЕТ!D738,"/",РАСЧЕТ!E738,"/",F738,"/",H746),'Ведомость расчета мин. платы'!$AE$10:$AE$214,0),3),"")</f>
        <v/>
      </c>
      <c r="K746" s="248" t="str">
        <f ca="1">IFERROR(INDEX('Ведомость расчета мин. платы'!$J$10:$AE$214,MATCH(CONCATENATE(РАСЧЕТ!B738,"/",РАСЧЕТ!D738,"/",РАСЧЕТ!E738,"/",F738,"/",H746),'Ведомость расчета мин. платы'!$AE$10:$AE$214,0),4),"")</f>
        <v/>
      </c>
      <c r="L746" s="248">
        <f t="shared" ca="1" si="312"/>
        <v>0</v>
      </c>
      <c r="M746" s="248" t="str">
        <f ca="1">IFERROR(INDEX('Ведомость расчета мин. платы'!$J$10:$AE$214,MATCH(CONCATENATE(РАСЧЕТ!B738,"/",РАСЧЕТ!D738,"/",РАСЧЕТ!E738,"/",F738,"/",H746),'Ведомость расчета мин. платы'!$AE$10:$AE$214,0),6),"")</f>
        <v/>
      </c>
      <c r="N746" s="214">
        <f t="shared" ca="1" si="313"/>
        <v>0</v>
      </c>
      <c r="O746" s="229">
        <f t="shared" si="316"/>
        <v>1</v>
      </c>
      <c r="P746" s="230">
        <f t="shared" si="311"/>
        <v>0</v>
      </c>
      <c r="AP746" s="242"/>
      <c r="AQ746" s="253"/>
    </row>
    <row r="747" spans="1:43" x14ac:dyDescent="0.2">
      <c r="B747" s="249"/>
      <c r="C747" s="249"/>
      <c r="D747" s="249"/>
      <c r="E747" s="249"/>
      <c r="F747" s="249"/>
      <c r="G747" s="249"/>
      <c r="H747" s="250" t="s">
        <v>475</v>
      </c>
      <c r="I747" s="251" t="str">
        <f ca="1">IFERROR(ROUND(I746*I736,2),"")</f>
        <v/>
      </c>
      <c r="J747" s="251" t="str">
        <f t="shared" ref="J747" ca="1" si="326">IFERROR(ROUND(J746*J736,2),"")</f>
        <v/>
      </c>
      <c r="K747" s="251" t="str">
        <f t="shared" ref="K747" ca="1" si="327">IFERROR(ROUND(K746*K736,2),"")</f>
        <v/>
      </c>
      <c r="L747" s="251">
        <f t="shared" ca="1" si="312"/>
        <v>0</v>
      </c>
      <c r="M747" s="251" t="str">
        <f t="shared" ref="M747" ca="1" si="328">IFERROR(ROUND(M746*M736,2),"")</f>
        <v/>
      </c>
      <c r="N747" s="252">
        <f t="shared" ca="1" si="313"/>
        <v>0</v>
      </c>
      <c r="O747" s="229" t="str">
        <f t="shared" si="316"/>
        <v/>
      </c>
      <c r="P747" s="230">
        <f t="shared" si="311"/>
        <v>0</v>
      </c>
      <c r="AP747" s="242">
        <f ca="1">SUMIFS('Ведомость расчета мин. платы'!$S$10:$S$209,'Ведомость расчета мин. платы'!$AE$10:$AE$209,CONCATENATE(B738,"/",D738,"/",E738,"/",F738,"/",H746))</f>
        <v>0</v>
      </c>
      <c r="AQ747" s="253">
        <f t="shared" ref="AQ747" ca="1" si="329">AP747-N747</f>
        <v>0</v>
      </c>
    </row>
    <row r="748" spans="1:43" x14ac:dyDescent="0.2">
      <c r="B748" s="249"/>
      <c r="C748" s="249"/>
      <c r="D748" s="249"/>
      <c r="E748" s="249"/>
      <c r="F748" s="249"/>
      <c r="G748" s="249"/>
      <c r="H748" s="205" t="s">
        <v>18</v>
      </c>
      <c r="I748" s="248">
        <f ca="1">IFERROR(INDEX('Ведомость расчета мин. платы'!$J$10:$AE$214,MATCH(CONCATENATE(РАСЧЕТ!B738,"/",РАСЧЕТ!D738,"/",РАСЧЕТ!E738,"/",F738,"/",H748),'Ведомость расчета мин. платы'!$AE$10:$AE$214,0),2),"")</f>
        <v>737.25</v>
      </c>
      <c r="J748" s="248">
        <f ca="1">IFERROR(INDEX('Ведомость расчета мин. платы'!$J$10:$AE$214,MATCH(CONCATENATE(РАСЧЕТ!B738,"/",РАСЧЕТ!D738,"/",РАСЧЕТ!E738,"/",F738,"/",H748),'Ведомость расчета мин. платы'!$AE$10:$AE$214,0),3),"")</f>
        <v>384.75</v>
      </c>
      <c r="K748" s="248">
        <f ca="1">IFERROR(INDEX('Ведомость расчета мин. платы'!$J$10:$AE$214,MATCH(CONCATENATE(РАСЧЕТ!B738,"/",РАСЧЕТ!D738,"/",РАСЧЕТ!E738,"/",F738,"/",H748),'Ведомость расчета мин. платы'!$AE$10:$AE$214,0),4),"")</f>
        <v>11.25</v>
      </c>
      <c r="L748" s="248">
        <f t="shared" ca="1" si="312"/>
        <v>1133.25</v>
      </c>
      <c r="M748" s="248">
        <f ca="1">IFERROR(INDEX('Ведомость расчета мин. платы'!$J$10:$AE$214,MATCH(CONCATENATE(РАСЧЕТ!B738,"/",РАСЧЕТ!D738,"/",РАСЧЕТ!E738,"/",F738,"/",H748),'Ведомость расчета мин. платы'!$AE$10:$AE$214,0),6),"")</f>
        <v>755.51</v>
      </c>
      <c r="N748" s="214">
        <f t="shared" ca="1" si="313"/>
        <v>1888.76</v>
      </c>
      <c r="O748" s="229">
        <f t="shared" si="316"/>
        <v>1</v>
      </c>
      <c r="P748" s="230">
        <f t="shared" si="311"/>
        <v>0</v>
      </c>
      <c r="AP748" s="242"/>
      <c r="AQ748" s="253"/>
    </row>
    <row r="749" spans="1:43" x14ac:dyDescent="0.2">
      <c r="B749" s="249"/>
      <c r="C749" s="249"/>
      <c r="D749" s="249"/>
      <c r="E749" s="249"/>
      <c r="F749" s="249"/>
      <c r="G749" s="249"/>
      <c r="H749" s="250" t="s">
        <v>475</v>
      </c>
      <c r="I749" s="251">
        <f ca="1">IFERROR(ROUND(I748*I737,2),"")</f>
        <v>16831.419999999998</v>
      </c>
      <c r="J749" s="251">
        <f t="shared" ref="J749" ca="1" si="330">IFERROR(ROUND(J748*J737,2),"")</f>
        <v>6698.5</v>
      </c>
      <c r="K749" s="251">
        <f t="shared" ref="K749" ca="1" si="331">IFERROR(ROUND(K748*K737,2),"")</f>
        <v>99.56</v>
      </c>
      <c r="L749" s="251">
        <f t="shared" ca="1" si="312"/>
        <v>23629.48</v>
      </c>
      <c r="M749" s="251">
        <f t="shared" ref="M749" ca="1" si="332">IFERROR(ROUND(M748*M737,2),"")</f>
        <v>430.64</v>
      </c>
      <c r="N749" s="252">
        <f t="shared" ca="1" si="313"/>
        <v>24060.12</v>
      </c>
      <c r="O749" s="229" t="str">
        <f t="shared" si="316"/>
        <v/>
      </c>
      <c r="P749" s="230">
        <f t="shared" si="311"/>
        <v>0</v>
      </c>
      <c r="AP749" s="242">
        <f ca="1">SUMIFS('Ведомость расчета мин. платы'!$S$10:$S$209,'Ведомость расчета мин. платы'!$AE$10:$AE$209,CONCATENATE(B738,"/",D738,"/",E738,"/",F738,"/",H748))</f>
        <v>24060.12</v>
      </c>
      <c r="AQ749" s="253">
        <f t="shared" ref="AQ749" ca="1" si="333">AP749-N749</f>
        <v>0</v>
      </c>
    </row>
    <row r="750" spans="1:43" x14ac:dyDescent="0.2">
      <c r="B750" s="249"/>
      <c r="C750" s="249"/>
      <c r="D750" s="249"/>
      <c r="E750" s="249"/>
      <c r="F750" s="249"/>
      <c r="G750" s="249"/>
      <c r="H750" s="254" t="s">
        <v>476</v>
      </c>
      <c r="I750" s="251">
        <f ca="1">SUMIF($O738:$O751,1,I738:I749)</f>
        <v>754.13</v>
      </c>
      <c r="J750" s="251">
        <f ca="1">SUMIF($O738:$O751,1,J738:J749)</f>
        <v>469.97</v>
      </c>
      <c r="K750" s="251">
        <f ca="1">SUMIF($O738:$O751,1,K738:K749)</f>
        <v>39.869999999999997</v>
      </c>
      <c r="L750" s="251">
        <f t="shared" ca="1" si="312"/>
        <v>1263.9699999999998</v>
      </c>
      <c r="M750" s="251">
        <f ca="1">SUMIF($O738:$O751,1,M738:M749)</f>
        <v>872.16</v>
      </c>
      <c r="N750" s="252">
        <f t="shared" ca="1" si="313"/>
        <v>2136.1299999999997</v>
      </c>
      <c r="AP750" s="242"/>
      <c r="AQ750" s="253"/>
    </row>
    <row r="751" spans="1:43" x14ac:dyDescent="0.2">
      <c r="B751" s="249"/>
      <c r="C751" s="249"/>
      <c r="D751" s="249"/>
      <c r="E751" s="249"/>
      <c r="F751" s="249"/>
      <c r="G751" s="249"/>
      <c r="H751" s="254" t="s">
        <v>491</v>
      </c>
      <c r="I751" s="251">
        <f ca="1">SUMIF(H738:H749,"стоимость",I738:I749)</f>
        <v>18859.55</v>
      </c>
      <c r="J751" s="251">
        <f ca="1">SUMIF(H738:H749,"стоимость",J738:J749)</f>
        <v>13827.650000000001</v>
      </c>
      <c r="K751" s="251">
        <f ca="1">SUMIF(H738:H749,"стоимость",K738:K749)</f>
        <v>1130.76</v>
      </c>
      <c r="L751" s="251">
        <f ca="1">IFERROR(SUM(I751:K751),"")</f>
        <v>33817.96</v>
      </c>
      <c r="M751" s="251">
        <f ca="1">SUMIF(H738:H749,"стоимость",M738:M749)</f>
        <v>1040.5900000000015</v>
      </c>
      <c r="N751" s="252">
        <f ca="1">IFERROR(SUM(L751:M751),"")</f>
        <v>34858.550000000003</v>
      </c>
      <c r="AP751" s="242">
        <f ca="1">SUMIFS('Ведомость расчета мин. платы'!$S$10:$S$209,'Ведомость расчета мин. платы'!$J$10:$J$209,"Итого",'Ведомость расчета мин. платы'!$AC$10:$AC$209,CONCATENATE(B738,"/",D738,"/",E738,"/",F738))</f>
        <v>34858.550000000003</v>
      </c>
      <c r="AQ751" s="253">
        <f ca="1">AP751-N751</f>
        <v>0</v>
      </c>
    </row>
    <row r="752" spans="1:43" x14ac:dyDescent="0.2">
      <c r="B752" s="255"/>
      <c r="C752" s="255"/>
      <c r="D752" s="255"/>
      <c r="E752" s="255"/>
      <c r="F752" s="255"/>
      <c r="G752" s="256"/>
      <c r="H752" s="257"/>
      <c r="I752" s="258"/>
      <c r="J752" s="258"/>
      <c r="K752" s="258"/>
      <c r="L752" s="258"/>
      <c r="M752" s="258"/>
      <c r="N752" s="258"/>
      <c r="P752" s="230">
        <f t="shared" ref="P752:P770" si="334">IF(A752&gt;0,1,0)</f>
        <v>0</v>
      </c>
    </row>
    <row r="753" spans="2:16" x14ac:dyDescent="0.2">
      <c r="B753" s="282" t="s">
        <v>477</v>
      </c>
      <c r="C753" s="282"/>
      <c r="D753" s="282"/>
      <c r="E753" s="282"/>
      <c r="F753" s="259"/>
      <c r="G753" s="225"/>
      <c r="H753" s="201"/>
      <c r="I753" s="226"/>
      <c r="J753" s="258"/>
      <c r="K753" s="258"/>
      <c r="L753" s="258"/>
      <c r="M753" s="258"/>
      <c r="N753" s="258"/>
      <c r="P753" s="230">
        <f t="shared" si="334"/>
        <v>0</v>
      </c>
    </row>
    <row r="754" spans="2:16" x14ac:dyDescent="0.2">
      <c r="B754" s="283" t="s">
        <v>525</v>
      </c>
      <c r="C754" s="283"/>
      <c r="D754" s="283"/>
      <c r="E754" s="283"/>
      <c r="F754" s="283"/>
      <c r="G754" s="283"/>
      <c r="H754" s="283"/>
      <c r="I754" s="283"/>
      <c r="J754" s="261"/>
      <c r="K754" s="261"/>
      <c r="L754" s="261"/>
      <c r="M754" s="261"/>
      <c r="N754" s="261"/>
      <c r="P754" s="230">
        <f t="shared" si="334"/>
        <v>0</v>
      </c>
    </row>
    <row r="755" spans="2:16" x14ac:dyDescent="0.2">
      <c r="B755" s="284" t="s">
        <v>478</v>
      </c>
      <c r="C755" s="284"/>
      <c r="D755" s="284"/>
      <c r="E755" s="284"/>
      <c r="F755" s="284"/>
      <c r="G755" s="284"/>
      <c r="H755" s="284"/>
      <c r="I755" s="284"/>
      <c r="J755" s="258"/>
      <c r="K755" s="258"/>
      <c r="L755" s="258"/>
      <c r="M755" s="258"/>
      <c r="N755" s="258"/>
      <c r="P755" s="230">
        <f t="shared" si="334"/>
        <v>0</v>
      </c>
    </row>
    <row r="756" spans="2:16" x14ac:dyDescent="0.2">
      <c r="B756" s="284" t="s">
        <v>479</v>
      </c>
      <c r="C756" s="284"/>
      <c r="D756" s="284"/>
      <c r="E756" s="284"/>
      <c r="F756" s="284"/>
      <c r="G756" s="284"/>
      <c r="H756" s="284"/>
      <c r="I756" s="284"/>
      <c r="J756" s="258"/>
      <c r="K756" s="258"/>
      <c r="L756" s="258"/>
      <c r="M756" s="258"/>
      <c r="N756" s="258"/>
      <c r="P756" s="230">
        <f t="shared" si="334"/>
        <v>0</v>
      </c>
    </row>
    <row r="757" spans="2:16" x14ac:dyDescent="0.2">
      <c r="B757" s="284" t="s">
        <v>480</v>
      </c>
      <c r="C757" s="284"/>
      <c r="D757" s="284"/>
      <c r="E757" s="284"/>
      <c r="F757" s="284"/>
      <c r="G757" s="284"/>
      <c r="H757" s="284"/>
      <c r="I757" s="284"/>
      <c r="J757" s="258"/>
      <c r="K757" s="258"/>
      <c r="L757" s="258"/>
      <c r="M757" s="258"/>
      <c r="N757" s="258"/>
      <c r="P757" s="230">
        <f t="shared" si="334"/>
        <v>0</v>
      </c>
    </row>
    <row r="758" spans="2:16" x14ac:dyDescent="0.2">
      <c r="B758" s="284" t="s">
        <v>481</v>
      </c>
      <c r="C758" s="284"/>
      <c r="D758" s="284"/>
      <c r="E758" s="284"/>
      <c r="F758" s="284"/>
      <c r="G758" s="284"/>
      <c r="H758" s="284"/>
      <c r="I758" s="284"/>
      <c r="J758" s="226"/>
      <c r="K758" s="226"/>
      <c r="L758" s="226"/>
      <c r="M758" s="226"/>
      <c r="N758" s="226"/>
      <c r="P758" s="230">
        <f t="shared" si="334"/>
        <v>0</v>
      </c>
    </row>
    <row r="759" spans="2:16" x14ac:dyDescent="0.2">
      <c r="B759" s="284" t="s">
        <v>482</v>
      </c>
      <c r="C759" s="284"/>
      <c r="D759" s="284"/>
      <c r="E759" s="284"/>
      <c r="F759" s="284"/>
      <c r="G759" s="284"/>
      <c r="H759" s="284"/>
      <c r="I759" s="284"/>
      <c r="J759" s="226"/>
      <c r="K759" s="226"/>
      <c r="L759" s="226"/>
      <c r="M759" s="226"/>
      <c r="N759" s="226"/>
      <c r="P759" s="230">
        <f t="shared" si="334"/>
        <v>0</v>
      </c>
    </row>
    <row r="760" spans="2:16" x14ac:dyDescent="0.2">
      <c r="B760" s="284" t="s">
        <v>483</v>
      </c>
      <c r="C760" s="284"/>
      <c r="D760" s="284"/>
      <c r="E760" s="284"/>
      <c r="F760" s="284"/>
      <c r="G760" s="284"/>
      <c r="H760" s="284"/>
      <c r="I760" s="284"/>
      <c r="J760" s="226"/>
      <c r="K760" s="226"/>
      <c r="L760" s="226"/>
      <c r="M760" s="226"/>
      <c r="N760" s="226"/>
      <c r="P760" s="230">
        <f t="shared" si="334"/>
        <v>0</v>
      </c>
    </row>
    <row r="761" spans="2:16" x14ac:dyDescent="0.2">
      <c r="B761" s="284" t="s">
        <v>484</v>
      </c>
      <c r="C761" s="284"/>
      <c r="D761" s="284"/>
      <c r="E761" s="284"/>
      <c r="F761" s="284"/>
      <c r="G761" s="284"/>
      <c r="H761" s="284"/>
      <c r="I761" s="284"/>
      <c r="J761" s="226"/>
      <c r="K761" s="226"/>
      <c r="L761" s="226"/>
      <c r="M761" s="226"/>
      <c r="N761" s="226"/>
      <c r="P761" s="230">
        <f t="shared" si="334"/>
        <v>0</v>
      </c>
    </row>
    <row r="762" spans="2:16" x14ac:dyDescent="0.2">
      <c r="B762" s="264"/>
      <c r="C762" s="264"/>
      <c r="D762" s="264"/>
      <c r="E762" s="264"/>
      <c r="F762" s="264"/>
      <c r="G762" s="264"/>
      <c r="H762" s="264"/>
      <c r="I762" s="265"/>
      <c r="J762" s="226"/>
      <c r="K762" s="226"/>
      <c r="L762" s="226"/>
      <c r="M762" s="226"/>
      <c r="N762" s="226"/>
      <c r="P762" s="230">
        <f t="shared" si="334"/>
        <v>0</v>
      </c>
    </row>
    <row r="763" spans="2:16" x14ac:dyDescent="0.2">
      <c r="B763" s="225" t="s">
        <v>485</v>
      </c>
      <c r="C763" s="225"/>
      <c r="D763" s="225"/>
      <c r="E763" s="225"/>
      <c r="F763" s="225"/>
      <c r="G763" s="225"/>
      <c r="H763" s="201"/>
      <c r="I763" s="226"/>
      <c r="J763" s="226" t="s">
        <v>486</v>
      </c>
      <c r="K763" s="226"/>
      <c r="L763" s="226"/>
      <c r="M763" s="226"/>
      <c r="N763" s="226"/>
      <c r="P763" s="230">
        <f t="shared" si="334"/>
        <v>0</v>
      </c>
    </row>
    <row r="764" spans="2:16" x14ac:dyDescent="0.2">
      <c r="B764" s="266" t="s">
        <v>524</v>
      </c>
      <c r="C764" s="266"/>
      <c r="D764" s="225"/>
      <c r="E764" s="225"/>
      <c r="F764" s="225"/>
      <c r="G764" s="225"/>
      <c r="H764" s="201"/>
      <c r="I764" s="226"/>
      <c r="J764" s="267"/>
      <c r="K764" s="267"/>
      <c r="L764" s="267"/>
      <c r="M764" s="226"/>
      <c r="N764" s="226"/>
      <c r="P764" s="230">
        <f t="shared" si="334"/>
        <v>0</v>
      </c>
    </row>
    <row r="765" spans="2:16" x14ac:dyDescent="0.2">
      <c r="B765" s="268" t="s">
        <v>487</v>
      </c>
      <c r="C765" s="225"/>
      <c r="D765" s="225"/>
      <c r="E765" s="225"/>
      <c r="F765" s="225"/>
      <c r="G765" s="225"/>
      <c r="H765" s="201"/>
      <c r="I765" s="226"/>
      <c r="J765" s="226" t="s">
        <v>487</v>
      </c>
      <c r="K765" s="226"/>
      <c r="L765" s="226"/>
      <c r="M765" s="226"/>
      <c r="N765" s="226"/>
      <c r="P765" s="230">
        <f t="shared" si="334"/>
        <v>0</v>
      </c>
    </row>
    <row r="766" spans="2:16" x14ac:dyDescent="0.2">
      <c r="B766" s="225"/>
      <c r="C766" s="225"/>
      <c r="D766" s="225"/>
      <c r="E766" s="225"/>
      <c r="F766" s="225"/>
      <c r="G766" s="225"/>
      <c r="H766" s="201"/>
      <c r="I766" s="226"/>
      <c r="J766" s="226"/>
      <c r="K766" s="226"/>
      <c r="L766" s="226"/>
      <c r="M766" s="226"/>
      <c r="N766" s="226"/>
      <c r="P766" s="230">
        <f t="shared" si="334"/>
        <v>0</v>
      </c>
    </row>
    <row r="767" spans="2:16" x14ac:dyDescent="0.2">
      <c r="B767" s="266"/>
      <c r="C767" s="266"/>
      <c r="D767" s="225"/>
      <c r="E767" s="225"/>
      <c r="F767" s="225"/>
      <c r="G767" s="225"/>
      <c r="H767" s="201"/>
      <c r="I767" s="226"/>
      <c r="J767" s="267"/>
      <c r="K767" s="267"/>
      <c r="L767" s="267"/>
      <c r="M767" s="226"/>
      <c r="N767" s="226"/>
      <c r="P767" s="230">
        <f t="shared" si="334"/>
        <v>0</v>
      </c>
    </row>
    <row r="768" spans="2:16" x14ac:dyDescent="0.2">
      <c r="B768" s="269" t="s">
        <v>488</v>
      </c>
      <c r="C768" s="225"/>
      <c r="D768" s="225"/>
      <c r="E768" s="225"/>
      <c r="F768" s="225"/>
      <c r="G768" s="225"/>
      <c r="H768" s="201"/>
      <c r="I768" s="226"/>
      <c r="J768" s="285" t="s">
        <v>488</v>
      </c>
      <c r="K768" s="285"/>
      <c r="L768" s="285"/>
      <c r="M768" s="226"/>
      <c r="N768" s="226"/>
      <c r="P768" s="230">
        <f t="shared" si="334"/>
        <v>0</v>
      </c>
    </row>
    <row r="769" spans="1:16" x14ac:dyDescent="0.2">
      <c r="B769" s="225"/>
      <c r="C769" s="225"/>
      <c r="D769" s="225"/>
      <c r="E769" s="225"/>
      <c r="F769" s="225"/>
      <c r="G769" s="225"/>
      <c r="H769" s="201"/>
      <c r="I769" s="226"/>
      <c r="J769" s="226"/>
      <c r="K769" s="226"/>
      <c r="L769" s="226"/>
      <c r="M769" s="226"/>
      <c r="N769" s="226"/>
      <c r="P769" s="230">
        <f t="shared" si="334"/>
        <v>0</v>
      </c>
    </row>
    <row r="770" spans="1:16" x14ac:dyDescent="0.2">
      <c r="B770" s="264" t="s">
        <v>489</v>
      </c>
      <c r="C770" s="225"/>
      <c r="D770" s="225"/>
      <c r="E770" s="225"/>
      <c r="F770" s="225"/>
      <c r="G770" s="225"/>
      <c r="H770" s="201"/>
      <c r="I770" s="226"/>
      <c r="J770" s="226" t="s">
        <v>489</v>
      </c>
      <c r="K770" s="226"/>
      <c r="L770" s="226"/>
      <c r="M770" s="226"/>
      <c r="N770" s="226"/>
      <c r="P770" s="230">
        <f t="shared" si="334"/>
        <v>0</v>
      </c>
    </row>
    <row r="771" spans="1:16" x14ac:dyDescent="0.2">
      <c r="A771" s="272"/>
      <c r="B771" s="225"/>
      <c r="C771" s="225"/>
      <c r="D771" s="225"/>
      <c r="E771" s="225"/>
      <c r="F771" s="225"/>
      <c r="G771" s="225"/>
      <c r="H771" s="201"/>
      <c r="I771" s="226"/>
      <c r="J771" s="226"/>
      <c r="K771" s="226"/>
      <c r="M771" s="226"/>
      <c r="N771" s="228"/>
    </row>
    <row r="772" spans="1:16" x14ac:dyDescent="0.2">
      <c r="A772" s="260"/>
      <c r="B772" s="225"/>
      <c r="C772" s="225"/>
      <c r="D772" s="225"/>
      <c r="E772" s="225"/>
      <c r="F772" s="225"/>
      <c r="G772" s="225"/>
      <c r="H772" s="201"/>
      <c r="I772" s="226"/>
      <c r="J772" s="226"/>
      <c r="K772" s="226"/>
      <c r="M772" s="226"/>
      <c r="N772" s="228" t="s">
        <v>455</v>
      </c>
      <c r="P772" s="230">
        <f t="shared" ref="P772:P789" si="335">IF(A772&gt;0,1,0)</f>
        <v>0</v>
      </c>
    </row>
    <row r="773" spans="1:16" x14ac:dyDescent="0.2">
      <c r="B773" s="225"/>
      <c r="C773" s="225"/>
      <c r="D773" s="225"/>
      <c r="E773" s="225"/>
      <c r="F773" s="225"/>
      <c r="G773" s="225"/>
      <c r="H773" s="201"/>
      <c r="I773" s="226"/>
      <c r="J773" s="226"/>
      <c r="K773" s="226"/>
      <c r="M773" s="226"/>
      <c r="N773" s="228" t="s">
        <v>456</v>
      </c>
      <c r="P773" s="230">
        <f t="shared" si="335"/>
        <v>0</v>
      </c>
    </row>
    <row r="774" spans="1:16" x14ac:dyDescent="0.2">
      <c r="B774" s="225"/>
      <c r="C774" s="225"/>
      <c r="D774" s="225"/>
      <c r="E774" s="225"/>
      <c r="F774" s="225"/>
      <c r="G774" s="225"/>
      <c r="H774" s="201"/>
      <c r="I774" s="226"/>
      <c r="J774" s="226"/>
      <c r="K774" s="226"/>
      <c r="M774" s="226"/>
      <c r="N774" s="228" t="s">
        <v>457</v>
      </c>
      <c r="P774" s="230">
        <f t="shared" si="335"/>
        <v>0</v>
      </c>
    </row>
    <row r="775" spans="1:16" x14ac:dyDescent="0.2">
      <c r="B775" s="225"/>
      <c r="C775" s="225"/>
      <c r="D775" s="225"/>
      <c r="E775" s="225"/>
      <c r="F775" s="225"/>
      <c r="G775" s="225"/>
      <c r="H775" s="201"/>
      <c r="I775" s="226"/>
      <c r="J775" s="226"/>
      <c r="K775" s="226"/>
      <c r="L775" s="226"/>
      <c r="M775" s="226"/>
      <c r="N775" s="226"/>
      <c r="P775" s="230">
        <f t="shared" si="335"/>
        <v>0</v>
      </c>
    </row>
    <row r="776" spans="1:16" x14ac:dyDescent="0.2">
      <c r="B776" s="225"/>
      <c r="C776" s="286" t="s">
        <v>458</v>
      </c>
      <c r="D776" s="286"/>
      <c r="E776" s="286"/>
      <c r="F776" s="286"/>
      <c r="G776" s="286"/>
      <c r="H776" s="286"/>
      <c r="I776" s="286"/>
      <c r="J776" s="286"/>
      <c r="K776" s="286"/>
      <c r="L776" s="286"/>
      <c r="M776" s="226"/>
      <c r="N776" s="226"/>
      <c r="P776" s="230">
        <f t="shared" si="335"/>
        <v>0</v>
      </c>
    </row>
    <row r="777" spans="1:16" x14ac:dyDescent="0.2">
      <c r="B777" s="225"/>
      <c r="C777" s="286" t="s">
        <v>459</v>
      </c>
      <c r="D777" s="286"/>
      <c r="E777" s="286"/>
      <c r="F777" s="286"/>
      <c r="G777" s="286"/>
      <c r="H777" s="286"/>
      <c r="I777" s="286"/>
      <c r="J777" s="286"/>
      <c r="K777" s="286"/>
      <c r="L777" s="286"/>
      <c r="M777" s="226"/>
      <c r="N777" s="226"/>
      <c r="P777" s="230">
        <f t="shared" si="335"/>
        <v>0</v>
      </c>
    </row>
    <row r="778" spans="1:16" x14ac:dyDescent="0.2">
      <c r="B778" s="225" t="s">
        <v>460</v>
      </c>
      <c r="C778" s="234"/>
      <c r="D778" s="234"/>
      <c r="E778" s="234"/>
      <c r="F778" s="234"/>
      <c r="G778" s="234"/>
      <c r="H778" s="234"/>
      <c r="I778" s="235"/>
      <c r="J778" s="235"/>
      <c r="K778" s="235"/>
      <c r="L778" s="287" t="s">
        <v>461</v>
      </c>
      <c r="M778" s="287"/>
      <c r="N778" s="287"/>
      <c r="P778" s="230">
        <f t="shared" si="335"/>
        <v>0</v>
      </c>
    </row>
    <row r="779" spans="1:16" x14ac:dyDescent="0.2">
      <c r="B779" s="225"/>
      <c r="C779" s="234"/>
      <c r="D779" s="234"/>
      <c r="E779" s="234"/>
      <c r="F779" s="234"/>
      <c r="G779" s="234"/>
      <c r="H779" s="234"/>
      <c r="I779" s="235"/>
      <c r="J779" s="235"/>
      <c r="K779" s="235"/>
      <c r="L779" s="235"/>
      <c r="M779" s="235"/>
      <c r="N779" s="235"/>
      <c r="P779" s="230">
        <f t="shared" si="335"/>
        <v>0</v>
      </c>
    </row>
    <row r="780" spans="1:16" x14ac:dyDescent="0.2">
      <c r="B780" s="225" t="s">
        <v>2038</v>
      </c>
      <c r="C780" s="234"/>
      <c r="D780" s="234"/>
      <c r="E780" s="234"/>
      <c r="F780" s="234"/>
      <c r="G780" s="234"/>
      <c r="H780" s="234"/>
      <c r="I780" s="235"/>
      <c r="J780" s="235"/>
      <c r="K780" s="235"/>
      <c r="L780" s="235"/>
      <c r="M780" s="235"/>
      <c r="N780" s="235"/>
      <c r="P780" s="230">
        <f t="shared" si="335"/>
        <v>0</v>
      </c>
    </row>
    <row r="781" spans="1:16" x14ac:dyDescent="0.2">
      <c r="B781" s="225" t="s">
        <v>462</v>
      </c>
      <c r="C781" s="234"/>
      <c r="D781" s="234"/>
      <c r="E781" s="234"/>
      <c r="F781" s="234"/>
      <c r="G781" s="234"/>
      <c r="H781" s="234"/>
      <c r="I781" s="235"/>
      <c r="J781" s="235"/>
      <c r="K781" s="235"/>
      <c r="L781" s="235"/>
      <c r="M781" s="235"/>
      <c r="N781" s="235"/>
      <c r="P781" s="230">
        <f t="shared" si="335"/>
        <v>0</v>
      </c>
    </row>
    <row r="782" spans="1:16" x14ac:dyDescent="0.2">
      <c r="B782" s="225" t="s">
        <v>2037</v>
      </c>
      <c r="C782" s="234"/>
      <c r="D782" s="234"/>
      <c r="E782" s="234"/>
      <c r="F782" s="234"/>
      <c r="G782" s="234"/>
      <c r="H782" s="234"/>
      <c r="I782" s="235"/>
      <c r="J782" s="235"/>
      <c r="K782" s="235"/>
      <c r="L782" s="235"/>
      <c r="M782" s="235"/>
      <c r="N782" s="235"/>
      <c r="P782" s="230">
        <f t="shared" si="335"/>
        <v>0</v>
      </c>
    </row>
    <row r="783" spans="1:16" x14ac:dyDescent="0.2">
      <c r="B783" s="225" t="s">
        <v>2052</v>
      </c>
      <c r="C783" s="234"/>
      <c r="D783" s="234"/>
      <c r="E783" s="234"/>
      <c r="F783" s="234"/>
      <c r="G783" s="234"/>
      <c r="H783" s="234"/>
      <c r="I783" s="235"/>
      <c r="J783" s="235"/>
      <c r="K783" s="235"/>
      <c r="L783" s="235"/>
      <c r="M783" s="235"/>
      <c r="N783" s="235"/>
      <c r="P783" s="230">
        <f t="shared" si="335"/>
        <v>0</v>
      </c>
    </row>
    <row r="784" spans="1:16" x14ac:dyDescent="0.2">
      <c r="B784" s="225"/>
      <c r="C784" s="225"/>
      <c r="D784" s="225"/>
      <c r="E784" s="225"/>
      <c r="F784" s="225"/>
      <c r="G784" s="225"/>
      <c r="H784" s="201"/>
      <c r="I784" s="226"/>
      <c r="J784" s="226"/>
      <c r="K784" s="226"/>
      <c r="L784" s="226"/>
      <c r="M784" s="226"/>
      <c r="N784" s="226"/>
      <c r="P784" s="230">
        <f t="shared" si="335"/>
        <v>0</v>
      </c>
    </row>
    <row r="785" spans="1:43" x14ac:dyDescent="0.2">
      <c r="B785" s="288" t="s">
        <v>106</v>
      </c>
      <c r="C785" s="290" t="s">
        <v>463</v>
      </c>
      <c r="D785" s="288" t="s">
        <v>464</v>
      </c>
      <c r="E785" s="288" t="s">
        <v>465</v>
      </c>
      <c r="F785" s="288" t="s">
        <v>490</v>
      </c>
      <c r="G785" s="288" t="s">
        <v>466</v>
      </c>
      <c r="H785" s="292" t="s">
        <v>8</v>
      </c>
      <c r="I785" s="294" t="s">
        <v>467</v>
      </c>
      <c r="J785" s="295"/>
      <c r="K785" s="295"/>
      <c r="L785" s="296"/>
      <c r="M785" s="297" t="s">
        <v>468</v>
      </c>
      <c r="N785" s="299" t="s">
        <v>469</v>
      </c>
      <c r="P785" s="230">
        <f t="shared" si="335"/>
        <v>0</v>
      </c>
    </row>
    <row r="786" spans="1:43" x14ac:dyDescent="0.2">
      <c r="B786" s="289"/>
      <c r="C786" s="291"/>
      <c r="D786" s="289"/>
      <c r="E786" s="289"/>
      <c r="F786" s="289"/>
      <c r="G786" s="289"/>
      <c r="H786" s="293"/>
      <c r="I786" s="236" t="s">
        <v>470</v>
      </c>
      <c r="J786" s="236" t="s">
        <v>471</v>
      </c>
      <c r="K786" s="236" t="s">
        <v>472</v>
      </c>
      <c r="L786" s="236" t="s">
        <v>473</v>
      </c>
      <c r="M786" s="298"/>
      <c r="N786" s="300"/>
      <c r="P786" s="230">
        <f t="shared" si="335"/>
        <v>0</v>
      </c>
    </row>
    <row r="787" spans="1:43" x14ac:dyDescent="0.2">
      <c r="A787" s="224" t="str">
        <f>CONCATENATE("Лот"," ",A788)</f>
        <v>Лот 15</v>
      </c>
      <c r="B787" s="273" t="s">
        <v>2087</v>
      </c>
      <c r="C787" s="274"/>
      <c r="D787" s="274"/>
      <c r="E787" s="274"/>
      <c r="F787" s="274"/>
      <c r="G787" s="275"/>
      <c r="H787" s="238" t="s">
        <v>17</v>
      </c>
      <c r="I787" s="270">
        <f ca="1">ROUND(VLOOKUP($H787,$AJ$4:$AN$13,2,0)*$Q789*1.51,2)</f>
        <v>120.15</v>
      </c>
      <c r="J787" s="270">
        <f ca="1">ROUND(VLOOKUP($H787,$AJ$4:$AN$13,3,0)*$Q789*1.51,2)</f>
        <v>85.62</v>
      </c>
      <c r="K787" s="270">
        <f ca="1">ROUND(VLOOKUP($H787,$AJ$4:$AN$13,4,0)*$Q789*1.51,2)</f>
        <v>43.38</v>
      </c>
      <c r="L787" s="270"/>
      <c r="M787" s="270">
        <f ca="1">ROUND(VLOOKUP($H787,$AJ$4:$AN$13,5,0)*$Q789*1.51,2)</f>
        <v>6.85</v>
      </c>
      <c r="N787" s="270"/>
      <c r="P787" s="230">
        <f t="shared" si="335"/>
        <v>1</v>
      </c>
    </row>
    <row r="788" spans="1:43" x14ac:dyDescent="0.2">
      <c r="A788" s="224">
        <f>A733+1</f>
        <v>15</v>
      </c>
      <c r="B788" s="276"/>
      <c r="C788" s="277"/>
      <c r="D788" s="277"/>
      <c r="E788" s="277"/>
      <c r="F788" s="277"/>
      <c r="G788" s="278"/>
      <c r="H788" s="238" t="s">
        <v>25</v>
      </c>
      <c r="I788" s="270">
        <f ca="1">ROUND(VLOOKUP($H788,$AJ$4:$AN$13,2,0)*$Q789*1.51,2)</f>
        <v>898.69</v>
      </c>
      <c r="J788" s="270">
        <f ca="1">ROUND(VLOOKUP($H788,$AJ$4:$AN$13,3,0)*$Q789*1.51,2)</f>
        <v>642.13</v>
      </c>
      <c r="K788" s="270">
        <f ca="1">ROUND(VLOOKUP($H788,$AJ$4:$AN$13,4,0)*$Q789*1.51,2)</f>
        <v>323.06</v>
      </c>
      <c r="L788" s="270"/>
      <c r="M788" s="270">
        <f ca="1">ROUND(VLOOKUP($H788,$AJ$4:$AN$13,5,0)*$Q789*1.51,2)</f>
        <v>27.97</v>
      </c>
      <c r="N788" s="270"/>
      <c r="P788" s="230">
        <f t="shared" si="335"/>
        <v>1</v>
      </c>
      <c r="Q788" s="240" t="s">
        <v>2045</v>
      </c>
      <c r="R788" s="240" t="s">
        <v>2046</v>
      </c>
    </row>
    <row r="789" spans="1:43" x14ac:dyDescent="0.2">
      <c r="B789" s="276"/>
      <c r="C789" s="277"/>
      <c r="D789" s="277"/>
      <c r="E789" s="277"/>
      <c r="F789" s="277"/>
      <c r="G789" s="278"/>
      <c r="H789" s="238" t="s">
        <v>19</v>
      </c>
      <c r="I789" s="270">
        <f ca="1">ROUND(VLOOKUP($H789,$AJ$4:$AN$13,2,0)*$Q789*1.51,2)</f>
        <v>71.349999999999994</v>
      </c>
      <c r="J789" s="270">
        <f ca="1">ROUND(VLOOKUP($H789,$AJ$4:$AN$13,3,0)*$Q789*1.51,2)</f>
        <v>51.94</v>
      </c>
      <c r="K789" s="270">
        <f ca="1">ROUND(VLOOKUP($H789,$AJ$4:$AN$13,4,0)*$Q789*1.51,2)</f>
        <v>26.54</v>
      </c>
      <c r="L789" s="270"/>
      <c r="M789" s="270">
        <f ca="1">ROUND(VLOOKUP($H789,$AJ$4:$AN$13,5,0)*$Q789*1.51,2)</f>
        <v>1.43</v>
      </c>
      <c r="N789" s="270"/>
      <c r="P789" s="230">
        <f t="shared" si="335"/>
        <v>0</v>
      </c>
      <c r="Q789" s="123">
        <f ca="1">IFERROR(IF(R789="","",IF(OR(R789&lt;100,R789=100),0.9,IF(OR(AND(R789&gt;100,R789&lt;150),R789=150),1,IF(R789&gt;150,1.05,"")))),"0")</f>
        <v>1.05</v>
      </c>
      <c r="R789" s="123">
        <f ca="1">N805/G793</f>
        <v>200.19210526315791</v>
      </c>
    </row>
    <row r="790" spans="1:43" x14ac:dyDescent="0.2">
      <c r="B790" s="276"/>
      <c r="C790" s="277"/>
      <c r="D790" s="277"/>
      <c r="E790" s="277"/>
      <c r="F790" s="277"/>
      <c r="G790" s="278"/>
      <c r="H790" s="238" t="s">
        <v>268</v>
      </c>
      <c r="I790" s="270">
        <f ca="1">ROUND(VLOOKUP($H790,$AJ$4:$AN$13,2,0)*$Q789*1.51,2)</f>
        <v>898.69</v>
      </c>
      <c r="J790" s="270">
        <f ca="1">ROUND(VLOOKUP($H790,$AJ$4:$AN$13,3,0)*$Q789*1.51,2)</f>
        <v>642.13</v>
      </c>
      <c r="K790" s="270">
        <f ca="1">ROUND(VLOOKUP($H790,$AJ$4:$AN$13,4,0)*$Q789*1.51,2)</f>
        <v>323.06</v>
      </c>
      <c r="L790" s="270"/>
      <c r="M790" s="270">
        <f ca="1">ROUND(VLOOKUP($H790,$AJ$4:$AN$13,5,0)*$Q789*1.51,2)</f>
        <v>27.97</v>
      </c>
      <c r="N790" s="270"/>
    </row>
    <row r="791" spans="1:43" x14ac:dyDescent="0.2">
      <c r="B791" s="276"/>
      <c r="C791" s="277"/>
      <c r="D791" s="277"/>
      <c r="E791" s="277"/>
      <c r="F791" s="277"/>
      <c r="G791" s="278"/>
      <c r="H791" s="238" t="s">
        <v>40</v>
      </c>
      <c r="I791" s="270">
        <f ca="1">ROUND(VLOOKUP($H791,$AJ$4:$AN$13,2,0)*$Q789*1.51,2)</f>
        <v>71.349999999999994</v>
      </c>
      <c r="J791" s="270">
        <f ca="1">ROUND(VLOOKUP($H791,$AJ$4:$AN$13,3,0)*$Q789*1.51,2)</f>
        <v>51.94</v>
      </c>
      <c r="K791" s="270">
        <f ca="1">ROUND(VLOOKUP($H791,$AJ$4:$AN$13,4,0)*$Q789*1.51,2)</f>
        <v>26.54</v>
      </c>
      <c r="L791" s="270"/>
      <c r="M791" s="270">
        <f ca="1">ROUND(VLOOKUP($H791,$AJ$4:$AN$13,5,0)*$Q789*1.51,2)</f>
        <v>1.43</v>
      </c>
      <c r="N791" s="270"/>
      <c r="P791" s="230">
        <f t="shared" ref="P791:P804" si="336">IF(A791&gt;0,1,0)</f>
        <v>0</v>
      </c>
    </row>
    <row r="792" spans="1:43" x14ac:dyDescent="0.2">
      <c r="B792" s="279"/>
      <c r="C792" s="280"/>
      <c r="D792" s="280"/>
      <c r="E792" s="280"/>
      <c r="F792" s="280"/>
      <c r="G792" s="281"/>
      <c r="H792" s="238" t="s">
        <v>18</v>
      </c>
      <c r="I792" s="270">
        <f ca="1">ROUND(VLOOKUP($H792,$AJ$4:$AN$13,2,0)*$Q789*1.51,2)</f>
        <v>22.83</v>
      </c>
      <c r="J792" s="270">
        <f ca="1">ROUND(VLOOKUP($H792,$AJ$4:$AN$13,3,0)*$Q789*1.51,2)</f>
        <v>17.41</v>
      </c>
      <c r="K792" s="270">
        <f ca="1">ROUND(VLOOKUP($H792,$AJ$4:$AN$13,4,0)*$Q789*1.51,2)</f>
        <v>8.85</v>
      </c>
      <c r="L792" s="270"/>
      <c r="M792" s="270">
        <f ca="1">ROUND(VLOOKUP($H792,$AJ$4:$AN$13,5,0)*$Q789*1.51*1,2)</f>
        <v>0.56999999999999995</v>
      </c>
      <c r="N792" s="270"/>
      <c r="P792" s="230">
        <f t="shared" si="336"/>
        <v>0</v>
      </c>
      <c r="AP792" s="241" t="s">
        <v>2053</v>
      </c>
      <c r="AQ792" s="242"/>
    </row>
    <row r="793" spans="1:43" x14ac:dyDescent="0.2">
      <c r="A793" s="224">
        <f>A738+37</f>
        <v>518</v>
      </c>
      <c r="B793" s="243" t="str">
        <f ca="1">OFFSET(ЛОТЫ!$L$5,A793,0,1,1)</f>
        <v>Восходское</v>
      </c>
      <c r="C793" s="244" t="s">
        <v>474</v>
      </c>
      <c r="D793" s="243">
        <f ca="1">OFFSET(ЛОТЫ!$M$5,A793,0,1,1)</f>
        <v>40</v>
      </c>
      <c r="E793" s="243">
        <f ca="1">OFFSET(ЛОТЫ!$N$5,A793,0,1,1)</f>
        <v>7</v>
      </c>
      <c r="F793" s="243">
        <f ca="1">OFFSET(ЛОТЫ!$O$5,A793,0,1,1)</f>
        <v>1</v>
      </c>
      <c r="G793" s="271">
        <f ca="1">IFERROR(INDEX('Ведомость расчета мин. платы'!$G$10:$AC$214,MATCH(CONCATENATE(B793,"/",D793,"/",E793,"/",F793),'Ведомость расчета мин. платы'!$AC$10:$AC$214,0),1),"")</f>
        <v>3.8</v>
      </c>
      <c r="H793" s="246" t="s">
        <v>17</v>
      </c>
      <c r="I793" s="247">
        <f ca="1">IFERROR(INDEX('Ведомость расчета мин. платы'!$J$10:$AE$214,MATCH(CONCATENATE(РАСЧЕТ!B793,"/",РАСЧЕТ!D793,"/",РАСЧЕТ!E793,"/",F793,"/",H793),'Ведомость расчета мин. платы'!$AE$10:$AE$214,0),2),"")</f>
        <v>32.869999999999997</v>
      </c>
      <c r="J793" s="247">
        <f ca="1">IFERROR(INDEX('Ведомость расчета мин. платы'!$J$10:$AE$214,MATCH(CONCATENATE(РАСЧЕТ!B793,"/",РАСЧЕТ!D793,"/",РАСЧЕТ!E793,"/",F793,"/",H793),'Ведомость расчета мин. платы'!$AE$10:$AE$214,0),3),"")</f>
        <v>46.17</v>
      </c>
      <c r="K793" s="247">
        <f ca="1">IFERROR(INDEX('Ведомость расчета мин. платы'!$J$10:$AE$214,MATCH(CONCATENATE(РАСЧЕТ!B793,"/",РАСЧЕТ!D793,"/",РАСЧЕТ!E793,"/",F793,"/",H793),'Ведомость расчета мин. платы'!$AE$10:$AE$214,0),4),"")</f>
        <v>2.85</v>
      </c>
      <c r="L793" s="248">
        <f t="shared" ref="L793:L805" ca="1" si="337">IFERROR(SUM(I793:K793),"")</f>
        <v>81.889999999999986</v>
      </c>
      <c r="M793" s="214">
        <f ca="1">IFERROR(INDEX('Ведомость расчета мин. платы'!$J$10:$AE$214,MATCH(CONCATENATE(РАСЧЕТ!B793,"/",РАСЧЕТ!D793,"/",РАСЧЕТ!E793,"/",F793,"/",H793),'Ведомость расчета мин. платы'!$AE$10:$AE$214,0),6),"")</f>
        <v>60.71</v>
      </c>
      <c r="N793" s="214">
        <f t="shared" ref="N793:N805" ca="1" si="338">IFERROR(SUM(L793:M793),"")</f>
        <v>142.6</v>
      </c>
      <c r="O793" s="229">
        <f>IF(H793="стоимость","",1)</f>
        <v>1</v>
      </c>
      <c r="P793" s="230">
        <f t="shared" si="336"/>
        <v>1</v>
      </c>
      <c r="AP793" s="242"/>
      <c r="AQ793" s="242"/>
    </row>
    <row r="794" spans="1:43" x14ac:dyDescent="0.2">
      <c r="B794" s="249"/>
      <c r="C794" s="249"/>
      <c r="D794" s="249"/>
      <c r="E794" s="249"/>
      <c r="F794" s="249"/>
      <c r="G794" s="249"/>
      <c r="H794" s="250" t="s">
        <v>475</v>
      </c>
      <c r="I794" s="251">
        <f ca="1">IFERROR(ROUND(I793*I787,2),"")</f>
        <v>3949.33</v>
      </c>
      <c r="J794" s="251">
        <f t="shared" ref="J794" ca="1" si="339">IFERROR(ROUND(J793*J787,2),"")</f>
        <v>3953.08</v>
      </c>
      <c r="K794" s="251">
        <f t="shared" ref="K794" ca="1" si="340">IFERROR(ROUND(K793*K787,2),"")</f>
        <v>123.63</v>
      </c>
      <c r="L794" s="251">
        <f t="shared" ca="1" si="337"/>
        <v>8026.04</v>
      </c>
      <c r="M794" s="251">
        <f t="shared" ref="M794" ca="1" si="341">IFERROR(ROUND(M793*M787,2),"")</f>
        <v>415.86</v>
      </c>
      <c r="N794" s="252">
        <f t="shared" ca="1" si="338"/>
        <v>8441.9</v>
      </c>
      <c r="O794" s="229" t="str">
        <f t="shared" ref="O794:O804" si="342">IF(H794="стоимость","",1)</f>
        <v/>
      </c>
      <c r="P794" s="230">
        <f t="shared" si="336"/>
        <v>0</v>
      </c>
      <c r="AP794" s="242">
        <f ca="1">SUMIFS('Ведомость расчета мин. платы'!$S$10:$S$209,'Ведомость расчета мин. платы'!$AE$10:$AE$209,CONCATENATE(B793,"/",D793,"/",E793,"/",F793,"/",H793))</f>
        <v>8441.9</v>
      </c>
      <c r="AQ794" s="253">
        <f t="shared" ref="AQ794" ca="1" si="343">AP794-N794</f>
        <v>0</v>
      </c>
    </row>
    <row r="795" spans="1:43" x14ac:dyDescent="0.2">
      <c r="B795" s="249"/>
      <c r="C795" s="249"/>
      <c r="D795" s="249"/>
      <c r="E795" s="249"/>
      <c r="F795" s="249"/>
      <c r="G795" s="249"/>
      <c r="H795" s="246" t="s">
        <v>25</v>
      </c>
      <c r="I795" s="247" t="str">
        <f ca="1">IFERROR(INDEX('Ведомость расчета мин. платы'!$J$10:$AE$214,MATCH(CONCATENATE(РАСЧЕТ!B793,"/",РАСЧЕТ!D793,"/",РАСЧЕТ!E793,"/",F793,"/",H795),'Ведомость расчета мин. платы'!$AE$10:$AE$214,0),2),"")</f>
        <v/>
      </c>
      <c r="J795" s="247" t="str">
        <f ca="1">IFERROR(INDEX('Ведомость расчета мин. платы'!$J$10:$AE$214,MATCH(CONCATENATE(РАСЧЕТ!B793,"/",РАСЧЕТ!D793,"/",РАСЧЕТ!E793,"/",F793,"/",H795),'Ведомость расчета мин. платы'!$AE$10:$AE$214,0),3),"")</f>
        <v/>
      </c>
      <c r="K795" s="247" t="str">
        <f ca="1">IFERROR(INDEX('Ведомость расчета мин. платы'!$J$10:$AE$214,MATCH(CONCATENATE(РАСЧЕТ!B793,"/",РАСЧЕТ!D793,"/",РАСЧЕТ!E793,"/",F793,"/",H795),'Ведомость расчета мин. платы'!$AE$10:$AE$214,0),4),"")</f>
        <v/>
      </c>
      <c r="L795" s="248">
        <f t="shared" ca="1" si="337"/>
        <v>0</v>
      </c>
      <c r="M795" s="214" t="str">
        <f ca="1">IFERROR(INDEX('Ведомость расчета мин. платы'!$J$10:$AE$214,MATCH(CONCATENATE(РАСЧЕТ!B793,"/",РАСЧЕТ!D793,"/",РАСЧЕТ!E793,"/",F793,"/",H795),'Ведомость расчета мин. платы'!$AE$10:$AE$214,0),6),"")</f>
        <v/>
      </c>
      <c r="N795" s="214">
        <f t="shared" ca="1" si="338"/>
        <v>0</v>
      </c>
      <c r="O795" s="229">
        <f t="shared" si="342"/>
        <v>1</v>
      </c>
      <c r="P795" s="230">
        <f t="shared" si="336"/>
        <v>0</v>
      </c>
      <c r="AP795" s="242"/>
      <c r="AQ795" s="253"/>
    </row>
    <row r="796" spans="1:43" x14ac:dyDescent="0.2">
      <c r="B796" s="249"/>
      <c r="C796" s="249"/>
      <c r="D796" s="249"/>
      <c r="E796" s="249"/>
      <c r="F796" s="249"/>
      <c r="G796" s="249"/>
      <c r="H796" s="250" t="s">
        <v>475</v>
      </c>
      <c r="I796" s="251" t="str">
        <f ca="1">IFERROR(ROUND(I795*I788,2),"")</f>
        <v/>
      </c>
      <c r="J796" s="251" t="str">
        <f t="shared" ref="J796" ca="1" si="344">IFERROR(ROUND(J795*J788,2),"")</f>
        <v/>
      </c>
      <c r="K796" s="251" t="str">
        <f t="shared" ref="K796" ca="1" si="345">IFERROR(ROUND(K795*K788,2),"")</f>
        <v/>
      </c>
      <c r="L796" s="251">
        <f t="shared" ca="1" si="337"/>
        <v>0</v>
      </c>
      <c r="M796" s="251" t="str">
        <f t="shared" ref="M796" ca="1" si="346">IFERROR(ROUND(M795*M788,2),"")</f>
        <v/>
      </c>
      <c r="N796" s="252">
        <f t="shared" ca="1" si="338"/>
        <v>0</v>
      </c>
      <c r="O796" s="229" t="str">
        <f t="shared" si="342"/>
        <v/>
      </c>
      <c r="P796" s="230">
        <f t="shared" si="336"/>
        <v>0</v>
      </c>
      <c r="AP796" s="242">
        <f ca="1">SUMIFS('Ведомость расчета мин. платы'!$S$10:$S$209,'Ведомость расчета мин. платы'!$AE$10:$AE$209,CONCATENATE(B793,"/",D793,"/",E793,"/",F793,"/",H795))</f>
        <v>0</v>
      </c>
      <c r="AQ796" s="253">
        <f t="shared" ref="AQ796" ca="1" si="347">AP796-N796</f>
        <v>0</v>
      </c>
    </row>
    <row r="797" spans="1:43" x14ac:dyDescent="0.2">
      <c r="B797" s="249"/>
      <c r="C797" s="249"/>
      <c r="D797" s="249"/>
      <c r="E797" s="249"/>
      <c r="F797" s="249"/>
      <c r="G797" s="249"/>
      <c r="H797" s="205" t="s">
        <v>19</v>
      </c>
      <c r="I797" s="248">
        <f ca="1">IFERROR(INDEX('Ведомость расчета мин. платы'!$J$10:$AE$214,MATCH(CONCATENATE(РАСЧЕТ!B793,"/",РАСЧЕТ!D793,"/",РАСЧЕТ!E793,"/",F793,"/",H797),'Ведомость расчета мин. платы'!$AE$10:$AE$214,0),2),"")</f>
        <v>0</v>
      </c>
      <c r="J797" s="248">
        <f ca="1">IFERROR(INDEX('Ведомость расчета мин. платы'!$J$10:$AE$214,MATCH(CONCATENATE(РАСЧЕТ!B793,"/",РАСЧЕТ!D793,"/",РАСЧЕТ!E793,"/",F793,"/",H797),'Ведомость расчета мин. платы'!$AE$10:$AE$214,0),3),"")</f>
        <v>1.26</v>
      </c>
      <c r="K797" s="248">
        <f ca="1">IFERROR(INDEX('Ведомость расчета мин. платы'!$J$10:$AE$214,MATCH(CONCATENATE(РАСЧЕТ!B793,"/",РАСЧЕТ!D793,"/",РАСЧЕТ!E793,"/",F793,"/",H797),'Ведомость расчета мин. платы'!$AE$10:$AE$214,0),4),"")</f>
        <v>2.58</v>
      </c>
      <c r="L797" s="248">
        <f t="shared" ca="1" si="337"/>
        <v>3.84</v>
      </c>
      <c r="M797" s="248">
        <f ca="1">IFERROR(INDEX('Ведомость расчета мин. платы'!$J$10:$AE$214,MATCH(CONCATENATE(РАСЧЕТ!B793,"/",РАСЧЕТ!D793,"/",РАСЧЕТ!E793,"/",F793,"/",H797),'Ведомость расчета мин. платы'!$AE$10:$AE$214,0),6),"")</f>
        <v>8.09</v>
      </c>
      <c r="N797" s="214">
        <f t="shared" ca="1" si="338"/>
        <v>11.93</v>
      </c>
      <c r="O797" s="229">
        <f t="shared" si="342"/>
        <v>1</v>
      </c>
      <c r="P797" s="230">
        <f t="shared" si="336"/>
        <v>0</v>
      </c>
      <c r="AP797" s="242"/>
      <c r="AQ797" s="253"/>
    </row>
    <row r="798" spans="1:43" x14ac:dyDescent="0.2">
      <c r="B798" s="249"/>
      <c r="C798" s="249"/>
      <c r="D798" s="249"/>
      <c r="E798" s="249"/>
      <c r="F798" s="249"/>
      <c r="G798" s="249"/>
      <c r="H798" s="250" t="s">
        <v>475</v>
      </c>
      <c r="I798" s="251">
        <f ca="1">IFERROR(ROUND(I797*I789,2),"")</f>
        <v>0</v>
      </c>
      <c r="J798" s="251">
        <f t="shared" ref="J798" ca="1" si="348">IFERROR(ROUND(J797*J789,2),"")</f>
        <v>65.44</v>
      </c>
      <c r="K798" s="251">
        <f t="shared" ref="K798" ca="1" si="349">IFERROR(ROUND(K797*K789,2),"")</f>
        <v>68.47</v>
      </c>
      <c r="L798" s="251">
        <f t="shared" ca="1" si="337"/>
        <v>133.91</v>
      </c>
      <c r="M798" s="251">
        <f t="shared" ref="M798" ca="1" si="350">IFERROR(ROUND(M797*M789,2),"")</f>
        <v>11.57</v>
      </c>
      <c r="N798" s="252">
        <f t="shared" ca="1" si="338"/>
        <v>145.47999999999999</v>
      </c>
      <c r="O798" s="229" t="str">
        <f t="shared" si="342"/>
        <v/>
      </c>
      <c r="P798" s="230">
        <f t="shared" si="336"/>
        <v>0</v>
      </c>
      <c r="AP798" s="242">
        <f ca="1">SUMIFS('Ведомость расчета мин. платы'!$S$10:$S$209,'Ведомость расчета мин. платы'!$AE$10:$AE$209,CONCATENATE(B793,"/",D793,"/",E793,"/",F793,"/",H797))</f>
        <v>145.47999999999999</v>
      </c>
      <c r="AQ798" s="253">
        <f t="shared" ref="AQ798" ca="1" si="351">AP798-N798</f>
        <v>0</v>
      </c>
    </row>
    <row r="799" spans="1:43" x14ac:dyDescent="0.2">
      <c r="B799" s="249"/>
      <c r="C799" s="249"/>
      <c r="D799" s="249"/>
      <c r="E799" s="249"/>
      <c r="F799" s="249"/>
      <c r="G799" s="249"/>
      <c r="H799" s="205" t="s">
        <v>268</v>
      </c>
      <c r="I799" s="248" t="str">
        <f ca="1">IFERROR(INDEX('Ведомость расчета мин. платы'!$J$10:$AE$214,MATCH(CONCATENATE(РАСЧЕТ!B793,"/",РАСЧЕТ!D793,"/",РАСЧЕТ!E793,"/",F793,"/",H799),'Ведомость расчета мин. платы'!$AE$10:$AE$214,0),2),"")</f>
        <v/>
      </c>
      <c r="J799" s="248" t="str">
        <f ca="1">IFERROR(INDEX('Ведомость расчета мин. платы'!$J$10:$AE$214,MATCH(CONCATENATE(РАСЧЕТ!B793,"/",РАСЧЕТ!D793,"/",РАСЧЕТ!E793,"/",F793,"/",H799),'Ведомость расчета мин. платы'!$AE$10:$AE$214,0),3),"")</f>
        <v/>
      </c>
      <c r="K799" s="248" t="str">
        <f ca="1">IFERROR(INDEX('Ведомость расчета мин. платы'!$J$10:$AE$214,MATCH(CONCATENATE(РАСЧЕТ!B793,"/",РАСЧЕТ!D793,"/",РАСЧЕТ!E793,"/",F793,"/",H799),'Ведомость расчета мин. платы'!$AE$10:$AE$214,0),4),"")</f>
        <v/>
      </c>
      <c r="L799" s="248">
        <f t="shared" ca="1" si="337"/>
        <v>0</v>
      </c>
      <c r="M799" s="248" t="str">
        <f ca="1">IFERROR(INDEX('Ведомость расчета мин. платы'!$J$10:$AE$214,MATCH(CONCATENATE(РАСЧЕТ!B793,"/",РАСЧЕТ!D793,"/",РАСЧЕТ!E793,"/",F793,"/",H799),'Ведомость расчета мин. платы'!$AE$10:$AE$214,0),6),"")</f>
        <v/>
      </c>
      <c r="N799" s="214">
        <f t="shared" ca="1" si="338"/>
        <v>0</v>
      </c>
      <c r="O799" s="229">
        <f t="shared" si="342"/>
        <v>1</v>
      </c>
      <c r="P799" s="230">
        <f t="shared" si="336"/>
        <v>0</v>
      </c>
      <c r="AP799" s="242"/>
      <c r="AQ799" s="253"/>
    </row>
    <row r="800" spans="1:43" x14ac:dyDescent="0.2">
      <c r="B800" s="249"/>
      <c r="C800" s="249"/>
      <c r="D800" s="249"/>
      <c r="E800" s="249"/>
      <c r="F800" s="249"/>
      <c r="G800" s="249"/>
      <c r="H800" s="250" t="s">
        <v>475</v>
      </c>
      <c r="I800" s="251" t="str">
        <f ca="1">IFERROR(ROUND(I799*I792,2),"")</f>
        <v/>
      </c>
      <c r="J800" s="251" t="str">
        <f ca="1">IFERROR(ROUND(J799*J790,2),"")</f>
        <v/>
      </c>
      <c r="K800" s="251" t="str">
        <f ca="1">IFERROR(ROUND(K799*K790,2),"")</f>
        <v/>
      </c>
      <c r="L800" s="251">
        <f t="shared" ca="1" si="337"/>
        <v>0</v>
      </c>
      <c r="M800" s="251" t="str">
        <f ca="1">IFERROR(ROUND(M799*M790,2),"")</f>
        <v/>
      </c>
      <c r="N800" s="252">
        <f t="shared" ca="1" si="338"/>
        <v>0</v>
      </c>
      <c r="O800" s="229" t="str">
        <f t="shared" si="342"/>
        <v/>
      </c>
      <c r="P800" s="230">
        <f t="shared" si="336"/>
        <v>0</v>
      </c>
      <c r="AP800" s="242">
        <f ca="1">SUMIFS('Ведомость расчета мин. платы'!$S$10:$S$209,'Ведомость расчета мин. платы'!$AE$10:$AE$209,CONCATENATE(B793,"/",D793,"/",E793,"/",F793,"/",H799))</f>
        <v>0</v>
      </c>
      <c r="AQ800" s="253">
        <f t="shared" ref="AQ800" ca="1" si="352">AP800-N800</f>
        <v>0</v>
      </c>
    </row>
    <row r="801" spans="2:43" x14ac:dyDescent="0.2">
      <c r="B801" s="249"/>
      <c r="C801" s="249"/>
      <c r="D801" s="249"/>
      <c r="E801" s="249"/>
      <c r="F801" s="249"/>
      <c r="G801" s="249"/>
      <c r="H801" s="205" t="s">
        <v>40</v>
      </c>
      <c r="I801" s="248" t="str">
        <f ca="1">IFERROR(INDEX('Ведомость расчета мин. платы'!$J$10:$AE$214,MATCH(CONCATENATE(РАСЧЕТ!B793,"/",РАСЧЕТ!D793,"/",РАСЧЕТ!E793,"/",F793,"/",H801),'Ведомость расчета мин. платы'!$AE$10:$AE$214,0),2),"")</f>
        <v/>
      </c>
      <c r="J801" s="248" t="str">
        <f ca="1">IFERROR(INDEX('Ведомость расчета мин. платы'!$J$10:$AE$214,MATCH(CONCATENATE(РАСЧЕТ!B793,"/",РАСЧЕТ!D793,"/",РАСЧЕТ!E793,"/",F793,"/",H801),'Ведомость расчета мин. платы'!$AE$10:$AE$214,0),3),"")</f>
        <v/>
      </c>
      <c r="K801" s="248" t="str">
        <f ca="1">IFERROR(INDEX('Ведомость расчета мин. платы'!$J$10:$AE$214,MATCH(CONCATENATE(РАСЧЕТ!B793,"/",РАСЧЕТ!D793,"/",РАСЧЕТ!E793,"/",F793,"/",H801),'Ведомость расчета мин. платы'!$AE$10:$AE$214,0),4),"")</f>
        <v/>
      </c>
      <c r="L801" s="248">
        <f t="shared" ca="1" si="337"/>
        <v>0</v>
      </c>
      <c r="M801" s="248" t="str">
        <f ca="1">IFERROR(INDEX('Ведомость расчета мин. платы'!$J$10:$AE$214,MATCH(CONCATENATE(РАСЧЕТ!B793,"/",РАСЧЕТ!D793,"/",РАСЧЕТ!E793,"/",F793,"/",H801),'Ведомость расчета мин. платы'!$AE$10:$AE$214,0),6),"")</f>
        <v/>
      </c>
      <c r="N801" s="214">
        <f t="shared" ca="1" si="338"/>
        <v>0</v>
      </c>
      <c r="O801" s="229">
        <f t="shared" si="342"/>
        <v>1</v>
      </c>
      <c r="P801" s="230">
        <f t="shared" si="336"/>
        <v>0</v>
      </c>
      <c r="AP801" s="242"/>
      <c r="AQ801" s="253"/>
    </row>
    <row r="802" spans="2:43" x14ac:dyDescent="0.2">
      <c r="B802" s="249"/>
      <c r="C802" s="249"/>
      <c r="D802" s="249"/>
      <c r="E802" s="249"/>
      <c r="F802" s="249"/>
      <c r="G802" s="249"/>
      <c r="H802" s="250" t="s">
        <v>475</v>
      </c>
      <c r="I802" s="251" t="str">
        <f ca="1">IFERROR(ROUND(I801*I791,2),"")</f>
        <v/>
      </c>
      <c r="J802" s="251" t="str">
        <f t="shared" ref="J802" ca="1" si="353">IFERROR(ROUND(J801*J791,2),"")</f>
        <v/>
      </c>
      <c r="K802" s="251" t="str">
        <f t="shared" ref="K802" ca="1" si="354">IFERROR(ROUND(K801*K791,2),"")</f>
        <v/>
      </c>
      <c r="L802" s="251">
        <f t="shared" ca="1" si="337"/>
        <v>0</v>
      </c>
      <c r="M802" s="251" t="str">
        <f t="shared" ref="M802" ca="1" si="355">IFERROR(ROUND(M801*M791,2),"")</f>
        <v/>
      </c>
      <c r="N802" s="252">
        <f t="shared" ca="1" si="338"/>
        <v>0</v>
      </c>
      <c r="O802" s="229" t="str">
        <f t="shared" si="342"/>
        <v/>
      </c>
      <c r="P802" s="230">
        <f t="shared" si="336"/>
        <v>0</v>
      </c>
      <c r="AP802" s="242">
        <f ca="1">SUMIFS('Ведомость расчета мин. платы'!$S$10:$S$209,'Ведомость расчета мин. платы'!$AE$10:$AE$209,CONCATENATE(B793,"/",D793,"/",E793,"/",F793,"/",H801))</f>
        <v>0</v>
      </c>
      <c r="AQ802" s="253">
        <f t="shared" ref="AQ802" ca="1" si="356">AP802-N802</f>
        <v>0</v>
      </c>
    </row>
    <row r="803" spans="2:43" x14ac:dyDescent="0.2">
      <c r="B803" s="249"/>
      <c r="C803" s="249"/>
      <c r="D803" s="249"/>
      <c r="E803" s="249"/>
      <c r="F803" s="249"/>
      <c r="G803" s="249"/>
      <c r="H803" s="205" t="s">
        <v>18</v>
      </c>
      <c r="I803" s="248">
        <f ca="1">IFERROR(INDEX('Ведомость расчета мин. платы'!$J$10:$AE$214,MATCH(CONCATENATE(РАСЧЕТ!B793,"/",РАСЧЕТ!D793,"/",РАСЧЕТ!E793,"/",F793,"/",H803),'Ведомость расчета мин. платы'!$AE$10:$AE$214,0),2),"")</f>
        <v>174.99</v>
      </c>
      <c r="J803" s="248">
        <f ca="1">IFERROR(INDEX('Ведомость расчета мин. платы'!$J$10:$AE$214,MATCH(CONCATENATE(РАСЧЕТ!B793,"/",РАСЧЕТ!D793,"/",РАСЧЕТ!E793,"/",F793,"/",H803),'Ведомость расчета мин. платы'!$AE$10:$AE$214,0),3),"")</f>
        <v>149.72</v>
      </c>
      <c r="K803" s="248">
        <f ca="1">IFERROR(INDEX('Ведомость расчета мин. платы'!$J$10:$AE$214,MATCH(CONCATENATE(РАСЧЕТ!B793,"/",РАСЧЕТ!D793,"/",РАСЧЕТ!E793,"/",F793,"/",H803),'Ведомость расчета мин. платы'!$AE$10:$AE$214,0),4),"")</f>
        <v>3.99</v>
      </c>
      <c r="L803" s="248">
        <f t="shared" ca="1" si="337"/>
        <v>328.70000000000005</v>
      </c>
      <c r="M803" s="248">
        <f ca="1">IFERROR(INDEX('Ведомость расчета мин. платы'!$J$10:$AE$214,MATCH(CONCATENATE(РАСЧЕТ!B793,"/",РАСЧЕТ!D793,"/",РАСЧЕТ!E793,"/",F793,"/",H803),'Ведомость расчета мин. платы'!$AE$10:$AE$214,0),6),"")</f>
        <v>277.5</v>
      </c>
      <c r="N803" s="214">
        <f t="shared" ca="1" si="338"/>
        <v>606.20000000000005</v>
      </c>
      <c r="O803" s="229">
        <f t="shared" si="342"/>
        <v>1</v>
      </c>
      <c r="P803" s="230">
        <f t="shared" si="336"/>
        <v>0</v>
      </c>
      <c r="AP803" s="242"/>
      <c r="AQ803" s="253"/>
    </row>
    <row r="804" spans="2:43" x14ac:dyDescent="0.2">
      <c r="B804" s="249"/>
      <c r="C804" s="249"/>
      <c r="D804" s="249"/>
      <c r="E804" s="249"/>
      <c r="F804" s="249"/>
      <c r="G804" s="249"/>
      <c r="H804" s="250" t="s">
        <v>475</v>
      </c>
      <c r="I804" s="251">
        <f ca="1">IFERROR(ROUND(I803*I792,2),"")</f>
        <v>3995.02</v>
      </c>
      <c r="J804" s="251">
        <f t="shared" ref="J804" ca="1" si="357">IFERROR(ROUND(J803*J792,2),"")</f>
        <v>2606.63</v>
      </c>
      <c r="K804" s="251">
        <f t="shared" ref="K804" ca="1" si="358">IFERROR(ROUND(K803*K792,2),"")</f>
        <v>35.31</v>
      </c>
      <c r="L804" s="251">
        <f t="shared" ca="1" si="337"/>
        <v>6636.96</v>
      </c>
      <c r="M804" s="251">
        <v>158.16999999999979</v>
      </c>
      <c r="N804" s="252">
        <f t="shared" ca="1" si="338"/>
        <v>6795.13</v>
      </c>
      <c r="O804" s="229" t="str">
        <f t="shared" si="342"/>
        <v/>
      </c>
      <c r="P804" s="230">
        <f t="shared" si="336"/>
        <v>0</v>
      </c>
      <c r="AP804" s="242">
        <f ca="1">SUMIFS('Ведомость расчета мин. платы'!$S$10:$S$209,'Ведомость расчета мин. платы'!$AE$10:$AE$209,CONCATENATE(B793,"/",D793,"/",E793,"/",F793,"/",H803))</f>
        <v>6795.13</v>
      </c>
      <c r="AQ804" s="253">
        <f t="shared" ref="AQ804" ca="1" si="359">AP804-N804</f>
        <v>0</v>
      </c>
    </row>
    <row r="805" spans="2:43" x14ac:dyDescent="0.2">
      <c r="B805" s="249"/>
      <c r="C805" s="249"/>
      <c r="D805" s="249"/>
      <c r="E805" s="249"/>
      <c r="F805" s="249"/>
      <c r="G805" s="249"/>
      <c r="H805" s="254" t="s">
        <v>476</v>
      </c>
      <c r="I805" s="251">
        <f ca="1">SUMIF($O793:$O806,1,I793:I804)</f>
        <v>207.86</v>
      </c>
      <c r="J805" s="251">
        <f ca="1">SUMIF($O793:$O806,1,J793:J804)</f>
        <v>197.15</v>
      </c>
      <c r="K805" s="251">
        <f ca="1">SUMIF($O793:$O806,1,K793:K804)</f>
        <v>9.42</v>
      </c>
      <c r="L805" s="251">
        <f t="shared" ca="1" si="337"/>
        <v>414.43</v>
      </c>
      <c r="M805" s="251">
        <f ca="1">SUMIF($O793:$O806,1,M793:M804)</f>
        <v>346.3</v>
      </c>
      <c r="N805" s="252">
        <f t="shared" ca="1" si="338"/>
        <v>760.73</v>
      </c>
      <c r="AP805" s="242"/>
      <c r="AQ805" s="253"/>
    </row>
    <row r="806" spans="2:43" x14ac:dyDescent="0.2">
      <c r="B806" s="249"/>
      <c r="C806" s="249"/>
      <c r="D806" s="249"/>
      <c r="E806" s="249"/>
      <c r="F806" s="249"/>
      <c r="G806" s="249"/>
      <c r="H806" s="254" t="s">
        <v>491</v>
      </c>
      <c r="I806" s="251">
        <f ca="1">SUMIF(H793:H804,"стоимость",I793:I804)</f>
        <v>7944.35</v>
      </c>
      <c r="J806" s="251">
        <f ca="1">SUMIF(H793:H804,"стоимость",J793:J804)</f>
        <v>6625.15</v>
      </c>
      <c r="K806" s="251">
        <f ca="1">SUMIF(H793:H804,"стоимость",K793:K804)</f>
        <v>227.41</v>
      </c>
      <c r="L806" s="251">
        <f ca="1">IFERROR(SUM(I806:K806),"")</f>
        <v>14796.91</v>
      </c>
      <c r="M806" s="251">
        <f ca="1">SUMIF(H793:H804,"стоимость",M793:M804)</f>
        <v>585.5999999999998</v>
      </c>
      <c r="N806" s="252">
        <f ca="1">IFERROR(SUM(L806:M806),"")</f>
        <v>15382.51</v>
      </c>
      <c r="AP806" s="242">
        <f ca="1">SUMIFS('Ведомость расчета мин. платы'!$S$10:$S$209,'Ведомость расчета мин. платы'!$J$10:$J$209,"Итого",'Ведомость расчета мин. платы'!$AC$10:$AC$209,CONCATENATE(B793,"/",D793,"/",E793,"/",F793))</f>
        <v>15382.509999999998</v>
      </c>
      <c r="AQ806" s="253">
        <f ca="1">AP806-N806</f>
        <v>0</v>
      </c>
    </row>
    <row r="807" spans="2:43" x14ac:dyDescent="0.2">
      <c r="B807" s="255"/>
      <c r="C807" s="255"/>
      <c r="D807" s="255"/>
      <c r="E807" s="255"/>
      <c r="F807" s="255"/>
      <c r="G807" s="256"/>
      <c r="H807" s="257"/>
      <c r="I807" s="258"/>
      <c r="J807" s="258"/>
      <c r="K807" s="258"/>
      <c r="L807" s="258"/>
      <c r="M807" s="258"/>
      <c r="N807" s="258"/>
      <c r="P807" s="230">
        <f t="shared" ref="P807:P825" si="360">IF(A807&gt;0,1,0)</f>
        <v>0</v>
      </c>
    </row>
    <row r="808" spans="2:43" x14ac:dyDescent="0.2">
      <c r="B808" s="282" t="s">
        <v>477</v>
      </c>
      <c r="C808" s="282"/>
      <c r="D808" s="282"/>
      <c r="E808" s="282"/>
      <c r="F808" s="259"/>
      <c r="G808" s="225"/>
      <c r="H808" s="201"/>
      <c r="I808" s="226"/>
      <c r="J808" s="258"/>
      <c r="K808" s="258"/>
      <c r="L808" s="258"/>
      <c r="M808" s="258"/>
      <c r="N808" s="258"/>
      <c r="P808" s="230">
        <f t="shared" si="360"/>
        <v>0</v>
      </c>
    </row>
    <row r="809" spans="2:43" x14ac:dyDescent="0.2">
      <c r="B809" s="283" t="s">
        <v>525</v>
      </c>
      <c r="C809" s="283"/>
      <c r="D809" s="283"/>
      <c r="E809" s="283"/>
      <c r="F809" s="283"/>
      <c r="G809" s="283"/>
      <c r="H809" s="283"/>
      <c r="I809" s="283"/>
      <c r="J809" s="261"/>
      <c r="K809" s="261"/>
      <c r="L809" s="261"/>
      <c r="M809" s="261"/>
      <c r="N809" s="261"/>
      <c r="P809" s="230">
        <f t="shared" si="360"/>
        <v>0</v>
      </c>
    </row>
    <row r="810" spans="2:43" x14ac:dyDescent="0.2">
      <c r="B810" s="284" t="s">
        <v>478</v>
      </c>
      <c r="C810" s="284"/>
      <c r="D810" s="284"/>
      <c r="E810" s="284"/>
      <c r="F810" s="284"/>
      <c r="G810" s="284"/>
      <c r="H810" s="284"/>
      <c r="I810" s="284"/>
      <c r="J810" s="258"/>
      <c r="K810" s="258"/>
      <c r="L810" s="258"/>
      <c r="M810" s="258"/>
      <c r="N810" s="258"/>
      <c r="P810" s="230">
        <f t="shared" si="360"/>
        <v>0</v>
      </c>
    </row>
    <row r="811" spans="2:43" x14ac:dyDescent="0.2">
      <c r="B811" s="284" t="s">
        <v>479</v>
      </c>
      <c r="C811" s="284"/>
      <c r="D811" s="284"/>
      <c r="E811" s="284"/>
      <c r="F811" s="284"/>
      <c r="G811" s="284"/>
      <c r="H811" s="284"/>
      <c r="I811" s="284"/>
      <c r="J811" s="258"/>
      <c r="K811" s="258"/>
      <c r="L811" s="258"/>
      <c r="M811" s="258"/>
      <c r="N811" s="258"/>
      <c r="P811" s="230">
        <f t="shared" si="360"/>
        <v>0</v>
      </c>
    </row>
    <row r="812" spans="2:43" x14ac:dyDescent="0.2">
      <c r="B812" s="284" t="s">
        <v>480</v>
      </c>
      <c r="C812" s="284"/>
      <c r="D812" s="284"/>
      <c r="E812" s="284"/>
      <c r="F812" s="284"/>
      <c r="G812" s="284"/>
      <c r="H812" s="284"/>
      <c r="I812" s="284"/>
      <c r="J812" s="258"/>
      <c r="K812" s="258"/>
      <c r="L812" s="258"/>
      <c r="M812" s="258"/>
      <c r="N812" s="258"/>
      <c r="P812" s="230">
        <f t="shared" si="360"/>
        <v>0</v>
      </c>
    </row>
    <row r="813" spans="2:43" x14ac:dyDescent="0.2">
      <c r="B813" s="284" t="s">
        <v>481</v>
      </c>
      <c r="C813" s="284"/>
      <c r="D813" s="284"/>
      <c r="E813" s="284"/>
      <c r="F813" s="284"/>
      <c r="G813" s="284"/>
      <c r="H813" s="284"/>
      <c r="I813" s="284"/>
      <c r="J813" s="226"/>
      <c r="K813" s="226"/>
      <c r="L813" s="226"/>
      <c r="M813" s="226"/>
      <c r="N813" s="226"/>
      <c r="P813" s="230">
        <f t="shared" si="360"/>
        <v>0</v>
      </c>
    </row>
    <row r="814" spans="2:43" x14ac:dyDescent="0.2">
      <c r="B814" s="284" t="s">
        <v>482</v>
      </c>
      <c r="C814" s="284"/>
      <c r="D814" s="284"/>
      <c r="E814" s="284"/>
      <c r="F814" s="284"/>
      <c r="G814" s="284"/>
      <c r="H814" s="284"/>
      <c r="I814" s="284"/>
      <c r="J814" s="226"/>
      <c r="K814" s="226"/>
      <c r="L814" s="226"/>
      <c r="M814" s="226"/>
      <c r="N814" s="226"/>
      <c r="P814" s="230">
        <f t="shared" si="360"/>
        <v>0</v>
      </c>
    </row>
    <row r="815" spans="2:43" x14ac:dyDescent="0.2">
      <c r="B815" s="284" t="s">
        <v>483</v>
      </c>
      <c r="C815" s="284"/>
      <c r="D815" s="284"/>
      <c r="E815" s="284"/>
      <c r="F815" s="284"/>
      <c r="G815" s="284"/>
      <c r="H815" s="284"/>
      <c r="I815" s="284"/>
      <c r="J815" s="226"/>
      <c r="K815" s="226"/>
      <c r="L815" s="226"/>
      <c r="M815" s="226"/>
      <c r="N815" s="226"/>
      <c r="P815" s="230">
        <f t="shared" si="360"/>
        <v>0</v>
      </c>
    </row>
    <row r="816" spans="2:43" x14ac:dyDescent="0.2">
      <c r="B816" s="284" t="s">
        <v>484</v>
      </c>
      <c r="C816" s="284"/>
      <c r="D816" s="284"/>
      <c r="E816" s="284"/>
      <c r="F816" s="284"/>
      <c r="G816" s="284"/>
      <c r="H816" s="284"/>
      <c r="I816" s="284"/>
      <c r="J816" s="226"/>
      <c r="K816" s="226"/>
      <c r="L816" s="226"/>
      <c r="M816" s="226"/>
      <c r="N816" s="226"/>
      <c r="P816" s="230">
        <f t="shared" si="360"/>
        <v>0</v>
      </c>
    </row>
    <row r="817" spans="1:16" x14ac:dyDescent="0.2">
      <c r="B817" s="264"/>
      <c r="C817" s="264"/>
      <c r="D817" s="264"/>
      <c r="E817" s="264"/>
      <c r="F817" s="264"/>
      <c r="G817" s="264"/>
      <c r="H817" s="264"/>
      <c r="I817" s="265"/>
      <c r="J817" s="226"/>
      <c r="K817" s="226"/>
      <c r="L817" s="226"/>
      <c r="M817" s="226"/>
      <c r="N817" s="226"/>
      <c r="P817" s="230">
        <f t="shared" si="360"/>
        <v>0</v>
      </c>
    </row>
    <row r="818" spans="1:16" x14ac:dyDescent="0.2">
      <c r="B818" s="225" t="s">
        <v>485</v>
      </c>
      <c r="C818" s="225"/>
      <c r="D818" s="225"/>
      <c r="E818" s="225"/>
      <c r="F818" s="225"/>
      <c r="G818" s="225"/>
      <c r="H818" s="201"/>
      <c r="I818" s="226"/>
      <c r="J818" s="226" t="s">
        <v>486</v>
      </c>
      <c r="K818" s="226"/>
      <c r="L818" s="226"/>
      <c r="M818" s="226"/>
      <c r="N818" s="226"/>
      <c r="P818" s="230">
        <f t="shared" si="360"/>
        <v>0</v>
      </c>
    </row>
    <row r="819" spans="1:16" x14ac:dyDescent="0.2">
      <c r="B819" s="266" t="s">
        <v>524</v>
      </c>
      <c r="C819" s="266"/>
      <c r="D819" s="225"/>
      <c r="E819" s="225"/>
      <c r="F819" s="225"/>
      <c r="G819" s="225"/>
      <c r="H819" s="201"/>
      <c r="I819" s="226"/>
      <c r="J819" s="267"/>
      <c r="K819" s="267"/>
      <c r="L819" s="267"/>
      <c r="M819" s="226"/>
      <c r="N819" s="226"/>
      <c r="P819" s="230">
        <f t="shared" si="360"/>
        <v>0</v>
      </c>
    </row>
    <row r="820" spans="1:16" x14ac:dyDescent="0.2">
      <c r="B820" s="268" t="s">
        <v>487</v>
      </c>
      <c r="C820" s="225"/>
      <c r="D820" s="225"/>
      <c r="E820" s="225"/>
      <c r="F820" s="225"/>
      <c r="G820" s="225"/>
      <c r="H820" s="201"/>
      <c r="I820" s="226"/>
      <c r="J820" s="226" t="s">
        <v>487</v>
      </c>
      <c r="K820" s="226"/>
      <c r="L820" s="226"/>
      <c r="M820" s="226"/>
      <c r="N820" s="226"/>
      <c r="P820" s="230">
        <f t="shared" si="360"/>
        <v>0</v>
      </c>
    </row>
    <row r="821" spans="1:16" x14ac:dyDescent="0.2">
      <c r="B821" s="225"/>
      <c r="C821" s="225"/>
      <c r="D821" s="225"/>
      <c r="E821" s="225"/>
      <c r="F821" s="225"/>
      <c r="G821" s="225"/>
      <c r="H821" s="201"/>
      <c r="I821" s="226"/>
      <c r="J821" s="226"/>
      <c r="K821" s="226"/>
      <c r="L821" s="226"/>
      <c r="M821" s="226"/>
      <c r="N821" s="226"/>
      <c r="P821" s="230">
        <f t="shared" si="360"/>
        <v>0</v>
      </c>
    </row>
    <row r="822" spans="1:16" x14ac:dyDescent="0.2">
      <c r="B822" s="266"/>
      <c r="C822" s="266"/>
      <c r="D822" s="225"/>
      <c r="E822" s="225"/>
      <c r="F822" s="225"/>
      <c r="G822" s="225"/>
      <c r="H822" s="201"/>
      <c r="I822" s="226"/>
      <c r="J822" s="267"/>
      <c r="K822" s="267"/>
      <c r="L822" s="267"/>
      <c r="M822" s="226"/>
      <c r="N822" s="226"/>
      <c r="P822" s="230">
        <f t="shared" si="360"/>
        <v>0</v>
      </c>
    </row>
    <row r="823" spans="1:16" x14ac:dyDescent="0.2">
      <c r="B823" s="269" t="s">
        <v>488</v>
      </c>
      <c r="C823" s="225"/>
      <c r="D823" s="225"/>
      <c r="E823" s="225"/>
      <c r="F823" s="225"/>
      <c r="G823" s="225"/>
      <c r="H823" s="201"/>
      <c r="I823" s="226"/>
      <c r="J823" s="285" t="s">
        <v>488</v>
      </c>
      <c r="K823" s="285"/>
      <c r="L823" s="285"/>
      <c r="M823" s="226"/>
      <c r="N823" s="226"/>
      <c r="P823" s="230">
        <f t="shared" si="360"/>
        <v>0</v>
      </c>
    </row>
    <row r="824" spans="1:16" x14ac:dyDescent="0.2">
      <c r="B824" s="225"/>
      <c r="C824" s="225"/>
      <c r="D824" s="225"/>
      <c r="E824" s="225"/>
      <c r="F824" s="225"/>
      <c r="G824" s="225"/>
      <c r="H824" s="201"/>
      <c r="I824" s="226"/>
      <c r="J824" s="226"/>
      <c r="K824" s="226"/>
      <c r="L824" s="226"/>
      <c r="M824" s="226"/>
      <c r="N824" s="226"/>
      <c r="P824" s="230">
        <f t="shared" si="360"/>
        <v>0</v>
      </c>
    </row>
    <row r="825" spans="1:16" x14ac:dyDescent="0.2">
      <c r="B825" s="264" t="s">
        <v>489</v>
      </c>
      <c r="C825" s="225"/>
      <c r="D825" s="225"/>
      <c r="E825" s="225"/>
      <c r="F825" s="225"/>
      <c r="G825" s="225"/>
      <c r="H825" s="201"/>
      <c r="I825" s="226"/>
      <c r="J825" s="226" t="s">
        <v>489</v>
      </c>
      <c r="K825" s="226"/>
      <c r="L825" s="226"/>
      <c r="M825" s="226"/>
      <c r="N825" s="226"/>
      <c r="P825" s="230">
        <f t="shared" si="360"/>
        <v>0</v>
      </c>
    </row>
    <row r="826" spans="1:16" x14ac:dyDescent="0.2">
      <c r="A826" s="272"/>
      <c r="B826" s="225"/>
      <c r="C826" s="225"/>
      <c r="D826" s="225"/>
      <c r="E826" s="225"/>
      <c r="F826" s="225"/>
      <c r="G826" s="225"/>
      <c r="H826" s="201"/>
      <c r="I826" s="226"/>
      <c r="J826" s="226"/>
      <c r="K826" s="226"/>
      <c r="M826" s="226"/>
      <c r="N826" s="228"/>
    </row>
    <row r="827" spans="1:16" x14ac:dyDescent="0.2">
      <c r="A827" s="260"/>
      <c r="B827" s="225"/>
      <c r="C827" s="225"/>
      <c r="D827" s="225"/>
      <c r="E827" s="225"/>
      <c r="F827" s="225"/>
      <c r="G827" s="225"/>
      <c r="H827" s="201"/>
      <c r="I827" s="226"/>
      <c r="J827" s="226"/>
      <c r="K827" s="226"/>
      <c r="M827" s="226"/>
      <c r="N827" s="228" t="s">
        <v>455</v>
      </c>
      <c r="P827" s="230">
        <f t="shared" ref="P827:P844" si="361">IF(A827&gt;0,1,0)</f>
        <v>0</v>
      </c>
    </row>
    <row r="828" spans="1:16" x14ac:dyDescent="0.2">
      <c r="B828" s="225"/>
      <c r="C828" s="225"/>
      <c r="D828" s="225"/>
      <c r="E828" s="225"/>
      <c r="F828" s="225"/>
      <c r="G828" s="225"/>
      <c r="H828" s="201"/>
      <c r="I828" s="226"/>
      <c r="J828" s="226"/>
      <c r="K828" s="226"/>
      <c r="M828" s="226"/>
      <c r="N828" s="228" t="s">
        <v>456</v>
      </c>
      <c r="P828" s="230">
        <f t="shared" si="361"/>
        <v>0</v>
      </c>
    </row>
    <row r="829" spans="1:16" x14ac:dyDescent="0.2">
      <c r="B829" s="225"/>
      <c r="C829" s="225"/>
      <c r="D829" s="225"/>
      <c r="E829" s="225"/>
      <c r="F829" s="225"/>
      <c r="G829" s="225"/>
      <c r="H829" s="201"/>
      <c r="I829" s="226"/>
      <c r="J829" s="226"/>
      <c r="K829" s="226"/>
      <c r="M829" s="226"/>
      <c r="N829" s="228" t="s">
        <v>457</v>
      </c>
      <c r="P829" s="230">
        <f t="shared" si="361"/>
        <v>0</v>
      </c>
    </row>
    <row r="830" spans="1:16" x14ac:dyDescent="0.2">
      <c r="B830" s="225"/>
      <c r="C830" s="225"/>
      <c r="D830" s="225"/>
      <c r="E830" s="225"/>
      <c r="F830" s="225"/>
      <c r="G830" s="225"/>
      <c r="H830" s="201"/>
      <c r="I830" s="226"/>
      <c r="J830" s="226"/>
      <c r="K830" s="226"/>
      <c r="L830" s="226"/>
      <c r="M830" s="226"/>
      <c r="N830" s="226"/>
      <c r="P830" s="230">
        <f t="shared" si="361"/>
        <v>0</v>
      </c>
    </row>
    <row r="831" spans="1:16" x14ac:dyDescent="0.2">
      <c r="B831" s="225"/>
      <c r="C831" s="286" t="s">
        <v>458</v>
      </c>
      <c r="D831" s="286"/>
      <c r="E831" s="286"/>
      <c r="F831" s="286"/>
      <c r="G831" s="286"/>
      <c r="H831" s="286"/>
      <c r="I831" s="286"/>
      <c r="J831" s="286"/>
      <c r="K831" s="286"/>
      <c r="L831" s="286"/>
      <c r="M831" s="226"/>
      <c r="N831" s="226"/>
      <c r="P831" s="230">
        <f t="shared" si="361"/>
        <v>0</v>
      </c>
    </row>
    <row r="832" spans="1:16" x14ac:dyDescent="0.2">
      <c r="B832" s="225"/>
      <c r="C832" s="286" t="s">
        <v>459</v>
      </c>
      <c r="D832" s="286"/>
      <c r="E832" s="286"/>
      <c r="F832" s="286"/>
      <c r="G832" s="286"/>
      <c r="H832" s="286"/>
      <c r="I832" s="286"/>
      <c r="J832" s="286"/>
      <c r="K832" s="286"/>
      <c r="L832" s="286"/>
      <c r="M832" s="226"/>
      <c r="N832" s="226"/>
      <c r="P832" s="230">
        <f t="shared" si="361"/>
        <v>0</v>
      </c>
    </row>
    <row r="833" spans="1:43" x14ac:dyDescent="0.2">
      <c r="B833" s="225" t="s">
        <v>460</v>
      </c>
      <c r="C833" s="234"/>
      <c r="D833" s="234"/>
      <c r="E833" s="234"/>
      <c r="F833" s="234"/>
      <c r="G833" s="234"/>
      <c r="H833" s="234"/>
      <c r="I833" s="235"/>
      <c r="J833" s="235"/>
      <c r="K833" s="235"/>
      <c r="L833" s="287" t="s">
        <v>461</v>
      </c>
      <c r="M833" s="287"/>
      <c r="N833" s="287"/>
      <c r="P833" s="230">
        <f t="shared" si="361"/>
        <v>0</v>
      </c>
    </row>
    <row r="834" spans="1:43" x14ac:dyDescent="0.2">
      <c r="B834" s="225"/>
      <c r="C834" s="234"/>
      <c r="D834" s="234"/>
      <c r="E834" s="234"/>
      <c r="F834" s="234"/>
      <c r="G834" s="234"/>
      <c r="H834" s="234"/>
      <c r="I834" s="235"/>
      <c r="J834" s="235"/>
      <c r="K834" s="235"/>
      <c r="L834" s="235"/>
      <c r="M834" s="235"/>
      <c r="N834" s="235"/>
      <c r="P834" s="230">
        <f t="shared" si="361"/>
        <v>0</v>
      </c>
    </row>
    <row r="835" spans="1:43" x14ac:dyDescent="0.2">
      <c r="B835" s="225" t="s">
        <v>2038</v>
      </c>
      <c r="C835" s="234"/>
      <c r="D835" s="234"/>
      <c r="E835" s="234"/>
      <c r="F835" s="234"/>
      <c r="G835" s="234"/>
      <c r="H835" s="234"/>
      <c r="I835" s="235"/>
      <c r="J835" s="235"/>
      <c r="K835" s="235"/>
      <c r="L835" s="235"/>
      <c r="M835" s="235"/>
      <c r="N835" s="235"/>
      <c r="P835" s="230">
        <f t="shared" si="361"/>
        <v>0</v>
      </c>
    </row>
    <row r="836" spans="1:43" x14ac:dyDescent="0.2">
      <c r="B836" s="225" t="s">
        <v>462</v>
      </c>
      <c r="C836" s="234"/>
      <c r="D836" s="234"/>
      <c r="E836" s="234"/>
      <c r="F836" s="234"/>
      <c r="G836" s="234"/>
      <c r="H836" s="234"/>
      <c r="I836" s="235"/>
      <c r="J836" s="235"/>
      <c r="K836" s="235"/>
      <c r="L836" s="235"/>
      <c r="M836" s="235"/>
      <c r="N836" s="235"/>
      <c r="P836" s="230">
        <f t="shared" si="361"/>
        <v>0</v>
      </c>
    </row>
    <row r="837" spans="1:43" x14ac:dyDescent="0.2">
      <c r="B837" s="225" t="s">
        <v>2037</v>
      </c>
      <c r="C837" s="234"/>
      <c r="D837" s="234"/>
      <c r="E837" s="234"/>
      <c r="F837" s="234"/>
      <c r="G837" s="234"/>
      <c r="H837" s="234"/>
      <c r="I837" s="235"/>
      <c r="J837" s="235"/>
      <c r="K837" s="235"/>
      <c r="L837" s="235"/>
      <c r="M837" s="235"/>
      <c r="N837" s="235"/>
      <c r="P837" s="230">
        <f t="shared" si="361"/>
        <v>0</v>
      </c>
    </row>
    <row r="838" spans="1:43" x14ac:dyDescent="0.2">
      <c r="B838" s="225" t="s">
        <v>2052</v>
      </c>
      <c r="C838" s="234"/>
      <c r="D838" s="234"/>
      <c r="E838" s="234"/>
      <c r="F838" s="234"/>
      <c r="G838" s="234"/>
      <c r="H838" s="234"/>
      <c r="I838" s="235"/>
      <c r="J838" s="235"/>
      <c r="K838" s="235"/>
      <c r="L838" s="235"/>
      <c r="M838" s="235"/>
      <c r="N838" s="235"/>
      <c r="P838" s="230">
        <f t="shared" si="361"/>
        <v>0</v>
      </c>
    </row>
    <row r="839" spans="1:43" x14ac:dyDescent="0.2">
      <c r="B839" s="225"/>
      <c r="C839" s="225"/>
      <c r="D839" s="225"/>
      <c r="E839" s="225"/>
      <c r="F839" s="225"/>
      <c r="G839" s="225"/>
      <c r="H839" s="201"/>
      <c r="I839" s="226"/>
      <c r="J839" s="226"/>
      <c r="K839" s="226"/>
      <c r="L839" s="226"/>
      <c r="M839" s="226"/>
      <c r="N839" s="226"/>
      <c r="P839" s="230">
        <f t="shared" si="361"/>
        <v>0</v>
      </c>
    </row>
    <row r="840" spans="1:43" x14ac:dyDescent="0.2">
      <c r="B840" s="288" t="s">
        <v>106</v>
      </c>
      <c r="C840" s="290" t="s">
        <v>463</v>
      </c>
      <c r="D840" s="288" t="s">
        <v>464</v>
      </c>
      <c r="E840" s="288" t="s">
        <v>465</v>
      </c>
      <c r="F840" s="288" t="s">
        <v>490</v>
      </c>
      <c r="G840" s="288" t="s">
        <v>466</v>
      </c>
      <c r="H840" s="292" t="s">
        <v>8</v>
      </c>
      <c r="I840" s="294" t="s">
        <v>467</v>
      </c>
      <c r="J840" s="295"/>
      <c r="K840" s="295"/>
      <c r="L840" s="296"/>
      <c r="M840" s="297" t="s">
        <v>468</v>
      </c>
      <c r="N840" s="299" t="s">
        <v>469</v>
      </c>
      <c r="P840" s="230">
        <f t="shared" si="361"/>
        <v>0</v>
      </c>
    </row>
    <row r="841" spans="1:43" x14ac:dyDescent="0.2">
      <c r="B841" s="289"/>
      <c r="C841" s="291"/>
      <c r="D841" s="289"/>
      <c r="E841" s="289"/>
      <c r="F841" s="289"/>
      <c r="G841" s="289"/>
      <c r="H841" s="293"/>
      <c r="I841" s="236" t="s">
        <v>470</v>
      </c>
      <c r="J841" s="236" t="s">
        <v>471</v>
      </c>
      <c r="K841" s="236" t="s">
        <v>472</v>
      </c>
      <c r="L841" s="236" t="s">
        <v>473</v>
      </c>
      <c r="M841" s="298"/>
      <c r="N841" s="300"/>
      <c r="P841" s="230">
        <f t="shared" si="361"/>
        <v>0</v>
      </c>
    </row>
    <row r="842" spans="1:43" x14ac:dyDescent="0.2">
      <c r="A842" s="224" t="str">
        <f>CONCATENATE("Лот"," ",A843)</f>
        <v>Лот 16</v>
      </c>
      <c r="B842" s="273" t="s">
        <v>2087</v>
      </c>
      <c r="C842" s="274"/>
      <c r="D842" s="274"/>
      <c r="E842" s="274"/>
      <c r="F842" s="274"/>
      <c r="G842" s="275"/>
      <c r="H842" s="238" t="s">
        <v>17</v>
      </c>
      <c r="I842" s="270">
        <f ca="1">ROUND(VLOOKUP($H842,$AJ$4:$AN$13,2,0)*$Q844*1.51,2)</f>
        <v>120.15</v>
      </c>
      <c r="J842" s="270">
        <f ca="1">ROUND(VLOOKUP($H842,$AJ$4:$AN$13,3,0)*$Q844*1.51,2)</f>
        <v>85.62</v>
      </c>
      <c r="K842" s="270">
        <f ca="1">ROUND(VLOOKUP($H842,$AJ$4:$AN$13,4,0)*$Q844*1.51,2)</f>
        <v>43.38</v>
      </c>
      <c r="L842" s="270"/>
      <c r="M842" s="270">
        <f ca="1">ROUND(VLOOKUP($H842,$AJ$4:$AN$13,5,0)*$Q844*1.51,2)</f>
        <v>6.85</v>
      </c>
      <c r="N842" s="270"/>
      <c r="P842" s="230">
        <f t="shared" si="361"/>
        <v>1</v>
      </c>
    </row>
    <row r="843" spans="1:43" x14ac:dyDescent="0.2">
      <c r="A843" s="224">
        <f>A788+1</f>
        <v>16</v>
      </c>
      <c r="B843" s="276"/>
      <c r="C843" s="277"/>
      <c r="D843" s="277"/>
      <c r="E843" s="277"/>
      <c r="F843" s="277"/>
      <c r="G843" s="278"/>
      <c r="H843" s="238" t="s">
        <v>25</v>
      </c>
      <c r="I843" s="270">
        <f ca="1">ROUND(VLOOKUP($H843,$AJ$4:$AN$13,2,0)*$Q844*1.51,2)</f>
        <v>898.69</v>
      </c>
      <c r="J843" s="270">
        <f ca="1">ROUND(VLOOKUP($H843,$AJ$4:$AN$13,3,0)*$Q844*1.51,2)</f>
        <v>642.13</v>
      </c>
      <c r="K843" s="270">
        <f ca="1">ROUND(VLOOKUP($H843,$AJ$4:$AN$13,4,0)*$Q844*1.51,2)</f>
        <v>323.06</v>
      </c>
      <c r="L843" s="270"/>
      <c r="M843" s="270">
        <f ca="1">ROUND(VLOOKUP($H843,$AJ$4:$AN$13,5,0)*$Q844*1.51,2)</f>
        <v>27.97</v>
      </c>
      <c r="N843" s="270"/>
      <c r="P843" s="230">
        <f t="shared" si="361"/>
        <v>1</v>
      </c>
      <c r="Q843" s="240" t="s">
        <v>2045</v>
      </c>
      <c r="R843" s="240" t="s">
        <v>2046</v>
      </c>
    </row>
    <row r="844" spans="1:43" x14ac:dyDescent="0.2">
      <c r="B844" s="276"/>
      <c r="C844" s="277"/>
      <c r="D844" s="277"/>
      <c r="E844" s="277"/>
      <c r="F844" s="277"/>
      <c r="G844" s="278"/>
      <c r="H844" s="238" t="s">
        <v>19</v>
      </c>
      <c r="I844" s="270">
        <f ca="1">ROUND(VLOOKUP($H844,$AJ$4:$AN$13,2,0)*$Q844*1.51,2)</f>
        <v>71.349999999999994</v>
      </c>
      <c r="J844" s="270">
        <f ca="1">ROUND(VLOOKUP($H844,$AJ$4:$AN$13,3,0)*$Q844*1.51,2)</f>
        <v>51.94</v>
      </c>
      <c r="K844" s="270">
        <f ca="1">ROUND(VLOOKUP($H844,$AJ$4:$AN$13,4,0)*$Q844*1.51,2)</f>
        <v>26.54</v>
      </c>
      <c r="L844" s="270"/>
      <c r="M844" s="270">
        <f ca="1">ROUND(VLOOKUP($H844,$AJ$4:$AN$13,5,0)*$Q844*1.51,2)</f>
        <v>1.43</v>
      </c>
      <c r="N844" s="270"/>
      <c r="P844" s="230">
        <f t="shared" si="361"/>
        <v>0</v>
      </c>
      <c r="Q844" s="123">
        <f ca="1">IFERROR(IF(R844="","",IF(OR(R844&lt;100,R844=100),0.9,IF(OR(AND(R844&gt;100,R844&lt;150),R844=150),1,IF(R844&gt;150,1.05,"")))),"0")</f>
        <v>1.05</v>
      </c>
      <c r="R844" s="123">
        <f ca="1">N860/G848</f>
        <v>176.76111111111109</v>
      </c>
    </row>
    <row r="845" spans="1:43" x14ac:dyDescent="0.2">
      <c r="B845" s="276"/>
      <c r="C845" s="277"/>
      <c r="D845" s="277"/>
      <c r="E845" s="277"/>
      <c r="F845" s="277"/>
      <c r="G845" s="278"/>
      <c r="H845" s="238" t="s">
        <v>268</v>
      </c>
      <c r="I845" s="270">
        <f ca="1">ROUND(VLOOKUP($H845,$AJ$4:$AN$13,2,0)*$Q844*1.51,2)</f>
        <v>898.69</v>
      </c>
      <c r="J845" s="270">
        <f ca="1">ROUND(VLOOKUP($H845,$AJ$4:$AN$13,3,0)*$Q844*1.51,2)</f>
        <v>642.13</v>
      </c>
      <c r="K845" s="270">
        <f ca="1">ROUND(VLOOKUP($H845,$AJ$4:$AN$13,4,0)*$Q844*1.51,2)</f>
        <v>323.06</v>
      </c>
      <c r="L845" s="270"/>
      <c r="M845" s="270">
        <f ca="1">ROUND(VLOOKUP($H845,$AJ$4:$AN$13,5,0)*$Q844*1.51,2)</f>
        <v>27.97</v>
      </c>
      <c r="N845" s="270"/>
    </row>
    <row r="846" spans="1:43" x14ac:dyDescent="0.2">
      <c r="B846" s="276"/>
      <c r="C846" s="277"/>
      <c r="D846" s="277"/>
      <c r="E846" s="277"/>
      <c r="F846" s="277"/>
      <c r="G846" s="278"/>
      <c r="H846" s="238" t="s">
        <v>40</v>
      </c>
      <c r="I846" s="270">
        <f ca="1">ROUND(VLOOKUP($H846,$AJ$4:$AN$13,2,0)*$Q844*1.51,2)</f>
        <v>71.349999999999994</v>
      </c>
      <c r="J846" s="270">
        <f ca="1">ROUND(VLOOKUP($H846,$AJ$4:$AN$13,3,0)*$Q844*1.51,2)</f>
        <v>51.94</v>
      </c>
      <c r="K846" s="270">
        <f ca="1">ROUND(VLOOKUP($H846,$AJ$4:$AN$13,4,0)*$Q844*1.51,2)</f>
        <v>26.54</v>
      </c>
      <c r="L846" s="270"/>
      <c r="M846" s="270">
        <f ca="1">ROUND(VLOOKUP($H846,$AJ$4:$AN$13,5,0)*$Q844*1.51,2)</f>
        <v>1.43</v>
      </c>
      <c r="N846" s="270"/>
      <c r="P846" s="230">
        <f t="shared" ref="P846:P859" si="362">IF(A846&gt;0,1,0)</f>
        <v>0</v>
      </c>
    </row>
    <row r="847" spans="1:43" x14ac:dyDescent="0.2">
      <c r="B847" s="279"/>
      <c r="C847" s="280"/>
      <c r="D847" s="280"/>
      <c r="E847" s="280"/>
      <c r="F847" s="280"/>
      <c r="G847" s="281"/>
      <c r="H847" s="238" t="s">
        <v>18</v>
      </c>
      <c r="I847" s="270">
        <f ca="1">ROUND(VLOOKUP($H847,$AJ$4:$AN$13,2,0)*$Q844*1.51,2)</f>
        <v>22.83</v>
      </c>
      <c r="J847" s="270">
        <f ca="1">ROUND(VLOOKUP($H847,$AJ$4:$AN$13,3,0)*$Q844*1.51,2)</f>
        <v>17.41</v>
      </c>
      <c r="K847" s="270">
        <f ca="1">ROUND(VLOOKUP($H847,$AJ$4:$AN$13,4,0)*$Q844*1.51,2)</f>
        <v>8.85</v>
      </c>
      <c r="L847" s="270"/>
      <c r="M847" s="270">
        <f ca="1">ROUND(VLOOKUP($H847,$AJ$4:$AN$13,5,0)*$Q844*1.51*1,2)</f>
        <v>0.56999999999999995</v>
      </c>
      <c r="N847" s="270"/>
      <c r="P847" s="230">
        <f t="shared" si="362"/>
        <v>0</v>
      </c>
      <c r="AP847" s="241" t="s">
        <v>2053</v>
      </c>
      <c r="AQ847" s="242"/>
    </row>
    <row r="848" spans="1:43" x14ac:dyDescent="0.2">
      <c r="A848" s="224">
        <f>A793+37</f>
        <v>555</v>
      </c>
      <c r="B848" s="243" t="str">
        <f ca="1">OFFSET(ЛОТЫ!$L$5,A848,0,1,1)</f>
        <v>Восходское</v>
      </c>
      <c r="C848" s="244" t="s">
        <v>474</v>
      </c>
      <c r="D848" s="243">
        <f ca="1">OFFSET(ЛОТЫ!$M$5,A848,0,1,1)</f>
        <v>41</v>
      </c>
      <c r="E848" s="243">
        <f ca="1">OFFSET(ЛОТЫ!$N$5,A848,0,1,1)</f>
        <v>7</v>
      </c>
      <c r="F848" s="243">
        <f ca="1">OFFSET(ЛОТЫ!$O$5,A848,0,1,1)</f>
        <v>1</v>
      </c>
      <c r="G848" s="271">
        <f ca="1">IFERROR(INDEX('Ведомость расчета мин. платы'!$G$10:$AC$214,MATCH(CONCATENATE(B848,"/",D848,"/",E848,"/",F848),'Ведомость расчета мин. платы'!$AC$10:$AC$214,0),1),"")</f>
        <v>7.2</v>
      </c>
      <c r="H848" s="246" t="s">
        <v>17</v>
      </c>
      <c r="I848" s="247">
        <f ca="1">IFERROR(INDEX('Ведомость расчета мин. платы'!$J$10:$AE$214,MATCH(CONCATENATE(РАСЧЕТ!B848,"/",РАСЧЕТ!D848,"/",РАСЧЕТ!E848,"/",F848,"/",H848),'Ведомость расчета мин. платы'!$AE$10:$AE$214,0),2),"")</f>
        <v>16.8</v>
      </c>
      <c r="J848" s="247">
        <f ca="1">IFERROR(INDEX('Ведомость расчета мин. платы'!$J$10:$AE$214,MATCH(CONCATENATE(РАСЧЕТ!B848,"/",РАСЧЕТ!D848,"/",РАСЧЕТ!E848,"/",F848,"/",H848),'Ведомость расчета мин. платы'!$AE$10:$AE$214,0),3),"")</f>
        <v>34.56</v>
      </c>
      <c r="K848" s="247">
        <f ca="1">IFERROR(INDEX('Ведомость расчета мин. платы'!$J$10:$AE$214,MATCH(CONCATENATE(РАСЧЕТ!B848,"/",РАСЧЕТ!D848,"/",РАСЧЕТ!E848,"/",F848,"/",H848),'Ведомость расчета мин. платы'!$AE$10:$AE$214,0),4),"")</f>
        <v>7.2</v>
      </c>
      <c r="L848" s="248">
        <f t="shared" ref="L848:L860" ca="1" si="363">IFERROR(SUM(I848:K848),"")</f>
        <v>58.56</v>
      </c>
      <c r="M848" s="214">
        <f ca="1">IFERROR(INDEX('Ведомость расчета мин. платы'!$J$10:$AE$214,MATCH(CONCATENATE(РАСЧЕТ!B848,"/",РАСЧЕТ!D848,"/",РАСЧЕТ!E848,"/",F848,"/",H848),'Ведомость расчета мин. платы'!$AE$10:$AE$214,0),6),"")</f>
        <v>43.2</v>
      </c>
      <c r="N848" s="214">
        <f t="shared" ref="N848:N860" ca="1" si="364">IFERROR(SUM(L848:M848),"")</f>
        <v>101.76</v>
      </c>
      <c r="O848" s="229">
        <f>IF(H848="стоимость","",1)</f>
        <v>1</v>
      </c>
      <c r="P848" s="230">
        <f t="shared" si="362"/>
        <v>1</v>
      </c>
      <c r="AP848" s="242"/>
      <c r="AQ848" s="242"/>
    </row>
    <row r="849" spans="2:43" x14ac:dyDescent="0.2">
      <c r="B849" s="249"/>
      <c r="C849" s="249"/>
      <c r="D849" s="249"/>
      <c r="E849" s="249"/>
      <c r="F849" s="249"/>
      <c r="G849" s="249"/>
      <c r="H849" s="250" t="s">
        <v>475</v>
      </c>
      <c r="I849" s="251">
        <f ca="1">IFERROR(ROUND(I848*I842,2),"")</f>
        <v>2018.52</v>
      </c>
      <c r="J849" s="251">
        <f t="shared" ref="J849" ca="1" si="365">IFERROR(ROUND(J848*J842,2),"")</f>
        <v>2959.03</v>
      </c>
      <c r="K849" s="251">
        <f t="shared" ref="K849" ca="1" si="366">IFERROR(ROUND(K848*K842,2),"")</f>
        <v>312.33999999999997</v>
      </c>
      <c r="L849" s="251">
        <f t="shared" ca="1" si="363"/>
        <v>5289.89</v>
      </c>
      <c r="M849" s="251">
        <f t="shared" ref="M849" ca="1" si="367">IFERROR(ROUND(M848*M842,2),"")</f>
        <v>295.92</v>
      </c>
      <c r="N849" s="252">
        <f t="shared" ca="1" si="364"/>
        <v>5585.81</v>
      </c>
      <c r="O849" s="229" t="str">
        <f t="shared" ref="O849:O859" si="368">IF(H849="стоимость","",1)</f>
        <v/>
      </c>
      <c r="P849" s="230">
        <f t="shared" si="362"/>
        <v>0</v>
      </c>
      <c r="AP849" s="242">
        <f ca="1">SUMIFS('Ведомость расчета мин. платы'!$S$10:$S$209,'Ведомость расчета мин. платы'!$AE$10:$AE$209,CONCATENATE(B848,"/",D848,"/",E848,"/",F848,"/",H848))</f>
        <v>5585.81</v>
      </c>
      <c r="AQ849" s="253">
        <f t="shared" ref="AQ849" ca="1" si="369">AP849-N849</f>
        <v>0</v>
      </c>
    </row>
    <row r="850" spans="2:43" x14ac:dyDescent="0.2">
      <c r="B850" s="249"/>
      <c r="C850" s="249"/>
      <c r="D850" s="249"/>
      <c r="E850" s="249"/>
      <c r="F850" s="249"/>
      <c r="G850" s="249"/>
      <c r="H850" s="246" t="s">
        <v>25</v>
      </c>
      <c r="I850" s="247" t="str">
        <f ca="1">IFERROR(INDEX('Ведомость расчета мин. платы'!$J$10:$AE$214,MATCH(CONCATENATE(РАСЧЕТ!B848,"/",РАСЧЕТ!D848,"/",РАСЧЕТ!E848,"/",F848,"/",H850),'Ведомость расчета мин. платы'!$AE$10:$AE$214,0),2),"")</f>
        <v/>
      </c>
      <c r="J850" s="247" t="str">
        <f ca="1">IFERROR(INDEX('Ведомость расчета мин. платы'!$J$10:$AE$214,MATCH(CONCATENATE(РАСЧЕТ!B848,"/",РАСЧЕТ!D848,"/",РАСЧЕТ!E848,"/",F848,"/",H850),'Ведомость расчета мин. платы'!$AE$10:$AE$214,0),3),"")</f>
        <v/>
      </c>
      <c r="K850" s="247" t="str">
        <f ca="1">IFERROR(INDEX('Ведомость расчета мин. платы'!$J$10:$AE$214,MATCH(CONCATENATE(РАСЧЕТ!B848,"/",РАСЧЕТ!D848,"/",РАСЧЕТ!E848,"/",F848,"/",H850),'Ведомость расчета мин. платы'!$AE$10:$AE$214,0),4),"")</f>
        <v/>
      </c>
      <c r="L850" s="248">
        <f t="shared" ca="1" si="363"/>
        <v>0</v>
      </c>
      <c r="M850" s="214" t="str">
        <f ca="1">IFERROR(INDEX('Ведомость расчета мин. платы'!$J$10:$AE$214,MATCH(CONCATENATE(РАСЧЕТ!B848,"/",РАСЧЕТ!D848,"/",РАСЧЕТ!E848,"/",F848,"/",H850),'Ведомость расчета мин. платы'!$AE$10:$AE$214,0),6),"")</f>
        <v/>
      </c>
      <c r="N850" s="214">
        <f t="shared" ca="1" si="364"/>
        <v>0</v>
      </c>
      <c r="O850" s="229">
        <f t="shared" si="368"/>
        <v>1</v>
      </c>
      <c r="P850" s="230">
        <f t="shared" si="362"/>
        <v>0</v>
      </c>
      <c r="AP850" s="242"/>
      <c r="AQ850" s="253"/>
    </row>
    <row r="851" spans="2:43" x14ac:dyDescent="0.2">
      <c r="B851" s="249"/>
      <c r="C851" s="249"/>
      <c r="D851" s="249"/>
      <c r="E851" s="249"/>
      <c r="F851" s="249"/>
      <c r="G851" s="249"/>
      <c r="H851" s="250" t="s">
        <v>475</v>
      </c>
      <c r="I851" s="251" t="str">
        <f ca="1">IFERROR(ROUND(I850*I843,2),"")</f>
        <v/>
      </c>
      <c r="J851" s="251" t="str">
        <f t="shared" ref="J851" ca="1" si="370">IFERROR(ROUND(J850*J843,2),"")</f>
        <v/>
      </c>
      <c r="K851" s="251" t="str">
        <f t="shared" ref="K851" ca="1" si="371">IFERROR(ROUND(K850*K843,2),"")</f>
        <v/>
      </c>
      <c r="L851" s="251">
        <f t="shared" ca="1" si="363"/>
        <v>0</v>
      </c>
      <c r="M851" s="251" t="str">
        <f t="shared" ref="M851" ca="1" si="372">IFERROR(ROUND(M850*M843,2),"")</f>
        <v/>
      </c>
      <c r="N851" s="252">
        <f t="shared" ca="1" si="364"/>
        <v>0</v>
      </c>
      <c r="O851" s="229" t="str">
        <f t="shared" si="368"/>
        <v/>
      </c>
      <c r="P851" s="230">
        <f t="shared" si="362"/>
        <v>0</v>
      </c>
      <c r="AP851" s="242">
        <f ca="1">SUMIFS('Ведомость расчета мин. платы'!$S$10:$S$209,'Ведомость расчета мин. платы'!$AE$10:$AE$209,CONCATENATE(B848,"/",D848,"/",E848,"/",F848,"/",H850))</f>
        <v>0</v>
      </c>
      <c r="AQ851" s="253">
        <f t="shared" ref="AQ851" ca="1" si="373">AP851-N851</f>
        <v>0</v>
      </c>
    </row>
    <row r="852" spans="2:43" x14ac:dyDescent="0.2">
      <c r="B852" s="249"/>
      <c r="C852" s="249"/>
      <c r="D852" s="249"/>
      <c r="E852" s="249"/>
      <c r="F852" s="249"/>
      <c r="G852" s="249"/>
      <c r="H852" s="205" t="s">
        <v>19</v>
      </c>
      <c r="I852" s="248">
        <f ca="1">IFERROR(INDEX('Ведомость расчета мин. платы'!$J$10:$AE$214,MATCH(CONCATENATE(РАСЧЕТ!B848,"/",РАСЧЕТ!D848,"/",РАСЧЕТ!E848,"/",F848,"/",H852),'Ведомость расчета мин. платы'!$AE$10:$AE$214,0),2),"")</f>
        <v>0</v>
      </c>
      <c r="J852" s="248">
        <f ca="1">IFERROR(INDEX('Ведомость расчета мин. платы'!$J$10:$AE$214,MATCH(CONCATENATE(РАСЧЕТ!B848,"/",РАСЧЕТ!D848,"/",РАСЧЕТ!E848,"/",F848,"/",H852),'Ведомость расчета мин. платы'!$AE$10:$AE$214,0),3),"")</f>
        <v>9.7899999999999991</v>
      </c>
      <c r="K852" s="248">
        <f ca="1">IFERROR(INDEX('Ведомость расчета мин. платы'!$J$10:$AE$214,MATCH(CONCATENATE(РАСЧЕТ!B848,"/",РАСЧЕТ!D848,"/",РАСЧЕТ!E848,"/",F848,"/",H852),'Ведомость расчета мин. платы'!$AE$10:$AE$214,0),4),"")</f>
        <v>7.68</v>
      </c>
      <c r="L852" s="248">
        <f t="shared" ca="1" si="363"/>
        <v>17.47</v>
      </c>
      <c r="M852" s="248">
        <f ca="1">IFERROR(INDEX('Ведомость расчета мин. платы'!$J$10:$AE$214,MATCH(CONCATENATE(РАСЧЕТ!B848,"/",РАСЧЕТ!D848,"/",РАСЧЕТ!E848,"/",F848,"/",H852),'Ведомость расчета мин. платы'!$AE$10:$AE$214,0),6),"")</f>
        <v>19.21</v>
      </c>
      <c r="N852" s="214">
        <f t="shared" ca="1" si="364"/>
        <v>36.68</v>
      </c>
      <c r="O852" s="229">
        <f t="shared" si="368"/>
        <v>1</v>
      </c>
      <c r="P852" s="230">
        <f t="shared" si="362"/>
        <v>0</v>
      </c>
      <c r="AP852" s="242"/>
      <c r="AQ852" s="253"/>
    </row>
    <row r="853" spans="2:43" x14ac:dyDescent="0.2">
      <c r="B853" s="249"/>
      <c r="C853" s="249"/>
      <c r="D853" s="249"/>
      <c r="E853" s="249"/>
      <c r="F853" s="249"/>
      <c r="G853" s="249"/>
      <c r="H853" s="250" t="s">
        <v>475</v>
      </c>
      <c r="I853" s="251">
        <f ca="1">IFERROR(ROUND(I852*I844,2),"")</f>
        <v>0</v>
      </c>
      <c r="J853" s="251">
        <f t="shared" ref="J853" ca="1" si="374">IFERROR(ROUND(J852*J844,2),"")</f>
        <v>508.49</v>
      </c>
      <c r="K853" s="251">
        <f t="shared" ref="K853" ca="1" si="375">IFERROR(ROUND(K852*K844,2),"")</f>
        <v>203.83</v>
      </c>
      <c r="L853" s="251">
        <f t="shared" ca="1" si="363"/>
        <v>712.32</v>
      </c>
      <c r="M853" s="251">
        <f t="shared" ref="M853" ca="1" si="376">IFERROR(ROUND(M852*M844,2),"")</f>
        <v>27.47</v>
      </c>
      <c r="N853" s="252">
        <f t="shared" ca="1" si="364"/>
        <v>739.79000000000008</v>
      </c>
      <c r="O853" s="229" t="str">
        <f t="shared" si="368"/>
        <v/>
      </c>
      <c r="P853" s="230">
        <f t="shared" si="362"/>
        <v>0</v>
      </c>
      <c r="AP853" s="242">
        <f ca="1">SUMIFS('Ведомость расчета мин. платы'!$S$10:$S$209,'Ведомость расчета мин. платы'!$AE$10:$AE$209,CONCATENATE(B848,"/",D848,"/",E848,"/",F848,"/",H852))</f>
        <v>739.79</v>
      </c>
      <c r="AQ853" s="253">
        <f t="shared" ref="AQ853" ca="1" si="377">AP853-N853</f>
        <v>0</v>
      </c>
    </row>
    <row r="854" spans="2:43" x14ac:dyDescent="0.2">
      <c r="B854" s="249"/>
      <c r="C854" s="249"/>
      <c r="D854" s="249"/>
      <c r="E854" s="249"/>
      <c r="F854" s="249"/>
      <c r="G854" s="249"/>
      <c r="H854" s="205" t="s">
        <v>268</v>
      </c>
      <c r="I854" s="248" t="str">
        <f ca="1">IFERROR(INDEX('Ведомость расчета мин. платы'!$J$10:$AE$214,MATCH(CONCATENATE(РАСЧЕТ!B848,"/",РАСЧЕТ!D848,"/",РАСЧЕТ!E848,"/",F848,"/",H854),'Ведомость расчета мин. платы'!$AE$10:$AE$214,0),2),"")</f>
        <v/>
      </c>
      <c r="J854" s="248" t="str">
        <f ca="1">IFERROR(INDEX('Ведомость расчета мин. платы'!$J$10:$AE$214,MATCH(CONCATENATE(РАСЧЕТ!B848,"/",РАСЧЕТ!D848,"/",РАСЧЕТ!E848,"/",F848,"/",H854),'Ведомость расчета мин. платы'!$AE$10:$AE$214,0),3),"")</f>
        <v/>
      </c>
      <c r="K854" s="248" t="str">
        <f ca="1">IFERROR(INDEX('Ведомость расчета мин. платы'!$J$10:$AE$214,MATCH(CONCATENATE(РАСЧЕТ!B848,"/",РАСЧЕТ!D848,"/",РАСЧЕТ!E848,"/",F848,"/",H854),'Ведомость расчета мин. платы'!$AE$10:$AE$214,0),4),"")</f>
        <v/>
      </c>
      <c r="L854" s="248">
        <f t="shared" ca="1" si="363"/>
        <v>0</v>
      </c>
      <c r="M854" s="248" t="str">
        <f ca="1">IFERROR(INDEX('Ведомость расчета мин. платы'!$J$10:$AE$214,MATCH(CONCATENATE(РАСЧЕТ!B848,"/",РАСЧЕТ!D848,"/",РАСЧЕТ!E848,"/",F848,"/",H854),'Ведомость расчета мин. платы'!$AE$10:$AE$214,0),6),"")</f>
        <v/>
      </c>
      <c r="N854" s="214">
        <f t="shared" ca="1" si="364"/>
        <v>0</v>
      </c>
      <c r="O854" s="229">
        <f t="shared" si="368"/>
        <v>1</v>
      </c>
      <c r="P854" s="230">
        <f t="shared" si="362"/>
        <v>0</v>
      </c>
      <c r="AP854" s="242"/>
      <c r="AQ854" s="253"/>
    </row>
    <row r="855" spans="2:43" x14ac:dyDescent="0.2">
      <c r="B855" s="249"/>
      <c r="C855" s="249"/>
      <c r="D855" s="249"/>
      <c r="E855" s="249"/>
      <c r="F855" s="249"/>
      <c r="G855" s="249"/>
      <c r="H855" s="250" t="s">
        <v>475</v>
      </c>
      <c r="I855" s="251" t="str">
        <f ca="1">IFERROR(ROUND(I854*I847,2),"")</f>
        <v/>
      </c>
      <c r="J855" s="251" t="str">
        <f ca="1">IFERROR(ROUND(J854*J845,2),"")</f>
        <v/>
      </c>
      <c r="K855" s="251" t="str">
        <f ca="1">IFERROR(ROUND(K854*K845,2),"")</f>
        <v/>
      </c>
      <c r="L855" s="251">
        <f t="shared" ca="1" si="363"/>
        <v>0</v>
      </c>
      <c r="M855" s="251" t="str">
        <f ca="1">IFERROR(ROUND(M854*M845,2),"")</f>
        <v/>
      </c>
      <c r="N855" s="252">
        <f t="shared" ca="1" si="364"/>
        <v>0</v>
      </c>
      <c r="O855" s="229" t="str">
        <f t="shared" si="368"/>
        <v/>
      </c>
      <c r="P855" s="230">
        <f t="shared" si="362"/>
        <v>0</v>
      </c>
      <c r="AP855" s="242">
        <f ca="1">SUMIFS('Ведомость расчета мин. платы'!$S$10:$S$209,'Ведомость расчета мин. платы'!$AE$10:$AE$209,CONCATENATE(B848,"/",D848,"/",E848,"/",F848,"/",H854))</f>
        <v>0</v>
      </c>
      <c r="AQ855" s="253">
        <f t="shared" ref="AQ855" ca="1" si="378">AP855-N855</f>
        <v>0</v>
      </c>
    </row>
    <row r="856" spans="2:43" x14ac:dyDescent="0.2">
      <c r="B856" s="249"/>
      <c r="C856" s="249"/>
      <c r="D856" s="249"/>
      <c r="E856" s="249"/>
      <c r="F856" s="249"/>
      <c r="G856" s="249"/>
      <c r="H856" s="205" t="s">
        <v>40</v>
      </c>
      <c r="I856" s="248" t="str">
        <f ca="1">IFERROR(INDEX('Ведомость расчета мин. платы'!$J$10:$AE$214,MATCH(CONCATENATE(РАСЧЕТ!B848,"/",РАСЧЕТ!D848,"/",РАСЧЕТ!E848,"/",F848,"/",H856),'Ведомость расчета мин. платы'!$AE$10:$AE$214,0),2),"")</f>
        <v/>
      </c>
      <c r="J856" s="248" t="str">
        <f ca="1">IFERROR(INDEX('Ведомость расчета мин. платы'!$J$10:$AE$214,MATCH(CONCATENATE(РАСЧЕТ!B848,"/",РАСЧЕТ!D848,"/",РАСЧЕТ!E848,"/",F848,"/",H856),'Ведомость расчета мин. платы'!$AE$10:$AE$214,0),3),"")</f>
        <v/>
      </c>
      <c r="K856" s="248" t="str">
        <f ca="1">IFERROR(INDEX('Ведомость расчета мин. платы'!$J$10:$AE$214,MATCH(CONCATENATE(РАСЧЕТ!B848,"/",РАСЧЕТ!D848,"/",РАСЧЕТ!E848,"/",F848,"/",H856),'Ведомость расчета мин. платы'!$AE$10:$AE$214,0),4),"")</f>
        <v/>
      </c>
      <c r="L856" s="248">
        <f t="shared" ca="1" si="363"/>
        <v>0</v>
      </c>
      <c r="M856" s="248" t="str">
        <f ca="1">IFERROR(INDEX('Ведомость расчета мин. платы'!$J$10:$AE$214,MATCH(CONCATENATE(РАСЧЕТ!B848,"/",РАСЧЕТ!D848,"/",РАСЧЕТ!E848,"/",F848,"/",H856),'Ведомость расчета мин. платы'!$AE$10:$AE$214,0),6),"")</f>
        <v/>
      </c>
      <c r="N856" s="214">
        <f t="shared" ca="1" si="364"/>
        <v>0</v>
      </c>
      <c r="O856" s="229">
        <f t="shared" si="368"/>
        <v>1</v>
      </c>
      <c r="P856" s="230">
        <f t="shared" si="362"/>
        <v>0</v>
      </c>
      <c r="AP856" s="242"/>
      <c r="AQ856" s="253"/>
    </row>
    <row r="857" spans="2:43" x14ac:dyDescent="0.2">
      <c r="B857" s="249"/>
      <c r="C857" s="249"/>
      <c r="D857" s="249"/>
      <c r="E857" s="249"/>
      <c r="F857" s="249"/>
      <c r="G857" s="249"/>
      <c r="H857" s="250" t="s">
        <v>475</v>
      </c>
      <c r="I857" s="251" t="str">
        <f ca="1">IFERROR(ROUND(I856*I846,2),"")</f>
        <v/>
      </c>
      <c r="J857" s="251" t="str">
        <f t="shared" ref="J857" ca="1" si="379">IFERROR(ROUND(J856*J846,2),"")</f>
        <v/>
      </c>
      <c r="K857" s="251" t="str">
        <f t="shared" ref="K857" ca="1" si="380">IFERROR(ROUND(K856*K846,2),"")</f>
        <v/>
      </c>
      <c r="L857" s="251">
        <f t="shared" ca="1" si="363"/>
        <v>0</v>
      </c>
      <c r="M857" s="251" t="str">
        <f t="shared" ref="M857" ca="1" si="381">IFERROR(ROUND(M856*M846,2),"")</f>
        <v/>
      </c>
      <c r="N857" s="252">
        <f t="shared" ca="1" si="364"/>
        <v>0</v>
      </c>
      <c r="O857" s="229" t="str">
        <f t="shared" si="368"/>
        <v/>
      </c>
      <c r="P857" s="230">
        <f t="shared" si="362"/>
        <v>0</v>
      </c>
      <c r="AP857" s="242">
        <f ca="1">SUMIFS('Ведомость расчета мин. платы'!$S$10:$S$209,'Ведомость расчета мин. платы'!$AE$10:$AE$209,CONCATENATE(B848,"/",D848,"/",E848,"/",F848,"/",H856))</f>
        <v>0</v>
      </c>
      <c r="AQ857" s="253">
        <f t="shared" ref="AQ857" ca="1" si="382">AP857-N857</f>
        <v>0</v>
      </c>
    </row>
    <row r="858" spans="2:43" x14ac:dyDescent="0.2">
      <c r="B858" s="249"/>
      <c r="C858" s="249"/>
      <c r="D858" s="249"/>
      <c r="E858" s="249"/>
      <c r="F858" s="249"/>
      <c r="G858" s="249"/>
      <c r="H858" s="205" t="s">
        <v>18</v>
      </c>
      <c r="I858" s="248">
        <f ca="1">IFERROR(INDEX('Ведомость расчета мин. платы'!$J$10:$AE$214,MATCH(CONCATENATE(РАСЧЕТ!B848,"/",РАСЧЕТ!D848,"/",РАСЧЕТ!E848,"/",F848,"/",H858),'Ведомость расчета мин. платы'!$AE$10:$AE$214,0),2),"")</f>
        <v>482.52</v>
      </c>
      <c r="J858" s="248">
        <f ca="1">IFERROR(INDEX('Ведомость расчета мин. платы'!$J$10:$AE$214,MATCH(CONCATENATE(РАСЧЕТ!B848,"/",РАСЧЕТ!D848,"/",РАСЧЕТ!E848,"/",F848,"/",H858),'Ведомость расчета мин. платы'!$AE$10:$AE$214,0),3),"")</f>
        <v>160.68</v>
      </c>
      <c r="K858" s="248">
        <f ca="1">IFERROR(INDEX('Ведомость расчета мин. платы'!$J$10:$AE$214,MATCH(CONCATENATE(РАСЧЕТ!B848,"/",РАСЧЕТ!D848,"/",РАСЧЕТ!E848,"/",F848,"/",H858),'Ведомость расчета мин. платы'!$AE$10:$AE$214,0),4),"")</f>
        <v>5.76</v>
      </c>
      <c r="L858" s="248">
        <f t="shared" ca="1" si="363"/>
        <v>648.96</v>
      </c>
      <c r="M858" s="248">
        <f ca="1">IFERROR(INDEX('Ведомость расчета мин. платы'!$J$10:$AE$214,MATCH(CONCATENATE(РАСЧЕТ!B848,"/",РАСЧЕТ!D848,"/",РАСЧЕТ!E848,"/",F848,"/",H858),'Ведомость расчета мин. платы'!$AE$10:$AE$214,0),6),"")</f>
        <v>485.28</v>
      </c>
      <c r="N858" s="214">
        <f t="shared" ca="1" si="364"/>
        <v>1134.24</v>
      </c>
      <c r="O858" s="229">
        <f t="shared" si="368"/>
        <v>1</v>
      </c>
      <c r="P858" s="230">
        <f t="shared" si="362"/>
        <v>0</v>
      </c>
      <c r="AP858" s="242"/>
      <c r="AQ858" s="253"/>
    </row>
    <row r="859" spans="2:43" x14ac:dyDescent="0.2">
      <c r="B859" s="249"/>
      <c r="C859" s="249"/>
      <c r="D859" s="249"/>
      <c r="E859" s="249"/>
      <c r="F859" s="249"/>
      <c r="G859" s="249"/>
      <c r="H859" s="250" t="s">
        <v>475</v>
      </c>
      <c r="I859" s="251">
        <f ca="1">IFERROR(ROUND(I858*I847,2),"")</f>
        <v>11015.93</v>
      </c>
      <c r="J859" s="251">
        <f t="shared" ref="J859" ca="1" si="383">IFERROR(ROUND(J858*J847,2),"")</f>
        <v>2797.44</v>
      </c>
      <c r="K859" s="251">
        <f t="shared" ref="K859" ca="1" si="384">IFERROR(ROUND(K858*K847,2),"")</f>
        <v>50.98</v>
      </c>
      <c r="L859" s="251">
        <f t="shared" ca="1" si="363"/>
        <v>13864.35</v>
      </c>
      <c r="M859" s="251">
        <f t="shared" ref="M859" ca="1" si="385">IFERROR(ROUND(M858*M847,2),"")</f>
        <v>276.61</v>
      </c>
      <c r="N859" s="252">
        <f t="shared" ca="1" si="364"/>
        <v>14140.960000000001</v>
      </c>
      <c r="O859" s="229" t="str">
        <f t="shared" si="368"/>
        <v/>
      </c>
      <c r="P859" s="230">
        <f t="shared" si="362"/>
        <v>0</v>
      </c>
      <c r="AP859" s="242">
        <f ca="1">SUMIFS('Ведомость расчета мин. платы'!$S$10:$S$209,'Ведомость расчета мин. платы'!$AE$10:$AE$209,CONCATENATE(B848,"/",D848,"/",E848,"/",F848,"/",H858))</f>
        <v>14140.96</v>
      </c>
      <c r="AQ859" s="253">
        <f t="shared" ref="AQ859" ca="1" si="386">AP859-N859</f>
        <v>0</v>
      </c>
    </row>
    <row r="860" spans="2:43" x14ac:dyDescent="0.2">
      <c r="B860" s="249"/>
      <c r="C860" s="249"/>
      <c r="D860" s="249"/>
      <c r="E860" s="249"/>
      <c r="F860" s="249"/>
      <c r="G860" s="249"/>
      <c r="H860" s="254" t="s">
        <v>476</v>
      </c>
      <c r="I860" s="251">
        <f ca="1">SUMIF($O848:$O861,1,I848:I859)</f>
        <v>499.32</v>
      </c>
      <c r="J860" s="251">
        <f ca="1">SUMIF($O848:$O861,1,J848:J859)</f>
        <v>205.03</v>
      </c>
      <c r="K860" s="251">
        <f ca="1">SUMIF($O848:$O861,1,K848:K859)</f>
        <v>20.64</v>
      </c>
      <c r="L860" s="251">
        <f t="shared" ca="1" si="363"/>
        <v>724.99</v>
      </c>
      <c r="M860" s="251">
        <f ca="1">SUMIF($O848:$O861,1,M848:M859)</f>
        <v>547.68999999999994</v>
      </c>
      <c r="N860" s="252">
        <f t="shared" ca="1" si="364"/>
        <v>1272.6799999999998</v>
      </c>
      <c r="AP860" s="242"/>
      <c r="AQ860" s="253"/>
    </row>
    <row r="861" spans="2:43" x14ac:dyDescent="0.2">
      <c r="B861" s="249"/>
      <c r="C861" s="249"/>
      <c r="D861" s="249"/>
      <c r="E861" s="249"/>
      <c r="F861" s="249"/>
      <c r="G861" s="249"/>
      <c r="H861" s="254" t="s">
        <v>491</v>
      </c>
      <c r="I861" s="251">
        <f ca="1">SUMIF(H848:H859,"стоимость",I848:I859)</f>
        <v>13034.45</v>
      </c>
      <c r="J861" s="251">
        <f ca="1">SUMIF(H848:H859,"стоимость",J848:J859)</f>
        <v>6264.9600000000009</v>
      </c>
      <c r="K861" s="251">
        <f ca="1">SUMIF(H848:H859,"стоимость",K848:K859)</f>
        <v>567.15</v>
      </c>
      <c r="L861" s="251">
        <f ca="1">IFERROR(SUM(I861:K861),"")</f>
        <v>19866.560000000005</v>
      </c>
      <c r="M861" s="251">
        <f ca="1">SUMIF(H848:H859,"стоимость",M848:M859)</f>
        <v>600</v>
      </c>
      <c r="N861" s="252">
        <f ca="1">IFERROR(SUM(L861:M861),"")</f>
        <v>20466.560000000005</v>
      </c>
      <c r="AP861" s="242">
        <f ca="1">SUMIFS('Ведомость расчета мин. платы'!$S$10:$S$209,'Ведомость расчета мин. платы'!$J$10:$J$209,"Итого",'Ведомость расчета мин. платы'!$AC$10:$AC$209,CONCATENATE(B848,"/",D848,"/",E848,"/",F848))</f>
        <v>20466.559999999998</v>
      </c>
      <c r="AQ861" s="253">
        <f ca="1">AP861-N861</f>
        <v>0</v>
      </c>
    </row>
    <row r="862" spans="2:43" x14ac:dyDescent="0.2">
      <c r="B862" s="255"/>
      <c r="C862" s="255"/>
      <c r="D862" s="255"/>
      <c r="E862" s="255"/>
      <c r="F862" s="255"/>
      <c r="G862" s="256"/>
      <c r="H862" s="257"/>
      <c r="I862" s="258"/>
      <c r="J862" s="258"/>
      <c r="K862" s="258"/>
      <c r="L862" s="258"/>
      <c r="M862" s="258"/>
      <c r="N862" s="258"/>
      <c r="P862" s="230">
        <f t="shared" ref="P862:P880" si="387">IF(A862&gt;0,1,0)</f>
        <v>0</v>
      </c>
    </row>
    <row r="863" spans="2:43" x14ac:dyDescent="0.2">
      <c r="B863" s="282" t="s">
        <v>477</v>
      </c>
      <c r="C863" s="282"/>
      <c r="D863" s="282"/>
      <c r="E863" s="282"/>
      <c r="F863" s="259"/>
      <c r="G863" s="225"/>
      <c r="H863" s="201"/>
      <c r="I863" s="226"/>
      <c r="J863" s="258"/>
      <c r="K863" s="258"/>
      <c r="L863" s="258"/>
      <c r="M863" s="258"/>
      <c r="N863" s="258"/>
      <c r="P863" s="230">
        <f t="shared" si="387"/>
        <v>0</v>
      </c>
    </row>
    <row r="864" spans="2:43" x14ac:dyDescent="0.2">
      <c r="B864" s="283" t="s">
        <v>525</v>
      </c>
      <c r="C864" s="283"/>
      <c r="D864" s="283"/>
      <c r="E864" s="283"/>
      <c r="F864" s="283"/>
      <c r="G864" s="283"/>
      <c r="H864" s="283"/>
      <c r="I864" s="283"/>
      <c r="J864" s="261"/>
      <c r="K864" s="261"/>
      <c r="L864" s="261"/>
      <c r="M864" s="261"/>
      <c r="N864" s="261"/>
      <c r="P864" s="230">
        <f t="shared" si="387"/>
        <v>0</v>
      </c>
    </row>
    <row r="865" spans="2:16" x14ac:dyDescent="0.2">
      <c r="B865" s="284" t="s">
        <v>478</v>
      </c>
      <c r="C865" s="284"/>
      <c r="D865" s="284"/>
      <c r="E865" s="284"/>
      <c r="F865" s="284"/>
      <c r="G865" s="284"/>
      <c r="H865" s="284"/>
      <c r="I865" s="284"/>
      <c r="J865" s="258"/>
      <c r="K865" s="258"/>
      <c r="L865" s="258"/>
      <c r="M865" s="258"/>
      <c r="N865" s="258"/>
      <c r="P865" s="230">
        <f t="shared" si="387"/>
        <v>0</v>
      </c>
    </row>
    <row r="866" spans="2:16" x14ac:dyDescent="0.2">
      <c r="B866" s="284" t="s">
        <v>479</v>
      </c>
      <c r="C866" s="284"/>
      <c r="D866" s="284"/>
      <c r="E866" s="284"/>
      <c r="F866" s="284"/>
      <c r="G866" s="284"/>
      <c r="H866" s="284"/>
      <c r="I866" s="284"/>
      <c r="J866" s="258"/>
      <c r="K866" s="258"/>
      <c r="L866" s="258"/>
      <c r="M866" s="258"/>
      <c r="N866" s="258"/>
      <c r="P866" s="230">
        <f t="shared" si="387"/>
        <v>0</v>
      </c>
    </row>
    <row r="867" spans="2:16" x14ac:dyDescent="0.2">
      <c r="B867" s="284" t="s">
        <v>480</v>
      </c>
      <c r="C867" s="284"/>
      <c r="D867" s="284"/>
      <c r="E867" s="284"/>
      <c r="F867" s="284"/>
      <c r="G867" s="284"/>
      <c r="H867" s="284"/>
      <c r="I867" s="284"/>
      <c r="J867" s="258"/>
      <c r="K867" s="258"/>
      <c r="L867" s="258"/>
      <c r="M867" s="258"/>
      <c r="N867" s="258"/>
      <c r="P867" s="230">
        <f t="shared" si="387"/>
        <v>0</v>
      </c>
    </row>
    <row r="868" spans="2:16" x14ac:dyDescent="0.2">
      <c r="B868" s="284" t="s">
        <v>481</v>
      </c>
      <c r="C868" s="284"/>
      <c r="D868" s="284"/>
      <c r="E868" s="284"/>
      <c r="F868" s="284"/>
      <c r="G868" s="284"/>
      <c r="H868" s="284"/>
      <c r="I868" s="284"/>
      <c r="J868" s="226"/>
      <c r="K868" s="226"/>
      <c r="L868" s="226"/>
      <c r="M868" s="226"/>
      <c r="N868" s="226"/>
      <c r="P868" s="230">
        <f t="shared" si="387"/>
        <v>0</v>
      </c>
    </row>
    <row r="869" spans="2:16" x14ac:dyDescent="0.2">
      <c r="B869" s="284" t="s">
        <v>482</v>
      </c>
      <c r="C869" s="284"/>
      <c r="D869" s="284"/>
      <c r="E869" s="284"/>
      <c r="F869" s="284"/>
      <c r="G869" s="284"/>
      <c r="H869" s="284"/>
      <c r="I869" s="284"/>
      <c r="J869" s="226"/>
      <c r="K869" s="226"/>
      <c r="L869" s="226"/>
      <c r="M869" s="226"/>
      <c r="N869" s="226"/>
      <c r="P869" s="230">
        <f t="shared" si="387"/>
        <v>0</v>
      </c>
    </row>
    <row r="870" spans="2:16" x14ac:dyDescent="0.2">
      <c r="B870" s="284" t="s">
        <v>483</v>
      </c>
      <c r="C870" s="284"/>
      <c r="D870" s="284"/>
      <c r="E870" s="284"/>
      <c r="F870" s="284"/>
      <c r="G870" s="284"/>
      <c r="H870" s="284"/>
      <c r="I870" s="284"/>
      <c r="J870" s="226"/>
      <c r="K870" s="226"/>
      <c r="L870" s="226"/>
      <c r="M870" s="226"/>
      <c r="N870" s="226"/>
      <c r="P870" s="230">
        <f t="shared" si="387"/>
        <v>0</v>
      </c>
    </row>
    <row r="871" spans="2:16" x14ac:dyDescent="0.2">
      <c r="B871" s="284" t="s">
        <v>484</v>
      </c>
      <c r="C871" s="284"/>
      <c r="D871" s="284"/>
      <c r="E871" s="284"/>
      <c r="F871" s="284"/>
      <c r="G871" s="284"/>
      <c r="H871" s="284"/>
      <c r="I871" s="284"/>
      <c r="J871" s="226"/>
      <c r="K871" s="226"/>
      <c r="L871" s="226"/>
      <c r="M871" s="226"/>
      <c r="N871" s="226"/>
      <c r="P871" s="230">
        <f t="shared" si="387"/>
        <v>0</v>
      </c>
    </row>
    <row r="872" spans="2:16" x14ac:dyDescent="0.2">
      <c r="B872" s="264"/>
      <c r="C872" s="264"/>
      <c r="D872" s="264"/>
      <c r="E872" s="264"/>
      <c r="F872" s="264"/>
      <c r="G872" s="264"/>
      <c r="H872" s="264"/>
      <c r="I872" s="265"/>
      <c r="J872" s="226"/>
      <c r="K872" s="226"/>
      <c r="L872" s="226"/>
      <c r="M872" s="226"/>
      <c r="N872" s="226"/>
      <c r="P872" s="230">
        <f t="shared" si="387"/>
        <v>0</v>
      </c>
    </row>
    <row r="873" spans="2:16" x14ac:dyDescent="0.2">
      <c r="B873" s="225" t="s">
        <v>485</v>
      </c>
      <c r="C873" s="225"/>
      <c r="D873" s="225"/>
      <c r="E873" s="225"/>
      <c r="F873" s="225"/>
      <c r="G873" s="225"/>
      <c r="H873" s="201"/>
      <c r="I873" s="226"/>
      <c r="J873" s="226" t="s">
        <v>486</v>
      </c>
      <c r="K873" s="226"/>
      <c r="L873" s="226"/>
      <c r="M873" s="226"/>
      <c r="N873" s="226"/>
      <c r="P873" s="230">
        <f t="shared" si="387"/>
        <v>0</v>
      </c>
    </row>
    <row r="874" spans="2:16" x14ac:dyDescent="0.2">
      <c r="B874" s="266" t="s">
        <v>524</v>
      </c>
      <c r="C874" s="266"/>
      <c r="D874" s="225"/>
      <c r="E874" s="225"/>
      <c r="F874" s="225"/>
      <c r="G874" s="225"/>
      <c r="H874" s="201"/>
      <c r="I874" s="226"/>
      <c r="J874" s="267"/>
      <c r="K874" s="267"/>
      <c r="L874" s="267"/>
      <c r="M874" s="226"/>
      <c r="N874" s="226"/>
      <c r="P874" s="230">
        <f t="shared" si="387"/>
        <v>0</v>
      </c>
    </row>
    <row r="875" spans="2:16" x14ac:dyDescent="0.2">
      <c r="B875" s="268" t="s">
        <v>487</v>
      </c>
      <c r="C875" s="225"/>
      <c r="D875" s="225"/>
      <c r="E875" s="225"/>
      <c r="F875" s="225"/>
      <c r="G875" s="225"/>
      <c r="H875" s="201"/>
      <c r="I875" s="226"/>
      <c r="J875" s="226" t="s">
        <v>487</v>
      </c>
      <c r="K875" s="226"/>
      <c r="L875" s="226"/>
      <c r="M875" s="226"/>
      <c r="N875" s="226"/>
      <c r="P875" s="230">
        <f t="shared" si="387"/>
        <v>0</v>
      </c>
    </row>
    <row r="876" spans="2:16" x14ac:dyDescent="0.2">
      <c r="B876" s="225"/>
      <c r="C876" s="225"/>
      <c r="D876" s="225"/>
      <c r="E876" s="225"/>
      <c r="F876" s="225"/>
      <c r="G876" s="225"/>
      <c r="H876" s="201"/>
      <c r="I876" s="226"/>
      <c r="J876" s="226"/>
      <c r="K876" s="226"/>
      <c r="L876" s="226"/>
      <c r="M876" s="226"/>
      <c r="N876" s="226"/>
      <c r="P876" s="230">
        <f t="shared" si="387"/>
        <v>0</v>
      </c>
    </row>
    <row r="877" spans="2:16" x14ac:dyDescent="0.2">
      <c r="B877" s="266"/>
      <c r="C877" s="266"/>
      <c r="D877" s="225"/>
      <c r="E877" s="225"/>
      <c r="F877" s="225"/>
      <c r="G877" s="225"/>
      <c r="H877" s="201"/>
      <c r="I877" s="226"/>
      <c r="J877" s="267"/>
      <c r="K877" s="267"/>
      <c r="L877" s="267"/>
      <c r="M877" s="226"/>
      <c r="N877" s="226"/>
      <c r="P877" s="230">
        <f t="shared" si="387"/>
        <v>0</v>
      </c>
    </row>
    <row r="878" spans="2:16" x14ac:dyDescent="0.2">
      <c r="B878" s="269" t="s">
        <v>488</v>
      </c>
      <c r="C878" s="225"/>
      <c r="D878" s="225"/>
      <c r="E878" s="225"/>
      <c r="F878" s="225"/>
      <c r="G878" s="225"/>
      <c r="H878" s="201"/>
      <c r="I878" s="226"/>
      <c r="J878" s="285" t="s">
        <v>488</v>
      </c>
      <c r="K878" s="285"/>
      <c r="L878" s="285"/>
      <c r="M878" s="226"/>
      <c r="N878" s="226"/>
      <c r="P878" s="230">
        <f t="shared" si="387"/>
        <v>0</v>
      </c>
    </row>
    <row r="879" spans="2:16" x14ac:dyDescent="0.2">
      <c r="B879" s="225"/>
      <c r="C879" s="225"/>
      <c r="D879" s="225"/>
      <c r="E879" s="225"/>
      <c r="F879" s="225"/>
      <c r="G879" s="225"/>
      <c r="H879" s="201"/>
      <c r="I879" s="226"/>
      <c r="J879" s="226"/>
      <c r="K879" s="226"/>
      <c r="L879" s="226"/>
      <c r="M879" s="226"/>
      <c r="N879" s="226"/>
      <c r="P879" s="230">
        <f t="shared" si="387"/>
        <v>0</v>
      </c>
    </row>
    <row r="880" spans="2:16" x14ac:dyDescent="0.2">
      <c r="B880" s="264" t="s">
        <v>489</v>
      </c>
      <c r="C880" s="225"/>
      <c r="D880" s="225"/>
      <c r="E880" s="225"/>
      <c r="F880" s="225"/>
      <c r="G880" s="225"/>
      <c r="H880" s="201"/>
      <c r="I880" s="226"/>
      <c r="J880" s="226" t="s">
        <v>489</v>
      </c>
      <c r="K880" s="226"/>
      <c r="L880" s="226"/>
      <c r="M880" s="226"/>
      <c r="N880" s="226"/>
      <c r="P880" s="230">
        <f t="shared" si="387"/>
        <v>0</v>
      </c>
    </row>
    <row r="881" spans="1:16" x14ac:dyDescent="0.2">
      <c r="A881" s="272"/>
      <c r="B881" s="225"/>
      <c r="C881" s="225"/>
      <c r="D881" s="225"/>
      <c r="E881" s="225"/>
      <c r="F881" s="225"/>
      <c r="G881" s="225"/>
      <c r="H881" s="201"/>
      <c r="I881" s="226"/>
      <c r="J881" s="226"/>
      <c r="K881" s="226"/>
      <c r="M881" s="226"/>
      <c r="N881" s="228"/>
    </row>
    <row r="882" spans="1:16" x14ac:dyDescent="0.2">
      <c r="A882" s="260"/>
      <c r="B882" s="225"/>
      <c r="C882" s="225"/>
      <c r="D882" s="225"/>
      <c r="E882" s="225"/>
      <c r="F882" s="225"/>
      <c r="G882" s="225"/>
      <c r="H882" s="201"/>
      <c r="I882" s="226"/>
      <c r="J882" s="226"/>
      <c r="K882" s="226"/>
      <c r="M882" s="226"/>
      <c r="N882" s="228" t="s">
        <v>455</v>
      </c>
      <c r="P882" s="230">
        <f t="shared" ref="P882:P899" si="388">IF(A882&gt;0,1,0)</f>
        <v>0</v>
      </c>
    </row>
    <row r="883" spans="1:16" x14ac:dyDescent="0.2">
      <c r="B883" s="225"/>
      <c r="C883" s="225"/>
      <c r="D883" s="225"/>
      <c r="E883" s="225"/>
      <c r="F883" s="225"/>
      <c r="G883" s="225"/>
      <c r="H883" s="201"/>
      <c r="I883" s="226"/>
      <c r="J883" s="226"/>
      <c r="K883" s="226"/>
      <c r="M883" s="226"/>
      <c r="N883" s="228" t="s">
        <v>456</v>
      </c>
      <c r="P883" s="230">
        <f t="shared" si="388"/>
        <v>0</v>
      </c>
    </row>
    <row r="884" spans="1:16" x14ac:dyDescent="0.2">
      <c r="B884" s="225"/>
      <c r="C884" s="225"/>
      <c r="D884" s="225"/>
      <c r="E884" s="225"/>
      <c r="F884" s="225"/>
      <c r="G884" s="225"/>
      <c r="H884" s="201"/>
      <c r="I884" s="226"/>
      <c r="J884" s="226"/>
      <c r="K884" s="226"/>
      <c r="M884" s="226"/>
      <c r="N884" s="228" t="s">
        <v>457</v>
      </c>
      <c r="P884" s="230">
        <f t="shared" si="388"/>
        <v>0</v>
      </c>
    </row>
    <row r="885" spans="1:16" x14ac:dyDescent="0.2">
      <c r="B885" s="225"/>
      <c r="C885" s="225"/>
      <c r="D885" s="225"/>
      <c r="E885" s="225"/>
      <c r="F885" s="225"/>
      <c r="G885" s="225"/>
      <c r="H885" s="201"/>
      <c r="I885" s="226"/>
      <c r="J885" s="226"/>
      <c r="K885" s="226"/>
      <c r="L885" s="226"/>
      <c r="M885" s="226"/>
      <c r="N885" s="226"/>
      <c r="P885" s="230">
        <f t="shared" si="388"/>
        <v>0</v>
      </c>
    </row>
    <row r="886" spans="1:16" x14ac:dyDescent="0.2">
      <c r="B886" s="225"/>
      <c r="C886" s="286" t="s">
        <v>458</v>
      </c>
      <c r="D886" s="286"/>
      <c r="E886" s="286"/>
      <c r="F886" s="286"/>
      <c r="G886" s="286"/>
      <c r="H886" s="286"/>
      <c r="I886" s="286"/>
      <c r="J886" s="286"/>
      <c r="K886" s="286"/>
      <c r="L886" s="286"/>
      <c r="M886" s="226"/>
      <c r="N886" s="226"/>
      <c r="P886" s="230">
        <f t="shared" si="388"/>
        <v>0</v>
      </c>
    </row>
    <row r="887" spans="1:16" x14ac:dyDescent="0.2">
      <c r="B887" s="225"/>
      <c r="C887" s="286" t="s">
        <v>459</v>
      </c>
      <c r="D887" s="286"/>
      <c r="E887" s="286"/>
      <c r="F887" s="286"/>
      <c r="G887" s="286"/>
      <c r="H887" s="286"/>
      <c r="I887" s="286"/>
      <c r="J887" s="286"/>
      <c r="K887" s="286"/>
      <c r="L887" s="286"/>
      <c r="M887" s="226"/>
      <c r="N887" s="226"/>
      <c r="P887" s="230">
        <f t="shared" si="388"/>
        <v>0</v>
      </c>
    </row>
    <row r="888" spans="1:16" x14ac:dyDescent="0.2">
      <c r="B888" s="225" t="s">
        <v>460</v>
      </c>
      <c r="C888" s="234"/>
      <c r="D888" s="234"/>
      <c r="E888" s="234"/>
      <c r="F888" s="234"/>
      <c r="G888" s="234"/>
      <c r="H888" s="234"/>
      <c r="I888" s="235"/>
      <c r="J888" s="235"/>
      <c r="K888" s="235"/>
      <c r="L888" s="287" t="s">
        <v>461</v>
      </c>
      <c r="M888" s="287"/>
      <c r="N888" s="287"/>
      <c r="P888" s="230">
        <f t="shared" si="388"/>
        <v>0</v>
      </c>
    </row>
    <row r="889" spans="1:16" x14ac:dyDescent="0.2">
      <c r="B889" s="225"/>
      <c r="C889" s="234"/>
      <c r="D889" s="234"/>
      <c r="E889" s="234"/>
      <c r="F889" s="234"/>
      <c r="G889" s="234"/>
      <c r="H889" s="234"/>
      <c r="I889" s="235"/>
      <c r="J889" s="235"/>
      <c r="K889" s="235"/>
      <c r="L889" s="235"/>
      <c r="M889" s="235"/>
      <c r="N889" s="235"/>
      <c r="P889" s="230">
        <f t="shared" si="388"/>
        <v>0</v>
      </c>
    </row>
    <row r="890" spans="1:16" x14ac:dyDescent="0.2">
      <c r="B890" s="225" t="s">
        <v>2038</v>
      </c>
      <c r="C890" s="234"/>
      <c r="D890" s="234"/>
      <c r="E890" s="234"/>
      <c r="F890" s="234"/>
      <c r="G890" s="234"/>
      <c r="H890" s="234"/>
      <c r="I890" s="235"/>
      <c r="J890" s="235"/>
      <c r="K890" s="235"/>
      <c r="L890" s="235"/>
      <c r="M890" s="235"/>
      <c r="N890" s="235"/>
      <c r="P890" s="230">
        <f t="shared" si="388"/>
        <v>0</v>
      </c>
    </row>
    <row r="891" spans="1:16" x14ac:dyDescent="0.2">
      <c r="B891" s="225" t="s">
        <v>462</v>
      </c>
      <c r="C891" s="234"/>
      <c r="D891" s="234"/>
      <c r="E891" s="234"/>
      <c r="F891" s="234"/>
      <c r="G891" s="234"/>
      <c r="H891" s="234"/>
      <c r="I891" s="235"/>
      <c r="J891" s="235"/>
      <c r="K891" s="235"/>
      <c r="L891" s="235"/>
      <c r="M891" s="235"/>
      <c r="N891" s="235"/>
      <c r="P891" s="230">
        <f t="shared" si="388"/>
        <v>0</v>
      </c>
    </row>
    <row r="892" spans="1:16" x14ac:dyDescent="0.2">
      <c r="B892" s="225" t="s">
        <v>2037</v>
      </c>
      <c r="C892" s="234"/>
      <c r="D892" s="234"/>
      <c r="E892" s="234"/>
      <c r="F892" s="234"/>
      <c r="G892" s="234"/>
      <c r="H892" s="234"/>
      <c r="I892" s="235"/>
      <c r="J892" s="235"/>
      <c r="K892" s="235"/>
      <c r="L892" s="235"/>
      <c r="M892" s="235"/>
      <c r="N892" s="235"/>
      <c r="P892" s="230">
        <f t="shared" si="388"/>
        <v>0</v>
      </c>
    </row>
    <row r="893" spans="1:16" x14ac:dyDescent="0.2">
      <c r="B893" s="225" t="s">
        <v>2052</v>
      </c>
      <c r="C893" s="234"/>
      <c r="D893" s="234"/>
      <c r="E893" s="234"/>
      <c r="F893" s="234"/>
      <c r="G893" s="234"/>
      <c r="H893" s="234"/>
      <c r="I893" s="235"/>
      <c r="J893" s="235"/>
      <c r="K893" s="235"/>
      <c r="L893" s="235"/>
      <c r="M893" s="235"/>
      <c r="N893" s="235"/>
      <c r="P893" s="230">
        <f t="shared" si="388"/>
        <v>0</v>
      </c>
    </row>
    <row r="894" spans="1:16" x14ac:dyDescent="0.2">
      <c r="B894" s="225"/>
      <c r="C894" s="225"/>
      <c r="D894" s="225"/>
      <c r="E894" s="225"/>
      <c r="F894" s="225"/>
      <c r="G894" s="225"/>
      <c r="H894" s="201"/>
      <c r="I894" s="226"/>
      <c r="J894" s="226"/>
      <c r="K894" s="226"/>
      <c r="L894" s="226"/>
      <c r="M894" s="226"/>
      <c r="N894" s="226"/>
      <c r="P894" s="230">
        <f t="shared" si="388"/>
        <v>0</v>
      </c>
    </row>
    <row r="895" spans="1:16" x14ac:dyDescent="0.2">
      <c r="B895" s="288" t="s">
        <v>106</v>
      </c>
      <c r="C895" s="290" t="s">
        <v>463</v>
      </c>
      <c r="D895" s="288" t="s">
        <v>464</v>
      </c>
      <c r="E895" s="288" t="s">
        <v>465</v>
      </c>
      <c r="F895" s="288" t="s">
        <v>490</v>
      </c>
      <c r="G895" s="288" t="s">
        <v>466</v>
      </c>
      <c r="H895" s="292" t="s">
        <v>8</v>
      </c>
      <c r="I895" s="294" t="s">
        <v>467</v>
      </c>
      <c r="J895" s="295"/>
      <c r="K895" s="295"/>
      <c r="L895" s="296"/>
      <c r="M895" s="297" t="s">
        <v>468</v>
      </c>
      <c r="N895" s="299" t="s">
        <v>469</v>
      </c>
      <c r="P895" s="230">
        <f t="shared" si="388"/>
        <v>0</v>
      </c>
    </row>
    <row r="896" spans="1:16" x14ac:dyDescent="0.2">
      <c r="B896" s="289"/>
      <c r="C896" s="291"/>
      <c r="D896" s="289"/>
      <c r="E896" s="289"/>
      <c r="F896" s="289"/>
      <c r="G896" s="289"/>
      <c r="H896" s="293"/>
      <c r="I896" s="236" t="s">
        <v>470</v>
      </c>
      <c r="J896" s="236" t="s">
        <v>471</v>
      </c>
      <c r="K896" s="236" t="s">
        <v>472</v>
      </c>
      <c r="L896" s="236" t="s">
        <v>473</v>
      </c>
      <c r="M896" s="298"/>
      <c r="N896" s="300"/>
      <c r="P896" s="230">
        <f t="shared" si="388"/>
        <v>0</v>
      </c>
    </row>
    <row r="897" spans="1:43" x14ac:dyDescent="0.2">
      <c r="A897" s="224" t="str">
        <f>CONCATENATE("Лот"," ",A898)</f>
        <v>Лот 17</v>
      </c>
      <c r="B897" s="273" t="s">
        <v>2087</v>
      </c>
      <c r="C897" s="274"/>
      <c r="D897" s="274"/>
      <c r="E897" s="274"/>
      <c r="F897" s="274"/>
      <c r="G897" s="275"/>
      <c r="H897" s="238" t="s">
        <v>17</v>
      </c>
      <c r="I897" s="270">
        <f ca="1">ROUND(VLOOKUP($H897,$AJ$4:$AN$13,2,0)*$Q899*1.51,2)</f>
        <v>120.15</v>
      </c>
      <c r="J897" s="270">
        <f ca="1">ROUND(VLOOKUP($H897,$AJ$4:$AN$13,3,0)*$Q899*1.51,2)</f>
        <v>85.62</v>
      </c>
      <c r="K897" s="270">
        <f ca="1">ROUND(VLOOKUP($H897,$AJ$4:$AN$13,4,0)*$Q899*1.51,2)</f>
        <v>43.38</v>
      </c>
      <c r="L897" s="270"/>
      <c r="M897" s="270">
        <f ca="1">ROUND(VLOOKUP($H897,$AJ$4:$AN$13,5,0)*$Q899*1.51,2)</f>
        <v>6.85</v>
      </c>
      <c r="N897" s="270"/>
      <c r="P897" s="230">
        <f t="shared" si="388"/>
        <v>1</v>
      </c>
    </row>
    <row r="898" spans="1:43" x14ac:dyDescent="0.2">
      <c r="A898" s="224">
        <f>A843+1</f>
        <v>17</v>
      </c>
      <c r="B898" s="276"/>
      <c r="C898" s="277"/>
      <c r="D898" s="277"/>
      <c r="E898" s="277"/>
      <c r="F898" s="277"/>
      <c r="G898" s="278"/>
      <c r="H898" s="238" t="s">
        <v>25</v>
      </c>
      <c r="I898" s="270">
        <f ca="1">ROUND(VLOOKUP($H898,$AJ$4:$AN$13,2,0)*$Q899*1.51,2)</f>
        <v>898.69</v>
      </c>
      <c r="J898" s="270">
        <f ca="1">ROUND(VLOOKUP($H898,$AJ$4:$AN$13,3,0)*$Q899*1.51,2)</f>
        <v>642.13</v>
      </c>
      <c r="K898" s="270">
        <f ca="1">ROUND(VLOOKUP($H898,$AJ$4:$AN$13,4,0)*$Q899*1.51,2)</f>
        <v>323.06</v>
      </c>
      <c r="L898" s="270"/>
      <c r="M898" s="270">
        <f ca="1">ROUND(VLOOKUP($H898,$AJ$4:$AN$13,5,0)*$Q899*1.51,2)</f>
        <v>27.97</v>
      </c>
      <c r="N898" s="270"/>
      <c r="P898" s="230">
        <f t="shared" si="388"/>
        <v>1</v>
      </c>
      <c r="Q898" s="240" t="s">
        <v>2045</v>
      </c>
      <c r="R898" s="240" t="s">
        <v>2046</v>
      </c>
    </row>
    <row r="899" spans="1:43" x14ac:dyDescent="0.2">
      <c r="B899" s="276"/>
      <c r="C899" s="277"/>
      <c r="D899" s="277"/>
      <c r="E899" s="277"/>
      <c r="F899" s="277"/>
      <c r="G899" s="278"/>
      <c r="H899" s="238" t="s">
        <v>19</v>
      </c>
      <c r="I899" s="270">
        <f ca="1">ROUND(VLOOKUP($H899,$AJ$4:$AN$13,2,0)*$Q899*1.51,2)</f>
        <v>71.349999999999994</v>
      </c>
      <c r="J899" s="270">
        <f ca="1">ROUND(VLOOKUP($H899,$AJ$4:$AN$13,3,0)*$Q899*1.51,2)</f>
        <v>51.94</v>
      </c>
      <c r="K899" s="270">
        <f ca="1">ROUND(VLOOKUP($H899,$AJ$4:$AN$13,4,0)*$Q899*1.51,2)</f>
        <v>26.54</v>
      </c>
      <c r="L899" s="270"/>
      <c r="M899" s="270">
        <f ca="1">ROUND(VLOOKUP($H899,$AJ$4:$AN$13,5,0)*$Q899*1.51,2)</f>
        <v>1.43</v>
      </c>
      <c r="N899" s="270"/>
      <c r="P899" s="230">
        <f t="shared" si="388"/>
        <v>0</v>
      </c>
      <c r="Q899" s="123">
        <f ca="1">IFERROR(IF(R899="","",IF(OR(R899&lt;100,R899=100),0.9,IF(OR(AND(R899&gt;100,R899&lt;150),R899=150),1,IF(R899&gt;150,1.05,"")))),"0")</f>
        <v>1.05</v>
      </c>
      <c r="R899" s="123">
        <f ca="1">N915/G903</f>
        <v>185.78095238095236</v>
      </c>
    </row>
    <row r="900" spans="1:43" x14ac:dyDescent="0.2">
      <c r="B900" s="276"/>
      <c r="C900" s="277"/>
      <c r="D900" s="277"/>
      <c r="E900" s="277"/>
      <c r="F900" s="277"/>
      <c r="G900" s="278"/>
      <c r="H900" s="238" t="s">
        <v>268</v>
      </c>
      <c r="I900" s="270">
        <f ca="1">ROUND(VLOOKUP($H900,$AJ$4:$AN$13,2,0)*$Q899*1.51,2)</f>
        <v>898.69</v>
      </c>
      <c r="J900" s="270">
        <f ca="1">ROUND(VLOOKUP($H900,$AJ$4:$AN$13,3,0)*$Q899*1.51,2)</f>
        <v>642.13</v>
      </c>
      <c r="K900" s="270">
        <f ca="1">ROUND(VLOOKUP($H900,$AJ$4:$AN$13,4,0)*$Q899*1.51,2)</f>
        <v>323.06</v>
      </c>
      <c r="L900" s="270"/>
      <c r="M900" s="270">
        <f ca="1">ROUND(VLOOKUP($H900,$AJ$4:$AN$13,5,0)*$Q899*1.51,2)</f>
        <v>27.97</v>
      </c>
      <c r="N900" s="270"/>
    </row>
    <row r="901" spans="1:43" x14ac:dyDescent="0.2">
      <c r="B901" s="276"/>
      <c r="C901" s="277"/>
      <c r="D901" s="277"/>
      <c r="E901" s="277"/>
      <c r="F901" s="277"/>
      <c r="G901" s="278"/>
      <c r="H901" s="238" t="s">
        <v>40</v>
      </c>
      <c r="I901" s="270">
        <f ca="1">ROUND(VLOOKUP($H901,$AJ$4:$AN$13,2,0)*$Q899*1.51,2)</f>
        <v>71.349999999999994</v>
      </c>
      <c r="J901" s="270">
        <f ca="1">ROUND(VLOOKUP($H901,$AJ$4:$AN$13,3,0)*$Q899*1.51,2)</f>
        <v>51.94</v>
      </c>
      <c r="K901" s="270">
        <f ca="1">ROUND(VLOOKUP($H901,$AJ$4:$AN$13,4,0)*$Q899*1.51,2)</f>
        <v>26.54</v>
      </c>
      <c r="L901" s="270"/>
      <c r="M901" s="270">
        <f ca="1">ROUND(VLOOKUP($H901,$AJ$4:$AN$13,5,0)*$Q899*1.51,2)</f>
        <v>1.43</v>
      </c>
      <c r="N901" s="270"/>
      <c r="P901" s="230">
        <f t="shared" ref="P901:P914" si="389">IF(A901&gt;0,1,0)</f>
        <v>0</v>
      </c>
    </row>
    <row r="902" spans="1:43" x14ac:dyDescent="0.2">
      <c r="B902" s="279"/>
      <c r="C902" s="280"/>
      <c r="D902" s="280"/>
      <c r="E902" s="280"/>
      <c r="F902" s="280"/>
      <c r="G902" s="281"/>
      <c r="H902" s="238" t="s">
        <v>18</v>
      </c>
      <c r="I902" s="270">
        <f ca="1">ROUND(VLOOKUP($H902,$AJ$4:$AN$13,2,0)*$Q899*1.51,2)</f>
        <v>22.83</v>
      </c>
      <c r="J902" s="270">
        <f ca="1">ROUND(VLOOKUP($H902,$AJ$4:$AN$13,3,0)*$Q899*1.51,2)</f>
        <v>17.41</v>
      </c>
      <c r="K902" s="270">
        <f ca="1">ROUND(VLOOKUP($H902,$AJ$4:$AN$13,4,0)*$Q899*1.51,2)</f>
        <v>8.85</v>
      </c>
      <c r="L902" s="270"/>
      <c r="M902" s="270">
        <f ca="1">ROUND(VLOOKUP($H902,$AJ$4:$AN$13,5,0)*$Q899*1.51*1,2)</f>
        <v>0.56999999999999995</v>
      </c>
      <c r="N902" s="270"/>
      <c r="P902" s="230">
        <f t="shared" si="389"/>
        <v>0</v>
      </c>
      <c r="AP902" s="241" t="s">
        <v>2053</v>
      </c>
      <c r="AQ902" s="242"/>
    </row>
    <row r="903" spans="1:43" x14ac:dyDescent="0.2">
      <c r="A903" s="224">
        <f>A848+37</f>
        <v>592</v>
      </c>
      <c r="B903" s="243" t="str">
        <f ca="1">OFFSET(ЛОТЫ!$L$5,A903,0,1,1)</f>
        <v>Восходское</v>
      </c>
      <c r="C903" s="244" t="s">
        <v>474</v>
      </c>
      <c r="D903" s="243">
        <f ca="1">OFFSET(ЛОТЫ!$M$5,A903,0,1,1)</f>
        <v>42</v>
      </c>
      <c r="E903" s="243">
        <f ca="1">OFFSET(ЛОТЫ!$N$5,A903,0,1,1)</f>
        <v>10</v>
      </c>
      <c r="F903" s="243">
        <f ca="1">OFFSET(ЛОТЫ!$O$5,A903,0,1,1)</f>
        <v>1</v>
      </c>
      <c r="G903" s="271">
        <f ca="1">IFERROR(INDEX('Ведомость расчета мин. платы'!$G$10:$AC$214,MATCH(CONCATENATE(B903,"/",D903,"/",E903,"/",F903),'Ведомость расчета мин. платы'!$AC$10:$AC$214,0),1),"")</f>
        <v>4.2</v>
      </c>
      <c r="H903" s="246" t="s">
        <v>17</v>
      </c>
      <c r="I903" s="247">
        <f ca="1">IFERROR(INDEX('Ведомость расчета мин. платы'!$J$10:$AE$214,MATCH(CONCATENATE(РАСЧЕТ!B903,"/",РАСЧЕТ!D903,"/",РАСЧЕТ!E903,"/",F903,"/",H903),'Ведомость расчета мин. платы'!$AE$10:$AE$214,0),2),"")</f>
        <v>15.23</v>
      </c>
      <c r="J903" s="247">
        <f ca="1">IFERROR(INDEX('Ведомость расчета мин. платы'!$J$10:$AE$214,MATCH(CONCATENATE(РАСЧЕТ!B903,"/",РАСЧЕТ!D903,"/",РАСЧЕТ!E903,"/",F903,"/",H903),'Ведомость расчета мин. платы'!$AE$10:$AE$214,0),3),"")</f>
        <v>30.45</v>
      </c>
      <c r="K903" s="247">
        <f ca="1">IFERROR(INDEX('Ведомость расчета мин. платы'!$J$10:$AE$214,MATCH(CONCATENATE(РАСЧЕТ!B903,"/",РАСЧЕТ!D903,"/",РАСЧЕТ!E903,"/",F903,"/",H903),'Ведомость расчета мин. платы'!$AE$10:$AE$214,0),4),"")</f>
        <v>4.0999999999999996</v>
      </c>
      <c r="L903" s="248">
        <f t="shared" ref="L903:L915" ca="1" si="390">IFERROR(SUM(I903:K903),"")</f>
        <v>49.78</v>
      </c>
      <c r="M903" s="214">
        <f ca="1">IFERROR(INDEX('Ведомость расчета мин. платы'!$J$10:$AE$214,MATCH(CONCATENATE(РАСЧЕТ!B903,"/",РАСЧЕТ!D903,"/",РАСЧЕТ!E903,"/",F903,"/",H903),'Ведомость расчета мин. платы'!$AE$10:$AE$214,0),6),"")</f>
        <v>48.21</v>
      </c>
      <c r="N903" s="214">
        <f t="shared" ref="N903:N915" ca="1" si="391">IFERROR(SUM(L903:M903),"")</f>
        <v>97.990000000000009</v>
      </c>
      <c r="O903" s="229">
        <f>IF(H903="стоимость","",1)</f>
        <v>1</v>
      </c>
      <c r="P903" s="230">
        <f t="shared" si="389"/>
        <v>1</v>
      </c>
      <c r="AP903" s="242"/>
      <c r="AQ903" s="242"/>
    </row>
    <row r="904" spans="1:43" x14ac:dyDescent="0.2">
      <c r="B904" s="249"/>
      <c r="C904" s="249"/>
      <c r="D904" s="249"/>
      <c r="E904" s="249"/>
      <c r="F904" s="249"/>
      <c r="G904" s="249"/>
      <c r="H904" s="250" t="s">
        <v>475</v>
      </c>
      <c r="I904" s="251">
        <f ca="1">IFERROR(ROUND(I903*I897,2),"")</f>
        <v>1829.88</v>
      </c>
      <c r="J904" s="251">
        <f t="shared" ref="J904" ca="1" si="392">IFERROR(ROUND(J903*J897,2),"")</f>
        <v>2607.13</v>
      </c>
      <c r="K904" s="251">
        <f t="shared" ref="K904" ca="1" si="393">IFERROR(ROUND(K903*K897,2),"")</f>
        <v>177.86</v>
      </c>
      <c r="L904" s="251">
        <f t="shared" ca="1" si="390"/>
        <v>4614.87</v>
      </c>
      <c r="M904" s="251">
        <f t="shared" ref="M904" ca="1" si="394">IFERROR(ROUND(M903*M897,2),"")</f>
        <v>330.24</v>
      </c>
      <c r="N904" s="252">
        <f t="shared" ca="1" si="391"/>
        <v>4945.1099999999997</v>
      </c>
      <c r="O904" s="229" t="str">
        <f t="shared" ref="O904:O914" si="395">IF(H904="стоимость","",1)</f>
        <v/>
      </c>
      <c r="P904" s="230">
        <f t="shared" si="389"/>
        <v>0</v>
      </c>
      <c r="AP904" s="242">
        <f ca="1">SUMIFS('Ведомость расчета мин. платы'!$S$10:$S$209,'Ведомость расчета мин. платы'!$AE$10:$AE$209,CONCATENATE(B903,"/",D903,"/",E903,"/",F903,"/",H903))</f>
        <v>4945.1099999999997</v>
      </c>
      <c r="AQ904" s="253">
        <f t="shared" ref="AQ904" ca="1" si="396">AP904-N904</f>
        <v>0</v>
      </c>
    </row>
    <row r="905" spans="1:43" x14ac:dyDescent="0.2">
      <c r="B905" s="249"/>
      <c r="C905" s="249"/>
      <c r="D905" s="249"/>
      <c r="E905" s="249"/>
      <c r="F905" s="249"/>
      <c r="G905" s="249"/>
      <c r="H905" s="246" t="s">
        <v>25</v>
      </c>
      <c r="I905" s="247" t="str">
        <f ca="1">IFERROR(INDEX('Ведомость расчета мин. платы'!$J$10:$AE$214,MATCH(CONCATENATE(РАСЧЕТ!B903,"/",РАСЧЕТ!D903,"/",РАСЧЕТ!E903,"/",F903,"/",H905),'Ведомость расчета мин. платы'!$AE$10:$AE$214,0),2),"")</f>
        <v/>
      </c>
      <c r="J905" s="247" t="str">
        <f ca="1">IFERROR(INDEX('Ведомость расчета мин. платы'!$J$10:$AE$214,MATCH(CONCATENATE(РАСЧЕТ!B903,"/",РАСЧЕТ!D903,"/",РАСЧЕТ!E903,"/",F903,"/",H905),'Ведомость расчета мин. платы'!$AE$10:$AE$214,0),3),"")</f>
        <v/>
      </c>
      <c r="K905" s="247" t="str">
        <f ca="1">IFERROR(INDEX('Ведомость расчета мин. платы'!$J$10:$AE$214,MATCH(CONCATENATE(РАСЧЕТ!B903,"/",РАСЧЕТ!D903,"/",РАСЧЕТ!E903,"/",F903,"/",H905),'Ведомость расчета мин. платы'!$AE$10:$AE$214,0),4),"")</f>
        <v/>
      </c>
      <c r="L905" s="248">
        <f t="shared" ca="1" si="390"/>
        <v>0</v>
      </c>
      <c r="M905" s="214" t="str">
        <f ca="1">IFERROR(INDEX('Ведомость расчета мин. платы'!$J$10:$AE$214,MATCH(CONCATENATE(РАСЧЕТ!B903,"/",РАСЧЕТ!D903,"/",РАСЧЕТ!E903,"/",F903,"/",H905),'Ведомость расчета мин. платы'!$AE$10:$AE$214,0),6),"")</f>
        <v/>
      </c>
      <c r="N905" s="214">
        <f t="shared" ca="1" si="391"/>
        <v>0</v>
      </c>
      <c r="O905" s="229">
        <f t="shared" si="395"/>
        <v>1</v>
      </c>
      <c r="P905" s="230">
        <f t="shared" si="389"/>
        <v>0</v>
      </c>
      <c r="AP905" s="242"/>
      <c r="AQ905" s="253"/>
    </row>
    <row r="906" spans="1:43" x14ac:dyDescent="0.2">
      <c r="B906" s="249"/>
      <c r="C906" s="249"/>
      <c r="D906" s="249"/>
      <c r="E906" s="249"/>
      <c r="F906" s="249"/>
      <c r="G906" s="249"/>
      <c r="H906" s="250" t="s">
        <v>475</v>
      </c>
      <c r="I906" s="251" t="str">
        <f ca="1">IFERROR(ROUND(I905*I898,2),"")</f>
        <v/>
      </c>
      <c r="J906" s="251" t="str">
        <f t="shared" ref="J906" ca="1" si="397">IFERROR(ROUND(J905*J898,2),"")</f>
        <v/>
      </c>
      <c r="K906" s="251" t="str">
        <f t="shared" ref="K906" ca="1" si="398">IFERROR(ROUND(K905*K898,2),"")</f>
        <v/>
      </c>
      <c r="L906" s="251">
        <f t="shared" ca="1" si="390"/>
        <v>0</v>
      </c>
      <c r="M906" s="251" t="str">
        <f t="shared" ref="M906" ca="1" si="399">IFERROR(ROUND(M905*M898,2),"")</f>
        <v/>
      </c>
      <c r="N906" s="252">
        <f t="shared" ca="1" si="391"/>
        <v>0</v>
      </c>
      <c r="O906" s="229" t="str">
        <f t="shared" si="395"/>
        <v/>
      </c>
      <c r="P906" s="230">
        <f t="shared" si="389"/>
        <v>0</v>
      </c>
      <c r="AP906" s="242">
        <f ca="1">SUMIFS('Ведомость расчета мин. платы'!$S$10:$S$209,'Ведомость расчета мин. платы'!$AE$10:$AE$209,CONCATENATE(B903,"/",D903,"/",E903,"/",F903,"/",H905))</f>
        <v>0</v>
      </c>
      <c r="AQ906" s="253">
        <f t="shared" ref="AQ906" ca="1" si="400">AP906-N906</f>
        <v>0</v>
      </c>
    </row>
    <row r="907" spans="1:43" x14ac:dyDescent="0.2">
      <c r="B907" s="249"/>
      <c r="C907" s="249"/>
      <c r="D907" s="249"/>
      <c r="E907" s="249"/>
      <c r="F907" s="249"/>
      <c r="G907" s="249"/>
      <c r="H907" s="205" t="s">
        <v>19</v>
      </c>
      <c r="I907" s="248">
        <f ca="1">IFERROR(INDEX('Ведомость расчета мин. платы'!$J$10:$AE$214,MATCH(CONCATENATE(РАСЧЕТ!B903,"/",РАСЧЕТ!D903,"/",РАСЧЕТ!E903,"/",F903,"/",H907),'Ведомость расчета мин. платы'!$AE$10:$AE$214,0),2),"")</f>
        <v>0</v>
      </c>
      <c r="J907" s="248">
        <f ca="1">IFERROR(INDEX('Ведомость расчета мин. платы'!$J$10:$AE$214,MATCH(CONCATENATE(РАСЧЕТ!B903,"/",РАСЧЕТ!D903,"/",РАСЧЕТ!E903,"/",F903,"/",H907),'Ведомость расчета мин. платы'!$AE$10:$AE$214,0),3),"")</f>
        <v>2.17</v>
      </c>
      <c r="K907" s="248">
        <f ca="1">IFERROR(INDEX('Ведомость расчета мин. платы'!$J$10:$AE$214,MATCH(CONCATENATE(РАСЧЕТ!B903,"/",РАСЧЕТ!D903,"/",РАСЧЕТ!E903,"/",F903,"/",H907),'Ведомость расчета мин. платы'!$AE$10:$AE$214,0),4),"")</f>
        <v>3.12</v>
      </c>
      <c r="L907" s="248">
        <f t="shared" ca="1" si="390"/>
        <v>5.29</v>
      </c>
      <c r="M907" s="248">
        <f ca="1">IFERROR(INDEX('Ведомость расчета мин. платы'!$J$10:$AE$214,MATCH(CONCATENATE(РАСЧЕТ!B903,"/",РАСЧЕТ!D903,"/",РАСЧЕТ!E903,"/",F903,"/",H907),'Ведомость расчета мин. платы'!$AE$10:$AE$214,0),6),"")</f>
        <v>9.61</v>
      </c>
      <c r="N907" s="214">
        <f t="shared" ca="1" si="391"/>
        <v>14.899999999999999</v>
      </c>
      <c r="O907" s="229">
        <f t="shared" si="395"/>
        <v>1</v>
      </c>
      <c r="P907" s="230">
        <f t="shared" si="389"/>
        <v>0</v>
      </c>
      <c r="AP907" s="242"/>
      <c r="AQ907" s="253"/>
    </row>
    <row r="908" spans="1:43" x14ac:dyDescent="0.2">
      <c r="B908" s="249"/>
      <c r="C908" s="249"/>
      <c r="D908" s="249"/>
      <c r="E908" s="249"/>
      <c r="F908" s="249"/>
      <c r="G908" s="249"/>
      <c r="H908" s="250" t="s">
        <v>475</v>
      </c>
      <c r="I908" s="251">
        <f ca="1">IFERROR(ROUND(I907*I899,2),"")</f>
        <v>0</v>
      </c>
      <c r="J908" s="251">
        <f t="shared" ref="J908" ca="1" si="401">IFERROR(ROUND(J907*J899,2),"")</f>
        <v>112.71</v>
      </c>
      <c r="K908" s="251">
        <f t="shared" ref="K908" ca="1" si="402">IFERROR(ROUND(K907*K899,2),"")</f>
        <v>82.8</v>
      </c>
      <c r="L908" s="251">
        <f t="shared" ca="1" si="390"/>
        <v>195.51</v>
      </c>
      <c r="M908" s="251">
        <v>13.749999999999991</v>
      </c>
      <c r="N908" s="252">
        <f t="shared" ca="1" si="391"/>
        <v>209.26</v>
      </c>
      <c r="O908" s="229" t="str">
        <f t="shared" si="395"/>
        <v/>
      </c>
      <c r="P908" s="230">
        <f t="shared" si="389"/>
        <v>0</v>
      </c>
      <c r="AP908" s="242">
        <f ca="1">SUMIFS('Ведомость расчета мин. платы'!$S$10:$S$209,'Ведомость расчета мин. платы'!$AE$10:$AE$209,CONCATENATE(B903,"/",D903,"/",E903,"/",F903,"/",H907))</f>
        <v>209.26</v>
      </c>
      <c r="AQ908" s="253">
        <f t="shared" ref="AQ908" ca="1" si="403">AP908-N908</f>
        <v>0</v>
      </c>
    </row>
    <row r="909" spans="1:43" x14ac:dyDescent="0.2">
      <c r="B909" s="249"/>
      <c r="C909" s="249"/>
      <c r="D909" s="249"/>
      <c r="E909" s="249"/>
      <c r="F909" s="249"/>
      <c r="G909" s="249"/>
      <c r="H909" s="205" t="s">
        <v>268</v>
      </c>
      <c r="I909" s="248" t="str">
        <f ca="1">IFERROR(INDEX('Ведомость расчета мин. платы'!$J$10:$AE$214,MATCH(CONCATENATE(РАСЧЕТ!B903,"/",РАСЧЕТ!D903,"/",РАСЧЕТ!E903,"/",F903,"/",H909),'Ведомость расчета мин. платы'!$AE$10:$AE$214,0),2),"")</f>
        <v/>
      </c>
      <c r="J909" s="248" t="str">
        <f ca="1">IFERROR(INDEX('Ведомость расчета мин. платы'!$J$10:$AE$214,MATCH(CONCATENATE(РАСЧЕТ!B903,"/",РАСЧЕТ!D903,"/",РАСЧЕТ!E903,"/",F903,"/",H909),'Ведомость расчета мин. платы'!$AE$10:$AE$214,0),3),"")</f>
        <v/>
      </c>
      <c r="K909" s="248" t="str">
        <f ca="1">IFERROR(INDEX('Ведомость расчета мин. платы'!$J$10:$AE$214,MATCH(CONCATENATE(РАСЧЕТ!B903,"/",РАСЧЕТ!D903,"/",РАСЧЕТ!E903,"/",F903,"/",H909),'Ведомость расчета мин. платы'!$AE$10:$AE$214,0),4),"")</f>
        <v/>
      </c>
      <c r="L909" s="248">
        <f t="shared" ca="1" si="390"/>
        <v>0</v>
      </c>
      <c r="M909" s="248" t="str">
        <f ca="1">IFERROR(INDEX('Ведомость расчета мин. платы'!$J$10:$AE$214,MATCH(CONCATENATE(РАСЧЕТ!B903,"/",РАСЧЕТ!D903,"/",РАСЧЕТ!E903,"/",F903,"/",H909),'Ведомость расчета мин. платы'!$AE$10:$AE$214,0),6),"")</f>
        <v/>
      </c>
      <c r="N909" s="214">
        <f t="shared" ca="1" si="391"/>
        <v>0</v>
      </c>
      <c r="O909" s="229">
        <f t="shared" si="395"/>
        <v>1</v>
      </c>
      <c r="P909" s="230">
        <f t="shared" si="389"/>
        <v>0</v>
      </c>
      <c r="AP909" s="242"/>
      <c r="AQ909" s="253"/>
    </row>
    <row r="910" spans="1:43" x14ac:dyDescent="0.2">
      <c r="B910" s="249"/>
      <c r="C910" s="249"/>
      <c r="D910" s="249"/>
      <c r="E910" s="249"/>
      <c r="F910" s="249"/>
      <c r="G910" s="249"/>
      <c r="H910" s="250" t="s">
        <v>475</v>
      </c>
      <c r="I910" s="251" t="str">
        <f ca="1">IFERROR(ROUND(I909*I900,2),"")</f>
        <v/>
      </c>
      <c r="J910" s="251" t="str">
        <f ca="1">IFERROR(ROUND(J909*J900,2),"")</f>
        <v/>
      </c>
      <c r="K910" s="251" t="str">
        <f ca="1">IFERROR(ROUND(K909*K900,2),"")</f>
        <v/>
      </c>
      <c r="L910" s="251">
        <f t="shared" ca="1" si="390"/>
        <v>0</v>
      </c>
      <c r="M910" s="251" t="str">
        <f ca="1">IFERROR(ROUND(M909*M900,2),"")</f>
        <v/>
      </c>
      <c r="N910" s="252">
        <f t="shared" ca="1" si="391"/>
        <v>0</v>
      </c>
      <c r="O910" s="229" t="str">
        <f t="shared" si="395"/>
        <v/>
      </c>
      <c r="P910" s="230">
        <f t="shared" si="389"/>
        <v>0</v>
      </c>
      <c r="AP910" s="242">
        <f ca="1">SUMIFS('Ведомость расчета мин. платы'!$S$10:$S$209,'Ведомость расчета мин. платы'!$AE$10:$AE$209,CONCATENATE(B903,"/",D903,"/",E903,"/",F903,"/",H909))</f>
        <v>0</v>
      </c>
      <c r="AQ910" s="253">
        <f t="shared" ref="AQ910" ca="1" si="404">AP910-N910</f>
        <v>0</v>
      </c>
    </row>
    <row r="911" spans="1:43" x14ac:dyDescent="0.2">
      <c r="B911" s="249"/>
      <c r="C911" s="249"/>
      <c r="D911" s="249"/>
      <c r="E911" s="249"/>
      <c r="F911" s="249"/>
      <c r="G911" s="249"/>
      <c r="H911" s="205" t="s">
        <v>40</v>
      </c>
      <c r="I911" s="248" t="str">
        <f ca="1">IFERROR(INDEX('Ведомость расчета мин. платы'!$J$10:$AE$214,MATCH(CONCATENATE(РАСЧЕТ!B903,"/",РАСЧЕТ!D903,"/",РАСЧЕТ!E903,"/",F903,"/",H911),'Ведомость расчета мин. платы'!$AE$10:$AE$214,0),2),"")</f>
        <v/>
      </c>
      <c r="J911" s="248" t="str">
        <f ca="1">IFERROR(INDEX('Ведомость расчета мин. платы'!$J$10:$AE$214,MATCH(CONCATENATE(РАСЧЕТ!B903,"/",РАСЧЕТ!D903,"/",РАСЧЕТ!E903,"/",F903,"/",H911),'Ведомость расчета мин. платы'!$AE$10:$AE$214,0),3),"")</f>
        <v/>
      </c>
      <c r="K911" s="248" t="str">
        <f ca="1">IFERROR(INDEX('Ведомость расчета мин. платы'!$J$10:$AE$214,MATCH(CONCATENATE(РАСЧЕТ!B903,"/",РАСЧЕТ!D903,"/",РАСЧЕТ!E903,"/",F903,"/",H911),'Ведомость расчета мин. платы'!$AE$10:$AE$214,0),4),"")</f>
        <v/>
      </c>
      <c r="L911" s="248">
        <f t="shared" ca="1" si="390"/>
        <v>0</v>
      </c>
      <c r="M911" s="248" t="str">
        <f ca="1">IFERROR(INDEX('Ведомость расчета мин. платы'!$J$10:$AE$214,MATCH(CONCATENATE(РАСЧЕТ!B903,"/",РАСЧЕТ!D903,"/",РАСЧЕТ!E903,"/",F903,"/",H911),'Ведомость расчета мин. платы'!$AE$10:$AE$214,0),6),"")</f>
        <v/>
      </c>
      <c r="N911" s="214">
        <f t="shared" ca="1" si="391"/>
        <v>0</v>
      </c>
      <c r="O911" s="229">
        <f t="shared" si="395"/>
        <v>1</v>
      </c>
      <c r="P911" s="230">
        <f t="shared" si="389"/>
        <v>0</v>
      </c>
      <c r="AP911" s="242"/>
      <c r="AQ911" s="253"/>
    </row>
    <row r="912" spans="1:43" x14ac:dyDescent="0.2">
      <c r="B912" s="249"/>
      <c r="C912" s="249"/>
      <c r="D912" s="249"/>
      <c r="E912" s="249"/>
      <c r="F912" s="249"/>
      <c r="G912" s="249"/>
      <c r="H912" s="250" t="s">
        <v>475</v>
      </c>
      <c r="I912" s="251" t="str">
        <f ca="1">IFERROR(ROUND(I911*I901,2),"")</f>
        <v/>
      </c>
      <c r="J912" s="251" t="str">
        <f t="shared" ref="J912" ca="1" si="405">IFERROR(ROUND(J911*J901,2),"")</f>
        <v/>
      </c>
      <c r="K912" s="251" t="str">
        <f t="shared" ref="K912" ca="1" si="406">IFERROR(ROUND(K911*K901,2),"")</f>
        <v/>
      </c>
      <c r="L912" s="251">
        <f t="shared" ca="1" si="390"/>
        <v>0</v>
      </c>
      <c r="M912" s="251" t="str">
        <f t="shared" ref="M912" ca="1" si="407">IFERROR(ROUND(M911*M901,2),"")</f>
        <v/>
      </c>
      <c r="N912" s="252">
        <f t="shared" ca="1" si="391"/>
        <v>0</v>
      </c>
      <c r="O912" s="229" t="str">
        <f t="shared" si="395"/>
        <v/>
      </c>
      <c r="P912" s="230">
        <f t="shared" si="389"/>
        <v>0</v>
      </c>
      <c r="AP912" s="242">
        <f ca="1">SUMIFS('Ведомость расчета мин. платы'!$S$10:$S$209,'Ведомость расчета мин. платы'!$AE$10:$AE$209,CONCATENATE(B903,"/",D903,"/",E903,"/",F903,"/",H911))</f>
        <v>0</v>
      </c>
      <c r="AQ912" s="253">
        <f t="shared" ref="AQ912" ca="1" si="408">AP912-N912</f>
        <v>0</v>
      </c>
    </row>
    <row r="913" spans="2:43" x14ac:dyDescent="0.2">
      <c r="B913" s="249"/>
      <c r="C913" s="249"/>
      <c r="D913" s="249"/>
      <c r="E913" s="249"/>
      <c r="F913" s="249"/>
      <c r="G913" s="249"/>
      <c r="H913" s="205" t="s">
        <v>18</v>
      </c>
      <c r="I913" s="248">
        <f ca="1">IFERROR(INDEX('Ведомость расчета мин. платы'!$J$10:$AE$214,MATCH(CONCATENATE(РАСЧЕТ!B903,"/",РАСЧЕТ!D903,"/",РАСЧЕТ!E903,"/",F903,"/",H913),'Ведомость расчета мин. платы'!$AE$10:$AE$214,0),2),"")</f>
        <v>262.29000000000002</v>
      </c>
      <c r="J913" s="248">
        <f ca="1">IFERROR(INDEX('Ведомость расчета мин. платы'!$J$10:$AE$214,MATCH(CONCATENATE(РАСЧЕТ!B903,"/",РАСЧЕТ!D903,"/",РАСЧЕТ!E903,"/",F903,"/",H913),'Ведомость расчета мин. платы'!$AE$10:$AE$214,0),3),"")</f>
        <v>120.02</v>
      </c>
      <c r="K913" s="248">
        <f ca="1">IFERROR(INDEX('Ведомость расчета мин. платы'!$J$10:$AE$214,MATCH(CONCATENATE(РАСЧЕТ!B903,"/",РАСЧЕТ!D903,"/",РАСЧЕТ!E903,"/",F903,"/",H913),'Ведомость расчета мин. платы'!$AE$10:$AE$214,0),4),"")</f>
        <v>3.15</v>
      </c>
      <c r="L913" s="248">
        <f t="shared" ca="1" si="390"/>
        <v>385.46</v>
      </c>
      <c r="M913" s="248">
        <f ca="1">IFERROR(INDEX('Ведомость расчета мин. платы'!$J$10:$AE$214,MATCH(CONCATENATE(РАСЧЕТ!B903,"/",РАСЧЕТ!D903,"/",РАСЧЕТ!E903,"/",F903,"/",H913),'Ведомость расчета мин. платы'!$AE$10:$AE$214,0),6),"")</f>
        <v>281.93</v>
      </c>
      <c r="N913" s="214">
        <f t="shared" ca="1" si="391"/>
        <v>667.39</v>
      </c>
      <c r="O913" s="229">
        <f t="shared" si="395"/>
        <v>1</v>
      </c>
      <c r="P913" s="230">
        <f t="shared" si="389"/>
        <v>0</v>
      </c>
      <c r="AP913" s="242"/>
      <c r="AQ913" s="253"/>
    </row>
    <row r="914" spans="2:43" x14ac:dyDescent="0.2">
      <c r="B914" s="249"/>
      <c r="C914" s="249"/>
      <c r="D914" s="249"/>
      <c r="E914" s="249"/>
      <c r="F914" s="249"/>
      <c r="G914" s="249"/>
      <c r="H914" s="250" t="s">
        <v>475</v>
      </c>
      <c r="I914" s="251">
        <f ca="1">IFERROR(ROUND(I913*I902,2),"")</f>
        <v>5988.08</v>
      </c>
      <c r="J914" s="251">
        <f t="shared" ref="J914" ca="1" si="409">IFERROR(ROUND(J913*J902,2),"")</f>
        <v>2089.5500000000002</v>
      </c>
      <c r="K914" s="251">
        <f t="shared" ref="K914" ca="1" si="410">IFERROR(ROUND(K913*K902,2),"")</f>
        <v>27.88</v>
      </c>
      <c r="L914" s="251">
        <f t="shared" ca="1" si="390"/>
        <v>8105.51</v>
      </c>
      <c r="M914" s="251">
        <f t="shared" ref="M914" ca="1" si="411">IFERROR(ROUND(M913*M902,2),"")</f>
        <v>160.69999999999999</v>
      </c>
      <c r="N914" s="252">
        <f t="shared" ca="1" si="391"/>
        <v>8266.2100000000009</v>
      </c>
      <c r="O914" s="229" t="str">
        <f t="shared" si="395"/>
        <v/>
      </c>
      <c r="P914" s="230">
        <f t="shared" si="389"/>
        <v>0</v>
      </c>
      <c r="AP914" s="242">
        <f ca="1">SUMIFS('Ведомость расчета мин. платы'!$S$10:$S$209,'Ведомость расчета мин. платы'!$AE$10:$AE$209,CONCATENATE(B903,"/",D903,"/",E903,"/",F903,"/",H913))</f>
        <v>8266.2099999999991</v>
      </c>
      <c r="AQ914" s="253">
        <f t="shared" ref="AQ914" ca="1" si="412">AP914-N914</f>
        <v>0</v>
      </c>
    </row>
    <row r="915" spans="2:43" x14ac:dyDescent="0.2">
      <c r="B915" s="249"/>
      <c r="C915" s="249"/>
      <c r="D915" s="249"/>
      <c r="E915" s="249"/>
      <c r="F915" s="249"/>
      <c r="G915" s="249"/>
      <c r="H915" s="254" t="s">
        <v>476</v>
      </c>
      <c r="I915" s="251">
        <f ca="1">SUMIF($O903:$O916,1,I903:I914)</f>
        <v>277.52000000000004</v>
      </c>
      <c r="J915" s="251">
        <f ca="1">SUMIF($O903:$O916,1,J903:J914)</f>
        <v>152.63999999999999</v>
      </c>
      <c r="K915" s="251">
        <f ca="1">SUMIF($O903:$O916,1,K903:K914)</f>
        <v>10.37</v>
      </c>
      <c r="L915" s="251">
        <f t="shared" ca="1" si="390"/>
        <v>440.53000000000003</v>
      </c>
      <c r="M915" s="251">
        <f ca="1">SUMIF($O903:$O916,1,M903:M914)</f>
        <v>339.75</v>
      </c>
      <c r="N915" s="252">
        <f t="shared" ca="1" si="391"/>
        <v>780.28</v>
      </c>
      <c r="AP915" s="242"/>
      <c r="AQ915" s="253"/>
    </row>
    <row r="916" spans="2:43" x14ac:dyDescent="0.2">
      <c r="B916" s="249"/>
      <c r="C916" s="249"/>
      <c r="D916" s="249"/>
      <c r="E916" s="249"/>
      <c r="F916" s="249"/>
      <c r="G916" s="249"/>
      <c r="H916" s="254" t="s">
        <v>491</v>
      </c>
      <c r="I916" s="251">
        <f ca="1">SUMIF(H903:H914,"стоимость",I903:I914)</f>
        <v>7817.96</v>
      </c>
      <c r="J916" s="251">
        <f ca="1">SUMIF(H903:H914,"стоимость",J903:J914)</f>
        <v>4809.3900000000003</v>
      </c>
      <c r="K916" s="251">
        <f ca="1">SUMIF(H903:H914,"стоимость",K903:K914)</f>
        <v>288.54000000000002</v>
      </c>
      <c r="L916" s="251">
        <f ca="1">IFERROR(SUM(I916:K916),"")</f>
        <v>12915.890000000001</v>
      </c>
      <c r="M916" s="251">
        <f ca="1">SUMIF(H903:H914,"стоимость",M903:M914)</f>
        <v>504.69</v>
      </c>
      <c r="N916" s="252">
        <f ca="1">IFERROR(SUM(L916:M916),"")</f>
        <v>13420.580000000002</v>
      </c>
      <c r="AP916" s="242">
        <f ca="1">SUMIFS('Ведомость расчета мин. платы'!$S$10:$S$209,'Ведомость расчета мин. платы'!$J$10:$J$209,"Итого",'Ведомость расчета мин. платы'!$AC$10:$AC$209,CONCATENATE(B903,"/",D903,"/",E903,"/",F903))</f>
        <v>13420.579999999998</v>
      </c>
      <c r="AQ916" s="253">
        <f ca="1">AP916-N916</f>
        <v>0</v>
      </c>
    </row>
    <row r="917" spans="2:43" x14ac:dyDescent="0.2">
      <c r="B917" s="255"/>
      <c r="C917" s="255"/>
      <c r="D917" s="255"/>
      <c r="E917" s="255"/>
      <c r="F917" s="255"/>
      <c r="G917" s="256"/>
      <c r="H917" s="257"/>
      <c r="I917" s="258"/>
      <c r="J917" s="258"/>
      <c r="K917" s="258"/>
      <c r="L917" s="258"/>
      <c r="M917" s="258"/>
      <c r="N917" s="258"/>
      <c r="P917" s="230">
        <f t="shared" ref="P917:P935" si="413">IF(A917&gt;0,1,0)</f>
        <v>0</v>
      </c>
    </row>
    <row r="918" spans="2:43" x14ac:dyDescent="0.2">
      <c r="B918" s="282" t="s">
        <v>477</v>
      </c>
      <c r="C918" s="282"/>
      <c r="D918" s="282"/>
      <c r="E918" s="282"/>
      <c r="F918" s="259"/>
      <c r="G918" s="225"/>
      <c r="H918" s="201"/>
      <c r="I918" s="226"/>
      <c r="J918" s="258"/>
      <c r="K918" s="258"/>
      <c r="L918" s="258"/>
      <c r="M918" s="258"/>
      <c r="N918" s="258"/>
      <c r="P918" s="230">
        <f t="shared" si="413"/>
        <v>0</v>
      </c>
    </row>
    <row r="919" spans="2:43" x14ac:dyDescent="0.2">
      <c r="B919" s="283" t="s">
        <v>525</v>
      </c>
      <c r="C919" s="283"/>
      <c r="D919" s="283"/>
      <c r="E919" s="283"/>
      <c r="F919" s="283"/>
      <c r="G919" s="283"/>
      <c r="H919" s="283"/>
      <c r="I919" s="283"/>
      <c r="J919" s="261"/>
      <c r="K919" s="261"/>
      <c r="L919" s="261"/>
      <c r="M919" s="261"/>
      <c r="N919" s="261"/>
      <c r="P919" s="230">
        <f t="shared" si="413"/>
        <v>0</v>
      </c>
    </row>
    <row r="920" spans="2:43" x14ac:dyDescent="0.2">
      <c r="B920" s="284" t="s">
        <v>478</v>
      </c>
      <c r="C920" s="284"/>
      <c r="D920" s="284"/>
      <c r="E920" s="284"/>
      <c r="F920" s="284"/>
      <c r="G920" s="284"/>
      <c r="H920" s="284"/>
      <c r="I920" s="284"/>
      <c r="J920" s="258"/>
      <c r="K920" s="258"/>
      <c r="L920" s="258"/>
      <c r="M920" s="258"/>
      <c r="N920" s="258"/>
      <c r="P920" s="230">
        <f t="shared" si="413"/>
        <v>0</v>
      </c>
    </row>
    <row r="921" spans="2:43" x14ac:dyDescent="0.2">
      <c r="B921" s="284" t="s">
        <v>479</v>
      </c>
      <c r="C921" s="284"/>
      <c r="D921" s="284"/>
      <c r="E921" s="284"/>
      <c r="F921" s="284"/>
      <c r="G921" s="284"/>
      <c r="H921" s="284"/>
      <c r="I921" s="284"/>
      <c r="J921" s="258"/>
      <c r="K921" s="258"/>
      <c r="L921" s="258"/>
      <c r="M921" s="258"/>
      <c r="N921" s="258"/>
      <c r="P921" s="230">
        <f t="shared" si="413"/>
        <v>0</v>
      </c>
    </row>
    <row r="922" spans="2:43" x14ac:dyDescent="0.2">
      <c r="B922" s="284" t="s">
        <v>480</v>
      </c>
      <c r="C922" s="284"/>
      <c r="D922" s="284"/>
      <c r="E922" s="284"/>
      <c r="F922" s="284"/>
      <c r="G922" s="284"/>
      <c r="H922" s="284"/>
      <c r="I922" s="284"/>
      <c r="J922" s="258"/>
      <c r="K922" s="258"/>
      <c r="L922" s="258"/>
      <c r="M922" s="258"/>
      <c r="N922" s="258"/>
      <c r="P922" s="230">
        <f t="shared" si="413"/>
        <v>0</v>
      </c>
    </row>
    <row r="923" spans="2:43" x14ac:dyDescent="0.2">
      <c r="B923" s="284" t="s">
        <v>481</v>
      </c>
      <c r="C923" s="284"/>
      <c r="D923" s="284"/>
      <c r="E923" s="284"/>
      <c r="F923" s="284"/>
      <c r="G923" s="284"/>
      <c r="H923" s="284"/>
      <c r="I923" s="284"/>
      <c r="J923" s="226"/>
      <c r="K923" s="226"/>
      <c r="L923" s="226"/>
      <c r="M923" s="226"/>
      <c r="N923" s="226"/>
      <c r="P923" s="230">
        <f t="shared" si="413"/>
        <v>0</v>
      </c>
    </row>
    <row r="924" spans="2:43" x14ac:dyDescent="0.2">
      <c r="B924" s="284" t="s">
        <v>482</v>
      </c>
      <c r="C924" s="284"/>
      <c r="D924" s="284"/>
      <c r="E924" s="284"/>
      <c r="F924" s="284"/>
      <c r="G924" s="284"/>
      <c r="H924" s="284"/>
      <c r="I924" s="284"/>
      <c r="J924" s="226"/>
      <c r="K924" s="226"/>
      <c r="L924" s="226"/>
      <c r="M924" s="226"/>
      <c r="N924" s="226"/>
      <c r="P924" s="230">
        <f t="shared" si="413"/>
        <v>0</v>
      </c>
    </row>
    <row r="925" spans="2:43" x14ac:dyDescent="0.2">
      <c r="B925" s="284" t="s">
        <v>483</v>
      </c>
      <c r="C925" s="284"/>
      <c r="D925" s="284"/>
      <c r="E925" s="284"/>
      <c r="F925" s="284"/>
      <c r="G925" s="284"/>
      <c r="H925" s="284"/>
      <c r="I925" s="284"/>
      <c r="J925" s="226"/>
      <c r="K925" s="226"/>
      <c r="L925" s="226"/>
      <c r="M925" s="226"/>
      <c r="N925" s="226"/>
      <c r="P925" s="230">
        <f t="shared" si="413"/>
        <v>0</v>
      </c>
    </row>
    <row r="926" spans="2:43" x14ac:dyDescent="0.2">
      <c r="B926" s="284" t="s">
        <v>484</v>
      </c>
      <c r="C926" s="284"/>
      <c r="D926" s="284"/>
      <c r="E926" s="284"/>
      <c r="F926" s="284"/>
      <c r="G926" s="284"/>
      <c r="H926" s="284"/>
      <c r="I926" s="284"/>
      <c r="J926" s="226"/>
      <c r="K926" s="226"/>
      <c r="L926" s="226"/>
      <c r="M926" s="226"/>
      <c r="N926" s="226"/>
      <c r="P926" s="230">
        <f t="shared" si="413"/>
        <v>0</v>
      </c>
    </row>
    <row r="927" spans="2:43" x14ac:dyDescent="0.2">
      <c r="B927" s="264"/>
      <c r="C927" s="264"/>
      <c r="D927" s="264"/>
      <c r="E927" s="264"/>
      <c r="F927" s="264"/>
      <c r="G927" s="264"/>
      <c r="H927" s="264"/>
      <c r="I927" s="265"/>
      <c r="J927" s="226"/>
      <c r="K927" s="226"/>
      <c r="L927" s="226"/>
      <c r="M927" s="226"/>
      <c r="N927" s="226"/>
      <c r="P927" s="230">
        <f t="shared" si="413"/>
        <v>0</v>
      </c>
    </row>
    <row r="928" spans="2:43" x14ac:dyDescent="0.2">
      <c r="B928" s="225" t="s">
        <v>485</v>
      </c>
      <c r="C928" s="225"/>
      <c r="D928" s="225"/>
      <c r="E928" s="225"/>
      <c r="F928" s="225"/>
      <c r="G928" s="225"/>
      <c r="H928" s="201"/>
      <c r="I928" s="226"/>
      <c r="J928" s="226" t="s">
        <v>486</v>
      </c>
      <c r="K928" s="226"/>
      <c r="L928" s="226"/>
      <c r="M928" s="226"/>
      <c r="N928" s="226"/>
      <c r="P928" s="230">
        <f t="shared" si="413"/>
        <v>0</v>
      </c>
    </row>
    <row r="929" spans="1:16" x14ac:dyDescent="0.2">
      <c r="B929" s="266" t="s">
        <v>524</v>
      </c>
      <c r="C929" s="266"/>
      <c r="D929" s="225"/>
      <c r="E929" s="225"/>
      <c r="F929" s="225"/>
      <c r="G929" s="225"/>
      <c r="H929" s="201"/>
      <c r="I929" s="226"/>
      <c r="J929" s="267"/>
      <c r="K929" s="267"/>
      <c r="L929" s="267"/>
      <c r="M929" s="226"/>
      <c r="N929" s="226"/>
      <c r="P929" s="230">
        <f t="shared" si="413"/>
        <v>0</v>
      </c>
    </row>
    <row r="930" spans="1:16" x14ac:dyDescent="0.2">
      <c r="B930" s="268" t="s">
        <v>487</v>
      </c>
      <c r="C930" s="225"/>
      <c r="D930" s="225"/>
      <c r="E930" s="225"/>
      <c r="F930" s="225"/>
      <c r="G930" s="225"/>
      <c r="H930" s="201"/>
      <c r="I930" s="226"/>
      <c r="J930" s="226" t="s">
        <v>487</v>
      </c>
      <c r="K930" s="226"/>
      <c r="L930" s="226"/>
      <c r="M930" s="226"/>
      <c r="N930" s="226"/>
      <c r="P930" s="230">
        <f t="shared" si="413"/>
        <v>0</v>
      </c>
    </row>
    <row r="931" spans="1:16" x14ac:dyDescent="0.2">
      <c r="B931" s="225"/>
      <c r="C931" s="225"/>
      <c r="D931" s="225"/>
      <c r="E931" s="225"/>
      <c r="F931" s="225"/>
      <c r="G931" s="225"/>
      <c r="H931" s="201"/>
      <c r="I931" s="226"/>
      <c r="J931" s="226"/>
      <c r="K931" s="226"/>
      <c r="L931" s="226"/>
      <c r="M931" s="226"/>
      <c r="N931" s="226"/>
      <c r="P931" s="230">
        <f t="shared" si="413"/>
        <v>0</v>
      </c>
    </row>
    <row r="932" spans="1:16" x14ac:dyDescent="0.2">
      <c r="B932" s="266"/>
      <c r="C932" s="266"/>
      <c r="D932" s="225"/>
      <c r="E932" s="225"/>
      <c r="F932" s="225"/>
      <c r="G932" s="225"/>
      <c r="H932" s="201"/>
      <c r="I932" s="226"/>
      <c r="J932" s="267"/>
      <c r="K932" s="267"/>
      <c r="L932" s="267"/>
      <c r="M932" s="226"/>
      <c r="N932" s="226"/>
      <c r="P932" s="230">
        <f t="shared" si="413"/>
        <v>0</v>
      </c>
    </row>
    <row r="933" spans="1:16" x14ac:dyDescent="0.2">
      <c r="B933" s="269" t="s">
        <v>488</v>
      </c>
      <c r="C933" s="225"/>
      <c r="D933" s="225"/>
      <c r="E933" s="225"/>
      <c r="F933" s="225"/>
      <c r="G933" s="225"/>
      <c r="H933" s="201"/>
      <c r="I933" s="226"/>
      <c r="J933" s="285" t="s">
        <v>488</v>
      </c>
      <c r="K933" s="285"/>
      <c r="L933" s="285"/>
      <c r="M933" s="226"/>
      <c r="N933" s="226"/>
      <c r="P933" s="230">
        <f t="shared" si="413"/>
        <v>0</v>
      </c>
    </row>
    <row r="934" spans="1:16" x14ac:dyDescent="0.2">
      <c r="B934" s="225"/>
      <c r="C934" s="225"/>
      <c r="D934" s="225"/>
      <c r="E934" s="225"/>
      <c r="F934" s="225"/>
      <c r="G934" s="225"/>
      <c r="H934" s="201"/>
      <c r="I934" s="226"/>
      <c r="J934" s="226"/>
      <c r="K934" s="226"/>
      <c r="L934" s="226"/>
      <c r="M934" s="226"/>
      <c r="N934" s="226"/>
      <c r="P934" s="230">
        <f t="shared" si="413"/>
        <v>0</v>
      </c>
    </row>
    <row r="935" spans="1:16" x14ac:dyDescent="0.2">
      <c r="B935" s="264" t="s">
        <v>489</v>
      </c>
      <c r="C935" s="225"/>
      <c r="D935" s="225"/>
      <c r="E935" s="225"/>
      <c r="F935" s="225"/>
      <c r="G935" s="225"/>
      <c r="H935" s="201"/>
      <c r="I935" s="226"/>
      <c r="J935" s="226" t="s">
        <v>489</v>
      </c>
      <c r="K935" s="226"/>
      <c r="L935" s="226"/>
      <c r="M935" s="226"/>
      <c r="N935" s="226"/>
      <c r="P935" s="230">
        <f t="shared" si="413"/>
        <v>0</v>
      </c>
    </row>
    <row r="936" spans="1:16" x14ac:dyDescent="0.2">
      <c r="A936" s="272"/>
      <c r="B936" s="225"/>
      <c r="C936" s="225"/>
      <c r="D936" s="225"/>
      <c r="E936" s="225"/>
      <c r="F936" s="225"/>
      <c r="G936" s="225"/>
      <c r="H936" s="201"/>
      <c r="I936" s="226"/>
      <c r="J936" s="226"/>
      <c r="K936" s="226"/>
      <c r="M936" s="226"/>
      <c r="N936" s="228"/>
    </row>
    <row r="937" spans="1:16" x14ac:dyDescent="0.2">
      <c r="A937" s="260"/>
      <c r="B937" s="225"/>
      <c r="C937" s="225"/>
      <c r="D937" s="225"/>
      <c r="E937" s="225"/>
      <c r="F937" s="225"/>
      <c r="G937" s="225"/>
      <c r="H937" s="201"/>
      <c r="I937" s="226"/>
      <c r="J937" s="226"/>
      <c r="K937" s="226"/>
      <c r="M937" s="226"/>
      <c r="N937" s="228" t="s">
        <v>455</v>
      </c>
      <c r="P937" s="230">
        <f t="shared" ref="P937:P954" si="414">IF(A937&gt;0,1,0)</f>
        <v>0</v>
      </c>
    </row>
    <row r="938" spans="1:16" x14ac:dyDescent="0.2">
      <c r="B938" s="225"/>
      <c r="C938" s="225"/>
      <c r="D938" s="225"/>
      <c r="E938" s="225"/>
      <c r="F938" s="225"/>
      <c r="G938" s="225"/>
      <c r="H938" s="201"/>
      <c r="I938" s="226"/>
      <c r="J938" s="226"/>
      <c r="K938" s="226"/>
      <c r="M938" s="226"/>
      <c r="N938" s="228" t="s">
        <v>456</v>
      </c>
      <c r="P938" s="230">
        <f t="shared" si="414"/>
        <v>0</v>
      </c>
    </row>
    <row r="939" spans="1:16" x14ac:dyDescent="0.2">
      <c r="B939" s="225"/>
      <c r="C939" s="225"/>
      <c r="D939" s="225"/>
      <c r="E939" s="225"/>
      <c r="F939" s="225"/>
      <c r="G939" s="225"/>
      <c r="H939" s="201"/>
      <c r="I939" s="226"/>
      <c r="J939" s="226"/>
      <c r="K939" s="226"/>
      <c r="M939" s="226"/>
      <c r="N939" s="228" t="s">
        <v>457</v>
      </c>
      <c r="P939" s="230">
        <f t="shared" si="414"/>
        <v>0</v>
      </c>
    </row>
    <row r="940" spans="1:16" x14ac:dyDescent="0.2">
      <c r="B940" s="225"/>
      <c r="C940" s="225"/>
      <c r="D940" s="225"/>
      <c r="E940" s="225"/>
      <c r="F940" s="225"/>
      <c r="G940" s="225"/>
      <c r="H940" s="201"/>
      <c r="I940" s="226"/>
      <c r="J940" s="226"/>
      <c r="K940" s="226"/>
      <c r="L940" s="226"/>
      <c r="M940" s="226"/>
      <c r="N940" s="226"/>
      <c r="P940" s="230">
        <f t="shared" si="414"/>
        <v>0</v>
      </c>
    </row>
    <row r="941" spans="1:16" x14ac:dyDescent="0.2">
      <c r="B941" s="225"/>
      <c r="C941" s="286" t="s">
        <v>458</v>
      </c>
      <c r="D941" s="286"/>
      <c r="E941" s="286"/>
      <c r="F941" s="286"/>
      <c r="G941" s="286"/>
      <c r="H941" s="286"/>
      <c r="I941" s="286"/>
      <c r="J941" s="286"/>
      <c r="K941" s="286"/>
      <c r="L941" s="286"/>
      <c r="M941" s="226"/>
      <c r="N941" s="226"/>
      <c r="P941" s="230">
        <f t="shared" si="414"/>
        <v>0</v>
      </c>
    </row>
    <row r="942" spans="1:16" x14ac:dyDescent="0.2">
      <c r="B942" s="225"/>
      <c r="C942" s="286" t="s">
        <v>459</v>
      </c>
      <c r="D942" s="286"/>
      <c r="E942" s="286"/>
      <c r="F942" s="286"/>
      <c r="G942" s="286"/>
      <c r="H942" s="286"/>
      <c r="I942" s="286"/>
      <c r="J942" s="286"/>
      <c r="K942" s="286"/>
      <c r="L942" s="286"/>
      <c r="M942" s="226"/>
      <c r="N942" s="226"/>
      <c r="P942" s="230">
        <f t="shared" si="414"/>
        <v>0</v>
      </c>
    </row>
    <row r="943" spans="1:16" x14ac:dyDescent="0.2">
      <c r="B943" s="225" t="s">
        <v>460</v>
      </c>
      <c r="C943" s="234"/>
      <c r="D943" s="234"/>
      <c r="E943" s="234"/>
      <c r="F943" s="234"/>
      <c r="G943" s="234"/>
      <c r="H943" s="234"/>
      <c r="I943" s="235"/>
      <c r="J943" s="235"/>
      <c r="K943" s="235"/>
      <c r="L943" s="287" t="s">
        <v>461</v>
      </c>
      <c r="M943" s="287"/>
      <c r="N943" s="287"/>
      <c r="P943" s="230">
        <f t="shared" si="414"/>
        <v>0</v>
      </c>
    </row>
    <row r="944" spans="1:16" x14ac:dyDescent="0.2">
      <c r="B944" s="225"/>
      <c r="C944" s="234"/>
      <c r="D944" s="234"/>
      <c r="E944" s="234"/>
      <c r="F944" s="234"/>
      <c r="G944" s="234"/>
      <c r="H944" s="234"/>
      <c r="I944" s="235"/>
      <c r="J944" s="235"/>
      <c r="K944" s="235"/>
      <c r="L944" s="235"/>
      <c r="M944" s="235"/>
      <c r="N944" s="235"/>
      <c r="P944" s="230">
        <f t="shared" si="414"/>
        <v>0</v>
      </c>
    </row>
    <row r="945" spans="1:43" x14ac:dyDescent="0.2">
      <c r="B945" s="225" t="s">
        <v>2038</v>
      </c>
      <c r="C945" s="234"/>
      <c r="D945" s="234"/>
      <c r="E945" s="234"/>
      <c r="F945" s="234"/>
      <c r="G945" s="234"/>
      <c r="H945" s="234"/>
      <c r="I945" s="235"/>
      <c r="J945" s="235"/>
      <c r="K945" s="235"/>
      <c r="L945" s="235"/>
      <c r="M945" s="235"/>
      <c r="N945" s="235"/>
      <c r="P945" s="230">
        <f t="shared" si="414"/>
        <v>0</v>
      </c>
    </row>
    <row r="946" spans="1:43" x14ac:dyDescent="0.2">
      <c r="B946" s="225" t="s">
        <v>462</v>
      </c>
      <c r="C946" s="234"/>
      <c r="D946" s="234"/>
      <c r="E946" s="234"/>
      <c r="F946" s="234"/>
      <c r="G946" s="234"/>
      <c r="H946" s="234"/>
      <c r="I946" s="235"/>
      <c r="J946" s="235"/>
      <c r="K946" s="235"/>
      <c r="L946" s="235"/>
      <c r="M946" s="235"/>
      <c r="N946" s="235"/>
      <c r="P946" s="230">
        <f t="shared" si="414"/>
        <v>0</v>
      </c>
    </row>
    <row r="947" spans="1:43" x14ac:dyDescent="0.2">
      <c r="B947" s="225" t="s">
        <v>2037</v>
      </c>
      <c r="C947" s="234"/>
      <c r="D947" s="234"/>
      <c r="E947" s="234"/>
      <c r="F947" s="234"/>
      <c r="G947" s="234"/>
      <c r="H947" s="234"/>
      <c r="I947" s="235"/>
      <c r="J947" s="235"/>
      <c r="K947" s="235"/>
      <c r="L947" s="235"/>
      <c r="M947" s="235"/>
      <c r="N947" s="235"/>
      <c r="P947" s="230">
        <f t="shared" si="414"/>
        <v>0</v>
      </c>
    </row>
    <row r="948" spans="1:43" x14ac:dyDescent="0.2">
      <c r="B948" s="225" t="s">
        <v>2052</v>
      </c>
      <c r="C948" s="234"/>
      <c r="D948" s="234"/>
      <c r="E948" s="234"/>
      <c r="F948" s="234"/>
      <c r="G948" s="234"/>
      <c r="H948" s="234"/>
      <c r="I948" s="235"/>
      <c r="J948" s="235"/>
      <c r="K948" s="235"/>
      <c r="L948" s="235"/>
      <c r="M948" s="235"/>
      <c r="N948" s="235"/>
      <c r="P948" s="230">
        <f t="shared" si="414"/>
        <v>0</v>
      </c>
    </row>
    <row r="949" spans="1:43" x14ac:dyDescent="0.2">
      <c r="B949" s="225"/>
      <c r="C949" s="225"/>
      <c r="D949" s="225"/>
      <c r="E949" s="225"/>
      <c r="F949" s="225"/>
      <c r="G949" s="225"/>
      <c r="H949" s="201"/>
      <c r="I949" s="226"/>
      <c r="J949" s="226"/>
      <c r="K949" s="226"/>
      <c r="L949" s="226"/>
      <c r="M949" s="226"/>
      <c r="N949" s="226"/>
      <c r="P949" s="230">
        <f t="shared" si="414"/>
        <v>0</v>
      </c>
    </row>
    <row r="950" spans="1:43" x14ac:dyDescent="0.2">
      <c r="B950" s="288" t="s">
        <v>106</v>
      </c>
      <c r="C950" s="290" t="s">
        <v>463</v>
      </c>
      <c r="D950" s="288" t="s">
        <v>464</v>
      </c>
      <c r="E950" s="288" t="s">
        <v>465</v>
      </c>
      <c r="F950" s="288" t="s">
        <v>490</v>
      </c>
      <c r="G950" s="288" t="s">
        <v>466</v>
      </c>
      <c r="H950" s="292" t="s">
        <v>8</v>
      </c>
      <c r="I950" s="294" t="s">
        <v>467</v>
      </c>
      <c r="J950" s="295"/>
      <c r="K950" s="295"/>
      <c r="L950" s="296"/>
      <c r="M950" s="297" t="s">
        <v>468</v>
      </c>
      <c r="N950" s="299" t="s">
        <v>469</v>
      </c>
      <c r="P950" s="230">
        <f t="shared" si="414"/>
        <v>0</v>
      </c>
    </row>
    <row r="951" spans="1:43" x14ac:dyDescent="0.2">
      <c r="B951" s="289"/>
      <c r="C951" s="291"/>
      <c r="D951" s="289"/>
      <c r="E951" s="289"/>
      <c r="F951" s="289"/>
      <c r="G951" s="289"/>
      <c r="H951" s="293"/>
      <c r="I951" s="236" t="s">
        <v>470</v>
      </c>
      <c r="J951" s="236" t="s">
        <v>471</v>
      </c>
      <c r="K951" s="236" t="s">
        <v>472</v>
      </c>
      <c r="L951" s="236" t="s">
        <v>473</v>
      </c>
      <c r="M951" s="298"/>
      <c r="N951" s="300"/>
      <c r="P951" s="230">
        <f t="shared" si="414"/>
        <v>0</v>
      </c>
    </row>
    <row r="952" spans="1:43" x14ac:dyDescent="0.2">
      <c r="A952" s="224" t="str">
        <f>CONCATENATE("Лот"," ",A953)</f>
        <v>Лот 18</v>
      </c>
      <c r="B952" s="273" t="s">
        <v>2087</v>
      </c>
      <c r="C952" s="274"/>
      <c r="D952" s="274"/>
      <c r="E952" s="274"/>
      <c r="F952" s="274"/>
      <c r="G952" s="275"/>
      <c r="H952" s="238" t="s">
        <v>17</v>
      </c>
      <c r="I952" s="270">
        <f ca="1">ROUND(VLOOKUP($H952,$AJ$4:$AN$13,2,0)*$Q954*1.51,2)</f>
        <v>120.15</v>
      </c>
      <c r="J952" s="270">
        <f ca="1">ROUND(VLOOKUP($H952,$AJ$4:$AN$13,3,0)*$Q954*1.51,2)</f>
        <v>85.62</v>
      </c>
      <c r="K952" s="270">
        <f ca="1">ROUND(VLOOKUP($H952,$AJ$4:$AN$13,4,0)*$Q954*1.51,2)</f>
        <v>43.38</v>
      </c>
      <c r="L952" s="270"/>
      <c r="M952" s="270">
        <f ca="1">ROUND(VLOOKUP($H952,$AJ$4:$AN$13,5,0)*$Q954*1.51,2)</f>
        <v>6.85</v>
      </c>
      <c r="N952" s="270"/>
      <c r="P952" s="230">
        <f t="shared" si="414"/>
        <v>1</v>
      </c>
    </row>
    <row r="953" spans="1:43" x14ac:dyDescent="0.2">
      <c r="A953" s="224">
        <f>A898+1</f>
        <v>18</v>
      </c>
      <c r="B953" s="276"/>
      <c r="C953" s="277"/>
      <c r="D953" s="277"/>
      <c r="E953" s="277"/>
      <c r="F953" s="277"/>
      <c r="G953" s="278"/>
      <c r="H953" s="238" t="s">
        <v>25</v>
      </c>
      <c r="I953" s="270">
        <f ca="1">ROUND(VLOOKUP($H953,$AJ$4:$AN$13,2,0)*$Q954*1.51,2)</f>
        <v>898.69</v>
      </c>
      <c r="J953" s="270">
        <f ca="1">ROUND(VLOOKUP($H953,$AJ$4:$AN$13,3,0)*$Q954*1.51,2)</f>
        <v>642.13</v>
      </c>
      <c r="K953" s="270">
        <f ca="1">ROUND(VLOOKUP($H953,$AJ$4:$AN$13,4,0)*$Q954*1.51,2)</f>
        <v>323.06</v>
      </c>
      <c r="L953" s="270"/>
      <c r="M953" s="270">
        <f ca="1">ROUND(VLOOKUP($H953,$AJ$4:$AN$13,5,0)*$Q954*1.51,2)</f>
        <v>27.97</v>
      </c>
      <c r="N953" s="270"/>
      <c r="P953" s="230">
        <f t="shared" si="414"/>
        <v>1</v>
      </c>
      <c r="Q953" s="240" t="s">
        <v>2045</v>
      </c>
      <c r="R953" s="240" t="s">
        <v>2046</v>
      </c>
    </row>
    <row r="954" spans="1:43" x14ac:dyDescent="0.2">
      <c r="B954" s="276"/>
      <c r="C954" s="277"/>
      <c r="D954" s="277"/>
      <c r="E954" s="277"/>
      <c r="F954" s="277"/>
      <c r="G954" s="278"/>
      <c r="H954" s="238" t="s">
        <v>19</v>
      </c>
      <c r="I954" s="270">
        <f ca="1">ROUND(VLOOKUP($H954,$AJ$4:$AN$13,2,0)*$Q954*1.51,2)</f>
        <v>71.349999999999994</v>
      </c>
      <c r="J954" s="270">
        <f ca="1">ROUND(VLOOKUP($H954,$AJ$4:$AN$13,3,0)*$Q954*1.51,2)</f>
        <v>51.94</v>
      </c>
      <c r="K954" s="270">
        <f ca="1">ROUND(VLOOKUP($H954,$AJ$4:$AN$13,4,0)*$Q954*1.51,2)</f>
        <v>26.54</v>
      </c>
      <c r="L954" s="270"/>
      <c r="M954" s="270">
        <f ca="1">ROUND(VLOOKUP($H954,$AJ$4:$AN$13,5,0)*$Q954*1.51,2)</f>
        <v>1.43</v>
      </c>
      <c r="N954" s="270"/>
      <c r="P954" s="230">
        <f t="shared" si="414"/>
        <v>0</v>
      </c>
      <c r="Q954" s="123">
        <f ca="1">IFERROR(IF(R954="","",IF(OR(R954&lt;100,R954=100),0.9,IF(OR(AND(R954&gt;100,R954&lt;150),R954=150),1,IF(R954&gt;150,1.05,"")))),"0")</f>
        <v>1.05</v>
      </c>
      <c r="R954" s="123">
        <f ca="1">N970/G958</f>
        <v>209.52250000000001</v>
      </c>
    </row>
    <row r="955" spans="1:43" x14ac:dyDescent="0.2">
      <c r="B955" s="276"/>
      <c r="C955" s="277"/>
      <c r="D955" s="277"/>
      <c r="E955" s="277"/>
      <c r="F955" s="277"/>
      <c r="G955" s="278"/>
      <c r="H955" s="238" t="s">
        <v>268</v>
      </c>
      <c r="I955" s="270">
        <f ca="1">ROUND(VLOOKUP($H955,$AJ$4:$AN$13,2,0)*$Q954*1.51,2)</f>
        <v>898.69</v>
      </c>
      <c r="J955" s="270">
        <f ca="1">ROUND(VLOOKUP($H955,$AJ$4:$AN$13,3,0)*$Q954*1.51,2)</f>
        <v>642.13</v>
      </c>
      <c r="K955" s="270">
        <f ca="1">ROUND(VLOOKUP($H955,$AJ$4:$AN$13,4,0)*$Q954*1.51,2)</f>
        <v>323.06</v>
      </c>
      <c r="L955" s="270"/>
      <c r="M955" s="270">
        <f ca="1">ROUND(VLOOKUP($H955,$AJ$4:$AN$13,5,0)*$Q954*1.51,2)</f>
        <v>27.97</v>
      </c>
      <c r="N955" s="270"/>
    </row>
    <row r="956" spans="1:43" x14ac:dyDescent="0.2">
      <c r="B956" s="276"/>
      <c r="C956" s="277"/>
      <c r="D956" s="277"/>
      <c r="E956" s="277"/>
      <c r="F956" s="277"/>
      <c r="G956" s="278"/>
      <c r="H956" s="238" t="s">
        <v>40</v>
      </c>
      <c r="I956" s="270">
        <f ca="1">ROUND(VLOOKUP($H956,$AJ$4:$AN$13,2,0)*$Q954*1.51,2)</f>
        <v>71.349999999999994</v>
      </c>
      <c r="J956" s="270">
        <f ca="1">ROUND(VLOOKUP($H956,$AJ$4:$AN$13,3,0)*$Q954*1.51,2)</f>
        <v>51.94</v>
      </c>
      <c r="K956" s="270">
        <f ca="1">ROUND(VLOOKUP($H956,$AJ$4:$AN$13,4,0)*$Q954*1.51,2)</f>
        <v>26.54</v>
      </c>
      <c r="L956" s="270"/>
      <c r="M956" s="270">
        <f ca="1">ROUND(VLOOKUP($H956,$AJ$4:$AN$13,5,0)*$Q954*1.51,2)</f>
        <v>1.43</v>
      </c>
      <c r="N956" s="270"/>
      <c r="P956" s="230">
        <f t="shared" ref="P956:P969" si="415">IF(A956&gt;0,1,0)</f>
        <v>0</v>
      </c>
    </row>
    <row r="957" spans="1:43" x14ac:dyDescent="0.2">
      <c r="B957" s="279"/>
      <c r="C957" s="280"/>
      <c r="D957" s="280"/>
      <c r="E957" s="280"/>
      <c r="F957" s="280"/>
      <c r="G957" s="281"/>
      <c r="H957" s="238" t="s">
        <v>18</v>
      </c>
      <c r="I957" s="270">
        <f ca="1">ROUND(VLOOKUP($H957,$AJ$4:$AN$13,2,0)*$Q954*1.51,2)</f>
        <v>22.83</v>
      </c>
      <c r="J957" s="270">
        <f ca="1">ROUND(VLOOKUP($H957,$AJ$4:$AN$13,3,0)*$Q954*1.51,2)</f>
        <v>17.41</v>
      </c>
      <c r="K957" s="270">
        <f ca="1">ROUND(VLOOKUP($H957,$AJ$4:$AN$13,4,0)*$Q954*1.51,2)</f>
        <v>8.85</v>
      </c>
      <c r="L957" s="270"/>
      <c r="M957" s="270">
        <f ca="1">ROUND(VLOOKUP($H957,$AJ$4:$AN$13,5,0)*$Q954*1.51*1,2)</f>
        <v>0.56999999999999995</v>
      </c>
      <c r="N957" s="270"/>
      <c r="P957" s="230">
        <f t="shared" si="415"/>
        <v>0</v>
      </c>
      <c r="AP957" s="241" t="s">
        <v>2053</v>
      </c>
      <c r="AQ957" s="242"/>
    </row>
    <row r="958" spans="1:43" x14ac:dyDescent="0.2">
      <c r="A958" s="224">
        <f>A903+37</f>
        <v>629</v>
      </c>
      <c r="B958" s="243" t="str">
        <f ca="1">OFFSET(ЛОТЫ!$L$5,A958,0,1,1)</f>
        <v>Восходское</v>
      </c>
      <c r="C958" s="244" t="s">
        <v>474</v>
      </c>
      <c r="D958" s="243">
        <f ca="1">OFFSET(ЛОТЫ!$M$5,A958,0,1,1)</f>
        <v>42</v>
      </c>
      <c r="E958" s="243">
        <f ca="1">OFFSET(ЛОТЫ!$N$5,A958,0,1,1)</f>
        <v>12</v>
      </c>
      <c r="F958" s="243">
        <f ca="1">OFFSET(ЛОТЫ!$O$5,A958,0,1,1)</f>
        <v>2</v>
      </c>
      <c r="G958" s="271">
        <f ca="1">IFERROR(INDEX('Ведомость расчета мин. платы'!$G$10:$AC$214,MATCH(CONCATENATE(B958,"/",D958,"/",E958,"/",F958),'Ведомость расчета мин. платы'!$AC$10:$AC$214,0),1),"")</f>
        <v>4</v>
      </c>
      <c r="H958" s="246" t="s">
        <v>17</v>
      </c>
      <c r="I958" s="247">
        <f ca="1">IFERROR(INDEX('Ведомость расчета мин. платы'!$J$10:$AE$214,MATCH(CONCATENATE(РАСЧЕТ!B958,"/",РАСЧЕТ!D958,"/",РАСЧЕТ!E958,"/",F958,"/",H958),'Ведомость расчета мин. платы'!$AE$10:$AE$214,0),2),"")</f>
        <v>23.5</v>
      </c>
      <c r="J958" s="247">
        <f ca="1">IFERROR(INDEX('Ведомость расчета мин. платы'!$J$10:$AE$214,MATCH(CONCATENATE(РАСЧЕТ!B958,"/",РАСЧЕТ!D958,"/",РАСЧЕТ!E958,"/",F958,"/",H958),'Ведомость расчета мин. платы'!$AE$10:$AE$214,0),3),"")</f>
        <v>45.9</v>
      </c>
      <c r="K958" s="247">
        <f ca="1">IFERROR(INDEX('Ведомость расчета мин. платы'!$J$10:$AE$214,MATCH(CONCATENATE(РАСЧЕТ!B958,"/",РАСЧЕТ!D958,"/",РАСЧЕТ!E958,"/",F958,"/",H958),'Ведомость расчета мин. платы'!$AE$10:$AE$214,0),4),"")</f>
        <v>3</v>
      </c>
      <c r="L958" s="248">
        <f t="shared" ref="L958:L970" ca="1" si="416">IFERROR(SUM(I958:K958),"")</f>
        <v>72.400000000000006</v>
      </c>
      <c r="M958" s="214">
        <f ca="1">IFERROR(INDEX('Ведомость расчета мин. платы'!$J$10:$AE$214,MATCH(CONCATENATE(РАСЧЕТ!B958,"/",РАСЧЕТ!D958,"/",РАСЧЕТ!E958,"/",F958,"/",H958),'Ведомость расчета мин. платы'!$AE$10:$AE$214,0),6),"")</f>
        <v>71.099999999999994</v>
      </c>
      <c r="N958" s="214">
        <f t="shared" ref="N958:N970" ca="1" si="417">IFERROR(SUM(L958:M958),"")</f>
        <v>143.5</v>
      </c>
      <c r="O958" s="229">
        <f>IF(H958="стоимость","",1)</f>
        <v>1</v>
      </c>
      <c r="P958" s="230">
        <f t="shared" si="415"/>
        <v>1</v>
      </c>
      <c r="AP958" s="242"/>
      <c r="AQ958" s="242"/>
    </row>
    <row r="959" spans="1:43" x14ac:dyDescent="0.2">
      <c r="B959" s="249"/>
      <c r="C959" s="249"/>
      <c r="D959" s="249"/>
      <c r="E959" s="249"/>
      <c r="F959" s="249"/>
      <c r="G959" s="249"/>
      <c r="H959" s="250" t="s">
        <v>475</v>
      </c>
      <c r="I959" s="251">
        <f ca="1">IFERROR(ROUND(I958*I952,2),"")</f>
        <v>2823.53</v>
      </c>
      <c r="J959" s="251">
        <f t="shared" ref="J959" ca="1" si="418">IFERROR(ROUND(J958*J952,2),"")</f>
        <v>3929.96</v>
      </c>
      <c r="K959" s="251">
        <f t="shared" ref="K959" ca="1" si="419">IFERROR(ROUND(K958*K952,2),"")</f>
        <v>130.13999999999999</v>
      </c>
      <c r="L959" s="251">
        <f t="shared" ca="1" si="416"/>
        <v>6883.63</v>
      </c>
      <c r="M959" s="251">
        <f t="shared" ref="M959" ca="1" si="420">IFERROR(ROUND(M958*M952,2),"")</f>
        <v>487.04</v>
      </c>
      <c r="N959" s="252">
        <f t="shared" ca="1" si="417"/>
        <v>7370.67</v>
      </c>
      <c r="O959" s="229" t="str">
        <f t="shared" ref="O959:O969" si="421">IF(H959="стоимость","",1)</f>
        <v/>
      </c>
      <c r="P959" s="230">
        <f t="shared" si="415"/>
        <v>0</v>
      </c>
      <c r="AP959" s="242">
        <f ca="1">SUMIFS('Ведомость расчета мин. платы'!$S$10:$S$209,'Ведомость расчета мин. платы'!$AE$10:$AE$209,CONCATENATE(B958,"/",D958,"/",E958,"/",F958,"/",H958))</f>
        <v>7370.67</v>
      </c>
      <c r="AQ959" s="253">
        <f t="shared" ref="AQ959" ca="1" si="422">AP959-N959</f>
        <v>0</v>
      </c>
    </row>
    <row r="960" spans="1:43" x14ac:dyDescent="0.2">
      <c r="B960" s="249"/>
      <c r="C960" s="249"/>
      <c r="D960" s="249"/>
      <c r="E960" s="249"/>
      <c r="F960" s="249"/>
      <c r="G960" s="249"/>
      <c r="H960" s="246" t="s">
        <v>25</v>
      </c>
      <c r="I960" s="247" t="str">
        <f ca="1">IFERROR(INDEX('Ведомость расчета мин. платы'!$J$10:$AE$214,MATCH(CONCATENATE(РАСЧЕТ!B958,"/",РАСЧЕТ!D958,"/",РАСЧЕТ!E958,"/",F958,"/",H960),'Ведомость расчета мин. платы'!$AE$10:$AE$214,0),2),"")</f>
        <v/>
      </c>
      <c r="J960" s="247" t="str">
        <f ca="1">IFERROR(INDEX('Ведомость расчета мин. платы'!$J$10:$AE$214,MATCH(CONCATENATE(РАСЧЕТ!B958,"/",РАСЧЕТ!D958,"/",РАСЧЕТ!E958,"/",F958,"/",H960),'Ведомость расчета мин. платы'!$AE$10:$AE$214,0),3),"")</f>
        <v/>
      </c>
      <c r="K960" s="247" t="str">
        <f ca="1">IFERROR(INDEX('Ведомость расчета мин. платы'!$J$10:$AE$214,MATCH(CONCATENATE(РАСЧЕТ!B958,"/",РАСЧЕТ!D958,"/",РАСЧЕТ!E958,"/",F958,"/",H960),'Ведомость расчета мин. платы'!$AE$10:$AE$214,0),4),"")</f>
        <v/>
      </c>
      <c r="L960" s="248">
        <f t="shared" ca="1" si="416"/>
        <v>0</v>
      </c>
      <c r="M960" s="214" t="str">
        <f ca="1">IFERROR(INDEX('Ведомость расчета мин. платы'!$J$10:$AE$214,MATCH(CONCATENATE(РАСЧЕТ!B958,"/",РАСЧЕТ!D958,"/",РАСЧЕТ!E958,"/",F958,"/",H960),'Ведомость расчета мин. платы'!$AE$10:$AE$214,0),6),"")</f>
        <v/>
      </c>
      <c r="N960" s="214">
        <f t="shared" ca="1" si="417"/>
        <v>0</v>
      </c>
      <c r="O960" s="229">
        <f t="shared" si="421"/>
        <v>1</v>
      </c>
      <c r="P960" s="230">
        <f t="shared" si="415"/>
        <v>0</v>
      </c>
      <c r="AP960" s="242"/>
      <c r="AQ960" s="253"/>
    </row>
    <row r="961" spans="2:43" x14ac:dyDescent="0.2">
      <c r="B961" s="249"/>
      <c r="C961" s="249"/>
      <c r="D961" s="249"/>
      <c r="E961" s="249"/>
      <c r="F961" s="249"/>
      <c r="G961" s="249"/>
      <c r="H961" s="250" t="s">
        <v>475</v>
      </c>
      <c r="I961" s="251" t="str">
        <f ca="1">IFERROR(ROUND(I960*I953,2),"")</f>
        <v/>
      </c>
      <c r="J961" s="251" t="str">
        <f t="shared" ref="J961" ca="1" si="423">IFERROR(ROUND(J960*J953,2),"")</f>
        <v/>
      </c>
      <c r="K961" s="251" t="str">
        <f t="shared" ref="K961" ca="1" si="424">IFERROR(ROUND(K960*K953,2),"")</f>
        <v/>
      </c>
      <c r="L961" s="251">
        <f t="shared" ca="1" si="416"/>
        <v>0</v>
      </c>
      <c r="M961" s="251" t="str">
        <f t="shared" ref="M961" ca="1" si="425">IFERROR(ROUND(M960*M953,2),"")</f>
        <v/>
      </c>
      <c r="N961" s="252">
        <f t="shared" ca="1" si="417"/>
        <v>0</v>
      </c>
      <c r="O961" s="229" t="str">
        <f t="shared" si="421"/>
        <v/>
      </c>
      <c r="P961" s="230">
        <f t="shared" si="415"/>
        <v>0</v>
      </c>
      <c r="AP961" s="242">
        <f ca="1">SUMIFS('Ведомость расчета мин. платы'!$S$10:$S$209,'Ведомость расчета мин. платы'!$AE$10:$AE$209,CONCATENATE(B958,"/",D958,"/",E958,"/",F958,"/",H960))</f>
        <v>0</v>
      </c>
      <c r="AQ961" s="253">
        <f t="shared" ref="AQ961" ca="1" si="426">AP961-N961</f>
        <v>0</v>
      </c>
    </row>
    <row r="962" spans="2:43" x14ac:dyDescent="0.2">
      <c r="B962" s="249"/>
      <c r="C962" s="249"/>
      <c r="D962" s="249"/>
      <c r="E962" s="249"/>
      <c r="F962" s="249"/>
      <c r="G962" s="249"/>
      <c r="H962" s="205" t="s">
        <v>19</v>
      </c>
      <c r="I962" s="248">
        <f ca="1">IFERROR(INDEX('Ведомость расчета мин. платы'!$J$10:$AE$214,MATCH(CONCATENATE(РАСЧЕТ!B958,"/",РАСЧЕТ!D958,"/",РАСЧЕТ!E958,"/",F958,"/",H962),'Ведомость расчета мин. платы'!$AE$10:$AE$214,0),2),"")</f>
        <v>0</v>
      </c>
      <c r="J962" s="248">
        <f ca="1">IFERROR(INDEX('Ведомость расчета мин. платы'!$J$10:$AE$214,MATCH(CONCATENATE(РАСЧЕТ!B958,"/",РАСЧЕТ!D958,"/",РАСЧЕТ!E958,"/",F958,"/",H962),'Ведомость расчета мин. платы'!$AE$10:$AE$214,0),3),"")</f>
        <v>6.58</v>
      </c>
      <c r="K962" s="248">
        <f ca="1">IFERROR(INDEX('Ведомость расчета мин. платы'!$J$10:$AE$214,MATCH(CONCATENATE(РАСЧЕТ!B958,"/",РАСЧЕТ!D958,"/",РАСЧЕТ!E958,"/",F958,"/",H962),'Ведомость расчета мин. платы'!$AE$10:$AE$214,0),4),"")</f>
        <v>9.85</v>
      </c>
      <c r="L962" s="248">
        <f t="shared" ca="1" si="416"/>
        <v>16.43</v>
      </c>
      <c r="M962" s="248">
        <f ca="1">IFERROR(INDEX('Ведомость расчета мин. платы'!$J$10:$AE$214,MATCH(CONCATENATE(РАСЧЕТ!B958,"/",РАСЧЕТ!D958,"/",РАСЧЕТ!E958,"/",F958,"/",H962),'Ведомость расчета мин. платы'!$AE$10:$AE$214,0),6),"")</f>
        <v>34.46</v>
      </c>
      <c r="N962" s="214">
        <f t="shared" ca="1" si="417"/>
        <v>50.89</v>
      </c>
      <c r="O962" s="229">
        <f t="shared" si="421"/>
        <v>1</v>
      </c>
      <c r="P962" s="230">
        <f t="shared" si="415"/>
        <v>0</v>
      </c>
      <c r="AP962" s="242"/>
      <c r="AQ962" s="253"/>
    </row>
    <row r="963" spans="2:43" x14ac:dyDescent="0.2">
      <c r="B963" s="249"/>
      <c r="C963" s="249"/>
      <c r="D963" s="249"/>
      <c r="E963" s="249"/>
      <c r="F963" s="249"/>
      <c r="G963" s="249"/>
      <c r="H963" s="250" t="s">
        <v>475</v>
      </c>
      <c r="I963" s="251">
        <f ca="1">IFERROR(ROUND(I962*I954,2),"")</f>
        <v>0</v>
      </c>
      <c r="J963" s="251">
        <f t="shared" ref="J963" ca="1" si="427">IFERROR(ROUND(J962*J954,2),"")</f>
        <v>341.77</v>
      </c>
      <c r="K963" s="251">
        <f t="shared" ref="K963" ca="1" si="428">IFERROR(ROUND(K962*K954,2),"")</f>
        <v>261.42</v>
      </c>
      <c r="L963" s="251">
        <f t="shared" ca="1" si="416"/>
        <v>603.19000000000005</v>
      </c>
      <c r="M963" s="251">
        <f t="shared" ref="M963" ca="1" si="429">IFERROR(ROUND(M962*M954,2),"")</f>
        <v>49.28</v>
      </c>
      <c r="N963" s="252">
        <f t="shared" ca="1" si="417"/>
        <v>652.47</v>
      </c>
      <c r="O963" s="229" t="str">
        <f t="shared" si="421"/>
        <v/>
      </c>
      <c r="P963" s="230">
        <f t="shared" si="415"/>
        <v>0</v>
      </c>
      <c r="AP963" s="242">
        <f ca="1">SUMIFS('Ведомость расчета мин. платы'!$S$10:$S$209,'Ведомость расчета мин. платы'!$AE$10:$AE$209,CONCATENATE(B958,"/",D958,"/",E958,"/",F958,"/",H962))</f>
        <v>652.47</v>
      </c>
      <c r="AQ963" s="253">
        <f t="shared" ref="AQ963" ca="1" si="430">AP963-N963</f>
        <v>0</v>
      </c>
    </row>
    <row r="964" spans="2:43" x14ac:dyDescent="0.2">
      <c r="B964" s="249"/>
      <c r="C964" s="249"/>
      <c r="D964" s="249"/>
      <c r="E964" s="249"/>
      <c r="F964" s="249"/>
      <c r="G964" s="249"/>
      <c r="H964" s="205" t="s">
        <v>268</v>
      </c>
      <c r="I964" s="248" t="str">
        <f ca="1">IFERROR(INDEX('Ведомость расчета мин. платы'!$J$10:$AE$214,MATCH(CONCATENATE(РАСЧЕТ!B958,"/",РАСЧЕТ!D958,"/",РАСЧЕТ!E958,"/",F958,"/",H964),'Ведомость расчета мин. платы'!$AE$10:$AE$214,0),2),"")</f>
        <v/>
      </c>
      <c r="J964" s="248" t="str">
        <f ca="1">IFERROR(INDEX('Ведомость расчета мин. платы'!$J$10:$AE$214,MATCH(CONCATENATE(РАСЧЕТ!B958,"/",РАСЧЕТ!D958,"/",РАСЧЕТ!E958,"/",F958,"/",H964),'Ведомость расчета мин. платы'!$AE$10:$AE$214,0),3),"")</f>
        <v/>
      </c>
      <c r="K964" s="248" t="str">
        <f ca="1">IFERROR(INDEX('Ведомость расчета мин. платы'!$J$10:$AE$214,MATCH(CONCATENATE(РАСЧЕТ!B958,"/",РАСЧЕТ!D958,"/",РАСЧЕТ!E958,"/",F958,"/",H964),'Ведомость расчета мин. платы'!$AE$10:$AE$214,0),4),"")</f>
        <v/>
      </c>
      <c r="L964" s="248">
        <f t="shared" ca="1" si="416"/>
        <v>0</v>
      </c>
      <c r="M964" s="248" t="str">
        <f ca="1">IFERROR(INDEX('Ведомость расчета мин. платы'!$J$10:$AE$214,MATCH(CONCATENATE(РАСЧЕТ!B958,"/",РАСЧЕТ!D958,"/",РАСЧЕТ!E958,"/",F958,"/",H964),'Ведомость расчета мин. платы'!$AE$10:$AE$214,0),6),"")</f>
        <v/>
      </c>
      <c r="N964" s="214">
        <f t="shared" ca="1" si="417"/>
        <v>0</v>
      </c>
      <c r="O964" s="229">
        <f t="shared" si="421"/>
        <v>1</v>
      </c>
      <c r="P964" s="230">
        <f t="shared" si="415"/>
        <v>0</v>
      </c>
      <c r="AP964" s="242"/>
      <c r="AQ964" s="253"/>
    </row>
    <row r="965" spans="2:43" x14ac:dyDescent="0.2">
      <c r="B965" s="249"/>
      <c r="C965" s="249"/>
      <c r="D965" s="249"/>
      <c r="E965" s="249"/>
      <c r="F965" s="249"/>
      <c r="G965" s="249"/>
      <c r="H965" s="250" t="s">
        <v>475</v>
      </c>
      <c r="I965" s="251" t="str">
        <f ca="1">IFERROR(ROUND(I964*I955,2),"")</f>
        <v/>
      </c>
      <c r="J965" s="251" t="str">
        <f ca="1">IFERROR(ROUND(J964*J955,2),"")</f>
        <v/>
      </c>
      <c r="K965" s="251" t="str">
        <f ca="1">IFERROR(ROUND(K964*K955,2),"")</f>
        <v/>
      </c>
      <c r="L965" s="251">
        <f t="shared" ca="1" si="416"/>
        <v>0</v>
      </c>
      <c r="M965" s="251" t="str">
        <f ca="1">IFERROR(ROUND(M964*M955,2),"")</f>
        <v/>
      </c>
      <c r="N965" s="252">
        <f t="shared" ca="1" si="417"/>
        <v>0</v>
      </c>
      <c r="O965" s="229" t="str">
        <f t="shared" si="421"/>
        <v/>
      </c>
      <c r="P965" s="230">
        <f t="shared" si="415"/>
        <v>0</v>
      </c>
      <c r="AP965" s="242">
        <f ca="1">SUMIFS('Ведомость расчета мин. платы'!$S$10:$S$209,'Ведомость расчета мин. платы'!$AE$10:$AE$209,CONCATENATE(B958,"/",D958,"/",E958,"/",F958,"/",H964))</f>
        <v>0</v>
      </c>
      <c r="AQ965" s="253">
        <f t="shared" ref="AQ965" ca="1" si="431">AP965-N965</f>
        <v>0</v>
      </c>
    </row>
    <row r="966" spans="2:43" x14ac:dyDescent="0.2">
      <c r="B966" s="249"/>
      <c r="C966" s="249"/>
      <c r="D966" s="249"/>
      <c r="E966" s="249"/>
      <c r="F966" s="249"/>
      <c r="G966" s="249"/>
      <c r="H966" s="205" t="s">
        <v>40</v>
      </c>
      <c r="I966" s="248" t="str">
        <f ca="1">IFERROR(INDEX('Ведомость расчета мин. платы'!$J$10:$AE$214,MATCH(CONCATENATE(РАСЧЕТ!B958,"/",РАСЧЕТ!D958,"/",РАСЧЕТ!E958,"/",F958,"/",H966),'Ведомость расчета мин. платы'!$AE$10:$AE$214,0),2),"")</f>
        <v/>
      </c>
      <c r="J966" s="248" t="str">
        <f ca="1">IFERROR(INDEX('Ведомость расчета мин. платы'!$J$10:$AE$214,MATCH(CONCATENATE(РАСЧЕТ!B958,"/",РАСЧЕТ!D958,"/",РАСЧЕТ!E958,"/",F958,"/",H966),'Ведомость расчета мин. платы'!$AE$10:$AE$214,0),3),"")</f>
        <v/>
      </c>
      <c r="K966" s="248" t="str">
        <f ca="1">IFERROR(INDEX('Ведомость расчета мин. платы'!$J$10:$AE$214,MATCH(CONCATENATE(РАСЧЕТ!B958,"/",РАСЧЕТ!D958,"/",РАСЧЕТ!E958,"/",F958,"/",H966),'Ведомость расчета мин. платы'!$AE$10:$AE$214,0),4),"")</f>
        <v/>
      </c>
      <c r="L966" s="248">
        <f t="shared" ca="1" si="416"/>
        <v>0</v>
      </c>
      <c r="M966" s="248" t="str">
        <f ca="1">IFERROR(INDEX('Ведомость расчета мин. платы'!$J$10:$AE$214,MATCH(CONCATENATE(РАСЧЕТ!B958,"/",РАСЧЕТ!D958,"/",РАСЧЕТ!E958,"/",F958,"/",H966),'Ведомость расчета мин. платы'!$AE$10:$AE$214,0),6),"")</f>
        <v/>
      </c>
      <c r="N966" s="214">
        <f t="shared" ca="1" si="417"/>
        <v>0</v>
      </c>
      <c r="O966" s="229">
        <f t="shared" si="421"/>
        <v>1</v>
      </c>
      <c r="P966" s="230">
        <f t="shared" si="415"/>
        <v>0</v>
      </c>
      <c r="AP966" s="242"/>
      <c r="AQ966" s="253"/>
    </row>
    <row r="967" spans="2:43" x14ac:dyDescent="0.2">
      <c r="B967" s="249"/>
      <c r="C967" s="249"/>
      <c r="D967" s="249"/>
      <c r="E967" s="249"/>
      <c r="F967" s="249"/>
      <c r="G967" s="249"/>
      <c r="H967" s="250" t="s">
        <v>475</v>
      </c>
      <c r="I967" s="251" t="str">
        <f ca="1">IFERROR(ROUND(I966*I956,2),"")</f>
        <v/>
      </c>
      <c r="J967" s="251" t="str">
        <f t="shared" ref="J967" ca="1" si="432">IFERROR(ROUND(J966*J956,2),"")</f>
        <v/>
      </c>
      <c r="K967" s="251" t="str">
        <f t="shared" ref="K967" ca="1" si="433">IFERROR(ROUND(K966*K956,2),"")</f>
        <v/>
      </c>
      <c r="L967" s="251">
        <f t="shared" ca="1" si="416"/>
        <v>0</v>
      </c>
      <c r="M967" s="251" t="str">
        <f t="shared" ref="M967" ca="1" si="434">IFERROR(ROUND(M966*M956,2),"")</f>
        <v/>
      </c>
      <c r="N967" s="252">
        <f t="shared" ca="1" si="417"/>
        <v>0</v>
      </c>
      <c r="O967" s="229" t="str">
        <f t="shared" si="421"/>
        <v/>
      </c>
      <c r="P967" s="230">
        <f t="shared" si="415"/>
        <v>0</v>
      </c>
      <c r="AP967" s="242">
        <f ca="1">SUMIFS('Ведомость расчета мин. платы'!$S$10:$S$209,'Ведомость расчета мин. платы'!$AE$10:$AE$209,CONCATENATE(B958,"/",D958,"/",E958,"/",F958,"/",H966))</f>
        <v>0</v>
      </c>
      <c r="AQ967" s="253">
        <f t="shared" ref="AQ967" ca="1" si="435">AP967-N967</f>
        <v>0</v>
      </c>
    </row>
    <row r="968" spans="2:43" x14ac:dyDescent="0.2">
      <c r="B968" s="249"/>
      <c r="C968" s="249"/>
      <c r="D968" s="249"/>
      <c r="E968" s="249"/>
      <c r="F968" s="249"/>
      <c r="G968" s="249"/>
      <c r="H968" s="205" t="s">
        <v>18</v>
      </c>
      <c r="I968" s="248">
        <f ca="1">IFERROR(INDEX('Ведомость расчета мин. платы'!$J$10:$AE$214,MATCH(CONCATENATE(РАСЧЕТ!B958,"/",РАСЧЕТ!D958,"/",РАСЧЕТ!E958,"/",F958,"/",H968),'Ведомость расчета мин. платы'!$AE$10:$AE$214,0),2),"")</f>
        <v>131.69999999999999</v>
      </c>
      <c r="J968" s="248">
        <f ca="1">IFERROR(INDEX('Ведомость расчета мин. платы'!$J$10:$AE$214,MATCH(CONCATENATE(РАСЧЕТ!B958,"/",РАСЧЕТ!D958,"/",РАСЧЕТ!E958,"/",F958,"/",H968),'Ведомость расчета мин. платы'!$AE$10:$AE$214,0),3),"")</f>
        <v>185.8</v>
      </c>
      <c r="K968" s="248">
        <f ca="1">IFERROR(INDEX('Ведомость расчета мин. платы'!$J$10:$AE$214,MATCH(CONCATENATE(РАСЧЕТ!B958,"/",РАСЧЕТ!D958,"/",РАСЧЕТ!E958,"/",F958,"/",H968),'Ведомость расчета мин. платы'!$AE$10:$AE$214,0),4),"")</f>
        <v>5.7</v>
      </c>
      <c r="L968" s="248">
        <f t="shared" ca="1" si="416"/>
        <v>323.2</v>
      </c>
      <c r="M968" s="248">
        <f ca="1">IFERROR(INDEX('Ведомость расчета мин. платы'!$J$10:$AE$214,MATCH(CONCATENATE(РАСЧЕТ!B958,"/",РАСЧЕТ!D958,"/",РАСЧЕТ!E958,"/",F958,"/",H968),'Ведомость расчета мин. платы'!$AE$10:$AE$214,0),6),"")</f>
        <v>320.5</v>
      </c>
      <c r="N968" s="214">
        <f t="shared" ca="1" si="417"/>
        <v>643.70000000000005</v>
      </c>
      <c r="O968" s="229">
        <f t="shared" si="421"/>
        <v>1</v>
      </c>
      <c r="P968" s="230">
        <f t="shared" si="415"/>
        <v>0</v>
      </c>
      <c r="AP968" s="242"/>
      <c r="AQ968" s="253"/>
    </row>
    <row r="969" spans="2:43" x14ac:dyDescent="0.2">
      <c r="B969" s="249"/>
      <c r="C969" s="249"/>
      <c r="D969" s="249"/>
      <c r="E969" s="249"/>
      <c r="F969" s="249"/>
      <c r="G969" s="249"/>
      <c r="H969" s="250" t="s">
        <v>475</v>
      </c>
      <c r="I969" s="251">
        <f ca="1">IFERROR(ROUND(I968*I957,2),"")</f>
        <v>3006.71</v>
      </c>
      <c r="J969" s="251">
        <f t="shared" ref="J969" ca="1" si="436">IFERROR(ROUND(J968*J957,2),"")</f>
        <v>3234.78</v>
      </c>
      <c r="K969" s="251">
        <f t="shared" ref="K969" ca="1" si="437">IFERROR(ROUND(K968*K957,2),"")</f>
        <v>50.45</v>
      </c>
      <c r="L969" s="251">
        <f t="shared" ca="1" si="416"/>
        <v>6291.94</v>
      </c>
      <c r="M969" s="251">
        <f t="shared" ref="M969" ca="1" si="438">IFERROR(ROUND(M968*M957,2),"")</f>
        <v>182.69</v>
      </c>
      <c r="N969" s="252">
        <f t="shared" ca="1" si="417"/>
        <v>6474.6299999999992</v>
      </c>
      <c r="O969" s="229" t="str">
        <f t="shared" si="421"/>
        <v/>
      </c>
      <c r="P969" s="230">
        <f t="shared" si="415"/>
        <v>0</v>
      </c>
      <c r="AP969" s="242">
        <f ca="1">SUMIFS('Ведомость расчета мин. платы'!$S$10:$S$209,'Ведомость расчета мин. платы'!$AE$10:$AE$209,CONCATENATE(B958,"/",D958,"/",E958,"/",F958,"/",H968))</f>
        <v>6474.63</v>
      </c>
      <c r="AQ969" s="253">
        <f t="shared" ref="AQ969" ca="1" si="439">AP969-N969</f>
        <v>0</v>
      </c>
    </row>
    <row r="970" spans="2:43" x14ac:dyDescent="0.2">
      <c r="B970" s="249"/>
      <c r="C970" s="249"/>
      <c r="D970" s="249"/>
      <c r="E970" s="249"/>
      <c r="F970" s="249"/>
      <c r="G970" s="249"/>
      <c r="H970" s="254" t="s">
        <v>476</v>
      </c>
      <c r="I970" s="251">
        <f ca="1">SUMIF($O958:$O971,1,I958:I969)</f>
        <v>155.19999999999999</v>
      </c>
      <c r="J970" s="251">
        <f ca="1">SUMIF($O958:$O971,1,J958:J969)</f>
        <v>238.28</v>
      </c>
      <c r="K970" s="251">
        <f ca="1">SUMIF($O958:$O971,1,K958:K969)</f>
        <v>18.55</v>
      </c>
      <c r="L970" s="251">
        <f t="shared" ca="1" si="416"/>
        <v>412.03000000000003</v>
      </c>
      <c r="M970" s="251">
        <f ca="1">SUMIF($O958:$O971,1,M958:M969)</f>
        <v>426.06</v>
      </c>
      <c r="N970" s="252">
        <f t="shared" ca="1" si="417"/>
        <v>838.09</v>
      </c>
      <c r="AP970" s="242"/>
      <c r="AQ970" s="253"/>
    </row>
    <row r="971" spans="2:43" x14ac:dyDescent="0.2">
      <c r="B971" s="249"/>
      <c r="C971" s="249"/>
      <c r="D971" s="249"/>
      <c r="E971" s="249"/>
      <c r="F971" s="249"/>
      <c r="G971" s="249"/>
      <c r="H971" s="254" t="s">
        <v>491</v>
      </c>
      <c r="I971" s="251">
        <f ca="1">SUMIF(H958:H969,"стоимость",I958:I969)</f>
        <v>5830.24</v>
      </c>
      <c r="J971" s="251">
        <f ca="1">SUMIF(H958:H969,"стоимость",J958:J969)</f>
        <v>7506.51</v>
      </c>
      <c r="K971" s="251">
        <f ca="1">SUMIF(H958:H969,"стоимость",K958:K969)</f>
        <v>442.01</v>
      </c>
      <c r="L971" s="251">
        <f ca="1">IFERROR(SUM(I971:K971),"")</f>
        <v>13778.76</v>
      </c>
      <c r="M971" s="251">
        <f ca="1">SUMIF(H958:H969,"стоимость",M958:M969)</f>
        <v>719.01</v>
      </c>
      <c r="N971" s="252">
        <f ca="1">IFERROR(SUM(L971:M971),"")</f>
        <v>14497.77</v>
      </c>
      <c r="AP971" s="242">
        <f ca="1">SUMIFS('Ведомость расчета мин. платы'!$S$10:$S$209,'Ведомость расчета мин. платы'!$J$10:$J$209,"Итого",'Ведомость расчета мин. платы'!$AC$10:$AC$209,CONCATENATE(B958,"/",D958,"/",E958,"/",F958))</f>
        <v>14497.77</v>
      </c>
      <c r="AQ971" s="253">
        <f ca="1">AP971-N971</f>
        <v>0</v>
      </c>
    </row>
    <row r="972" spans="2:43" x14ac:dyDescent="0.2">
      <c r="B972" s="255"/>
      <c r="C972" s="255"/>
      <c r="D972" s="255"/>
      <c r="E972" s="255"/>
      <c r="F972" s="255"/>
      <c r="G972" s="256"/>
      <c r="H972" s="257"/>
      <c r="I972" s="258"/>
      <c r="J972" s="258"/>
      <c r="K972" s="258"/>
      <c r="L972" s="258"/>
      <c r="M972" s="258"/>
      <c r="N972" s="258"/>
      <c r="P972" s="230">
        <f t="shared" ref="P972:P990" si="440">IF(A972&gt;0,1,0)</f>
        <v>0</v>
      </c>
    </row>
    <row r="973" spans="2:43" x14ac:dyDescent="0.2">
      <c r="B973" s="282" t="s">
        <v>477</v>
      </c>
      <c r="C973" s="282"/>
      <c r="D973" s="282"/>
      <c r="E973" s="282"/>
      <c r="F973" s="259"/>
      <c r="G973" s="225"/>
      <c r="H973" s="201"/>
      <c r="I973" s="226"/>
      <c r="J973" s="258"/>
      <c r="K973" s="258"/>
      <c r="L973" s="258"/>
      <c r="M973" s="258"/>
      <c r="N973" s="258"/>
      <c r="P973" s="230">
        <f t="shared" si="440"/>
        <v>0</v>
      </c>
    </row>
    <row r="974" spans="2:43" x14ac:dyDescent="0.2">
      <c r="B974" s="283" t="s">
        <v>525</v>
      </c>
      <c r="C974" s="283"/>
      <c r="D974" s="283"/>
      <c r="E974" s="283"/>
      <c r="F974" s="283"/>
      <c r="G974" s="283"/>
      <c r="H974" s="283"/>
      <c r="I974" s="283"/>
      <c r="J974" s="261"/>
      <c r="K974" s="261"/>
      <c r="L974" s="261"/>
      <c r="M974" s="261"/>
      <c r="N974" s="261"/>
      <c r="P974" s="230">
        <f t="shared" si="440"/>
        <v>0</v>
      </c>
    </row>
    <row r="975" spans="2:43" x14ac:dyDescent="0.2">
      <c r="B975" s="284" t="s">
        <v>478</v>
      </c>
      <c r="C975" s="284"/>
      <c r="D975" s="284"/>
      <c r="E975" s="284"/>
      <c r="F975" s="284"/>
      <c r="G975" s="284"/>
      <c r="H975" s="284"/>
      <c r="I975" s="284"/>
      <c r="J975" s="258"/>
      <c r="K975" s="258"/>
      <c r="L975" s="258"/>
      <c r="M975" s="258"/>
      <c r="N975" s="258"/>
      <c r="P975" s="230">
        <f t="shared" si="440"/>
        <v>0</v>
      </c>
    </row>
    <row r="976" spans="2:43" x14ac:dyDescent="0.2">
      <c r="B976" s="284" t="s">
        <v>479</v>
      </c>
      <c r="C976" s="284"/>
      <c r="D976" s="284"/>
      <c r="E976" s="284"/>
      <c r="F976" s="284"/>
      <c r="G976" s="284"/>
      <c r="H976" s="284"/>
      <c r="I976" s="284"/>
      <c r="J976" s="258"/>
      <c r="K976" s="258"/>
      <c r="L976" s="258"/>
      <c r="M976" s="258"/>
      <c r="N976" s="258"/>
      <c r="P976" s="230">
        <f t="shared" si="440"/>
        <v>0</v>
      </c>
    </row>
    <row r="977" spans="1:16" x14ac:dyDescent="0.2">
      <c r="B977" s="284" t="s">
        <v>480</v>
      </c>
      <c r="C977" s="284"/>
      <c r="D977" s="284"/>
      <c r="E977" s="284"/>
      <c r="F977" s="284"/>
      <c r="G977" s="284"/>
      <c r="H977" s="284"/>
      <c r="I977" s="284"/>
      <c r="J977" s="258"/>
      <c r="K977" s="258"/>
      <c r="L977" s="258"/>
      <c r="M977" s="258"/>
      <c r="N977" s="258"/>
      <c r="P977" s="230">
        <f t="shared" si="440"/>
        <v>0</v>
      </c>
    </row>
    <row r="978" spans="1:16" x14ac:dyDescent="0.2">
      <c r="B978" s="284" t="s">
        <v>481</v>
      </c>
      <c r="C978" s="284"/>
      <c r="D978" s="284"/>
      <c r="E978" s="284"/>
      <c r="F978" s="284"/>
      <c r="G978" s="284"/>
      <c r="H978" s="284"/>
      <c r="I978" s="284"/>
      <c r="J978" s="226"/>
      <c r="K978" s="226"/>
      <c r="L978" s="226"/>
      <c r="M978" s="226"/>
      <c r="N978" s="226"/>
      <c r="P978" s="230">
        <f t="shared" si="440"/>
        <v>0</v>
      </c>
    </row>
    <row r="979" spans="1:16" x14ac:dyDescent="0.2">
      <c r="B979" s="284" t="s">
        <v>482</v>
      </c>
      <c r="C979" s="284"/>
      <c r="D979" s="284"/>
      <c r="E979" s="284"/>
      <c r="F979" s="284"/>
      <c r="G979" s="284"/>
      <c r="H979" s="284"/>
      <c r="I979" s="284"/>
      <c r="J979" s="226"/>
      <c r="K979" s="226"/>
      <c r="L979" s="226"/>
      <c r="M979" s="226"/>
      <c r="N979" s="226"/>
      <c r="P979" s="230">
        <f t="shared" si="440"/>
        <v>0</v>
      </c>
    </row>
    <row r="980" spans="1:16" x14ac:dyDescent="0.2">
      <c r="B980" s="284" t="s">
        <v>483</v>
      </c>
      <c r="C980" s="284"/>
      <c r="D980" s="284"/>
      <c r="E980" s="284"/>
      <c r="F980" s="284"/>
      <c r="G980" s="284"/>
      <c r="H980" s="284"/>
      <c r="I980" s="284"/>
      <c r="J980" s="226"/>
      <c r="K980" s="226"/>
      <c r="L980" s="226"/>
      <c r="M980" s="226"/>
      <c r="N980" s="226"/>
      <c r="P980" s="230">
        <f t="shared" si="440"/>
        <v>0</v>
      </c>
    </row>
    <row r="981" spans="1:16" x14ac:dyDescent="0.2">
      <c r="B981" s="284" t="s">
        <v>484</v>
      </c>
      <c r="C981" s="284"/>
      <c r="D981" s="284"/>
      <c r="E981" s="284"/>
      <c r="F981" s="284"/>
      <c r="G981" s="284"/>
      <c r="H981" s="284"/>
      <c r="I981" s="284"/>
      <c r="J981" s="226"/>
      <c r="K981" s="226"/>
      <c r="L981" s="226"/>
      <c r="M981" s="226"/>
      <c r="N981" s="226"/>
      <c r="P981" s="230">
        <f t="shared" si="440"/>
        <v>0</v>
      </c>
    </row>
    <row r="982" spans="1:16" x14ac:dyDescent="0.2">
      <c r="B982" s="264"/>
      <c r="C982" s="264"/>
      <c r="D982" s="264"/>
      <c r="E982" s="264"/>
      <c r="F982" s="264"/>
      <c r="G982" s="264"/>
      <c r="H982" s="264"/>
      <c r="I982" s="265"/>
      <c r="J982" s="226"/>
      <c r="K982" s="226"/>
      <c r="L982" s="226"/>
      <c r="M982" s="226"/>
      <c r="N982" s="226"/>
      <c r="P982" s="230">
        <f t="shared" si="440"/>
        <v>0</v>
      </c>
    </row>
    <row r="983" spans="1:16" x14ac:dyDescent="0.2">
      <c r="B983" s="225" t="s">
        <v>485</v>
      </c>
      <c r="C983" s="225"/>
      <c r="D983" s="225"/>
      <c r="E983" s="225"/>
      <c r="F983" s="225"/>
      <c r="G983" s="225"/>
      <c r="H983" s="201"/>
      <c r="I983" s="226"/>
      <c r="J983" s="226" t="s">
        <v>486</v>
      </c>
      <c r="K983" s="226"/>
      <c r="L983" s="226"/>
      <c r="M983" s="226"/>
      <c r="N983" s="226"/>
      <c r="P983" s="230">
        <f t="shared" si="440"/>
        <v>0</v>
      </c>
    </row>
    <row r="984" spans="1:16" x14ac:dyDescent="0.2">
      <c r="B984" s="266" t="s">
        <v>524</v>
      </c>
      <c r="C984" s="266"/>
      <c r="D984" s="225"/>
      <c r="E984" s="225"/>
      <c r="F984" s="225"/>
      <c r="G984" s="225"/>
      <c r="H984" s="201"/>
      <c r="I984" s="226"/>
      <c r="J984" s="267"/>
      <c r="K984" s="267"/>
      <c r="L984" s="267"/>
      <c r="M984" s="226"/>
      <c r="N984" s="226"/>
      <c r="P984" s="230">
        <f t="shared" si="440"/>
        <v>0</v>
      </c>
    </row>
    <row r="985" spans="1:16" x14ac:dyDescent="0.2">
      <c r="B985" s="268" t="s">
        <v>487</v>
      </c>
      <c r="C985" s="225"/>
      <c r="D985" s="225"/>
      <c r="E985" s="225"/>
      <c r="F985" s="225"/>
      <c r="G985" s="225"/>
      <c r="H985" s="201"/>
      <c r="I985" s="226"/>
      <c r="J985" s="226" t="s">
        <v>487</v>
      </c>
      <c r="K985" s="226"/>
      <c r="L985" s="226"/>
      <c r="M985" s="226"/>
      <c r="N985" s="226"/>
      <c r="P985" s="230">
        <f t="shared" si="440"/>
        <v>0</v>
      </c>
    </row>
    <row r="986" spans="1:16" x14ac:dyDescent="0.2">
      <c r="B986" s="225"/>
      <c r="C986" s="225"/>
      <c r="D986" s="225"/>
      <c r="E986" s="225"/>
      <c r="F986" s="225"/>
      <c r="G986" s="225"/>
      <c r="H986" s="201"/>
      <c r="I986" s="226"/>
      <c r="J986" s="226"/>
      <c r="K986" s="226"/>
      <c r="L986" s="226"/>
      <c r="M986" s="226"/>
      <c r="N986" s="226"/>
      <c r="P986" s="230">
        <f t="shared" si="440"/>
        <v>0</v>
      </c>
    </row>
    <row r="987" spans="1:16" x14ac:dyDescent="0.2">
      <c r="B987" s="266"/>
      <c r="C987" s="266"/>
      <c r="D987" s="225"/>
      <c r="E987" s="225"/>
      <c r="F987" s="225"/>
      <c r="G987" s="225"/>
      <c r="H987" s="201"/>
      <c r="I987" s="226"/>
      <c r="J987" s="267"/>
      <c r="K987" s="267"/>
      <c r="L987" s="267"/>
      <c r="M987" s="226"/>
      <c r="N987" s="226"/>
      <c r="P987" s="230">
        <f t="shared" si="440"/>
        <v>0</v>
      </c>
    </row>
    <row r="988" spans="1:16" x14ac:dyDescent="0.2">
      <c r="B988" s="269" t="s">
        <v>488</v>
      </c>
      <c r="C988" s="225"/>
      <c r="D988" s="225"/>
      <c r="E988" s="225"/>
      <c r="F988" s="225"/>
      <c r="G988" s="225"/>
      <c r="H988" s="201"/>
      <c r="I988" s="226"/>
      <c r="J988" s="285" t="s">
        <v>488</v>
      </c>
      <c r="K988" s="285"/>
      <c r="L988" s="285"/>
      <c r="M988" s="226"/>
      <c r="N988" s="226"/>
      <c r="P988" s="230">
        <f t="shared" si="440"/>
        <v>0</v>
      </c>
    </row>
    <row r="989" spans="1:16" x14ac:dyDescent="0.2">
      <c r="B989" s="225"/>
      <c r="C989" s="225"/>
      <c r="D989" s="225"/>
      <c r="E989" s="225"/>
      <c r="F989" s="225"/>
      <c r="G989" s="225"/>
      <c r="H989" s="201"/>
      <c r="I989" s="226"/>
      <c r="J989" s="226"/>
      <c r="K989" s="226"/>
      <c r="L989" s="226"/>
      <c r="M989" s="226"/>
      <c r="N989" s="226"/>
      <c r="P989" s="230">
        <f t="shared" si="440"/>
        <v>0</v>
      </c>
    </row>
    <row r="990" spans="1:16" x14ac:dyDescent="0.2">
      <c r="B990" s="264" t="s">
        <v>489</v>
      </c>
      <c r="C990" s="225"/>
      <c r="D990" s="225"/>
      <c r="E990" s="225"/>
      <c r="F990" s="225"/>
      <c r="G990" s="225"/>
      <c r="H990" s="201"/>
      <c r="I990" s="226"/>
      <c r="J990" s="226" t="s">
        <v>489</v>
      </c>
      <c r="K990" s="226"/>
      <c r="L990" s="226"/>
      <c r="M990" s="226"/>
      <c r="N990" s="226"/>
      <c r="P990" s="230">
        <f t="shared" si="440"/>
        <v>0</v>
      </c>
    </row>
    <row r="991" spans="1:16" x14ac:dyDescent="0.2">
      <c r="A991" s="272"/>
      <c r="B991" s="225"/>
      <c r="C991" s="225"/>
      <c r="D991" s="225"/>
      <c r="E991" s="225"/>
      <c r="F991" s="225"/>
      <c r="G991" s="225"/>
      <c r="H991" s="201"/>
      <c r="I991" s="226"/>
      <c r="J991" s="226"/>
      <c r="K991" s="226"/>
      <c r="M991" s="226"/>
      <c r="N991" s="228"/>
    </row>
    <row r="992" spans="1:16" x14ac:dyDescent="0.2">
      <c r="A992" s="260"/>
      <c r="B992" s="225"/>
      <c r="C992" s="225"/>
      <c r="D992" s="225"/>
      <c r="E992" s="225"/>
      <c r="F992" s="225"/>
      <c r="G992" s="225"/>
      <c r="H992" s="201"/>
      <c r="I992" s="226"/>
      <c r="J992" s="226"/>
      <c r="K992" s="226"/>
      <c r="M992" s="226"/>
      <c r="N992" s="228" t="s">
        <v>455</v>
      </c>
      <c r="P992" s="230">
        <f t="shared" ref="P992:P1009" si="441">IF(A992&gt;0,1,0)</f>
        <v>0</v>
      </c>
    </row>
    <row r="993" spans="1:18" x14ac:dyDescent="0.2">
      <c r="B993" s="225"/>
      <c r="C993" s="225"/>
      <c r="D993" s="225"/>
      <c r="E993" s="225"/>
      <c r="F993" s="225"/>
      <c r="G993" s="225"/>
      <c r="H993" s="201"/>
      <c r="I993" s="226"/>
      <c r="J993" s="226"/>
      <c r="K993" s="226"/>
      <c r="M993" s="226"/>
      <c r="N993" s="228" t="s">
        <v>456</v>
      </c>
      <c r="P993" s="230">
        <f t="shared" si="441"/>
        <v>0</v>
      </c>
    </row>
    <row r="994" spans="1:18" x14ac:dyDescent="0.2">
      <c r="B994" s="225"/>
      <c r="C994" s="225"/>
      <c r="D994" s="225"/>
      <c r="E994" s="225"/>
      <c r="F994" s="225"/>
      <c r="G994" s="225"/>
      <c r="H994" s="201"/>
      <c r="I994" s="226"/>
      <c r="J994" s="226"/>
      <c r="K994" s="226"/>
      <c r="M994" s="226"/>
      <c r="N994" s="228" t="s">
        <v>457</v>
      </c>
      <c r="P994" s="230">
        <f t="shared" si="441"/>
        <v>0</v>
      </c>
    </row>
    <row r="995" spans="1:18" x14ac:dyDescent="0.2">
      <c r="B995" s="225"/>
      <c r="C995" s="225"/>
      <c r="D995" s="225"/>
      <c r="E995" s="225"/>
      <c r="F995" s="225"/>
      <c r="G995" s="225"/>
      <c r="H995" s="201"/>
      <c r="I995" s="226"/>
      <c r="J995" s="226"/>
      <c r="K995" s="226"/>
      <c r="L995" s="226"/>
      <c r="M995" s="226"/>
      <c r="N995" s="226"/>
      <c r="P995" s="230">
        <f t="shared" si="441"/>
        <v>0</v>
      </c>
    </row>
    <row r="996" spans="1:18" x14ac:dyDescent="0.2">
      <c r="B996" s="225"/>
      <c r="C996" s="286" t="s">
        <v>458</v>
      </c>
      <c r="D996" s="286"/>
      <c r="E996" s="286"/>
      <c r="F996" s="286"/>
      <c r="G996" s="286"/>
      <c r="H996" s="286"/>
      <c r="I996" s="286"/>
      <c r="J996" s="286"/>
      <c r="K996" s="286"/>
      <c r="L996" s="286"/>
      <c r="M996" s="226"/>
      <c r="N996" s="226"/>
      <c r="P996" s="230">
        <f t="shared" si="441"/>
        <v>0</v>
      </c>
    </row>
    <row r="997" spans="1:18" x14ac:dyDescent="0.2">
      <c r="B997" s="225"/>
      <c r="C997" s="286" t="s">
        <v>459</v>
      </c>
      <c r="D997" s="286"/>
      <c r="E997" s="286"/>
      <c r="F997" s="286"/>
      <c r="G997" s="286"/>
      <c r="H997" s="286"/>
      <c r="I997" s="286"/>
      <c r="J997" s="286"/>
      <c r="K997" s="286"/>
      <c r="L997" s="286"/>
      <c r="M997" s="226"/>
      <c r="N997" s="226"/>
      <c r="P997" s="230">
        <f t="shared" si="441"/>
        <v>0</v>
      </c>
    </row>
    <row r="998" spans="1:18" x14ac:dyDescent="0.2">
      <c r="B998" s="225" t="s">
        <v>460</v>
      </c>
      <c r="C998" s="234"/>
      <c r="D998" s="234"/>
      <c r="E998" s="234"/>
      <c r="F998" s="234"/>
      <c r="G998" s="234"/>
      <c r="H998" s="234"/>
      <c r="I998" s="235"/>
      <c r="J998" s="235"/>
      <c r="K998" s="235"/>
      <c r="L998" s="287" t="s">
        <v>461</v>
      </c>
      <c r="M998" s="287"/>
      <c r="N998" s="287"/>
      <c r="P998" s="230">
        <f t="shared" si="441"/>
        <v>0</v>
      </c>
    </row>
    <row r="999" spans="1:18" x14ac:dyDescent="0.2">
      <c r="B999" s="225"/>
      <c r="C999" s="234"/>
      <c r="D999" s="234"/>
      <c r="E999" s="234"/>
      <c r="F999" s="234"/>
      <c r="G999" s="234"/>
      <c r="H999" s="234"/>
      <c r="I999" s="235"/>
      <c r="J999" s="235"/>
      <c r="K999" s="235"/>
      <c r="L999" s="235"/>
      <c r="M999" s="235"/>
      <c r="N999" s="235"/>
      <c r="P999" s="230">
        <f t="shared" si="441"/>
        <v>0</v>
      </c>
    </row>
    <row r="1000" spans="1:18" x14ac:dyDescent="0.2">
      <c r="B1000" s="225" t="s">
        <v>2038</v>
      </c>
      <c r="C1000" s="234"/>
      <c r="D1000" s="234"/>
      <c r="E1000" s="234"/>
      <c r="F1000" s="234"/>
      <c r="G1000" s="234"/>
      <c r="H1000" s="234"/>
      <c r="I1000" s="235"/>
      <c r="J1000" s="235"/>
      <c r="K1000" s="235"/>
      <c r="L1000" s="235"/>
      <c r="M1000" s="235"/>
      <c r="N1000" s="235"/>
      <c r="P1000" s="230">
        <f t="shared" si="441"/>
        <v>0</v>
      </c>
    </row>
    <row r="1001" spans="1:18" x14ac:dyDescent="0.2">
      <c r="B1001" s="225" t="s">
        <v>462</v>
      </c>
      <c r="C1001" s="234"/>
      <c r="D1001" s="234"/>
      <c r="E1001" s="234"/>
      <c r="F1001" s="234"/>
      <c r="G1001" s="234"/>
      <c r="H1001" s="234"/>
      <c r="I1001" s="235"/>
      <c r="J1001" s="235"/>
      <c r="K1001" s="235"/>
      <c r="L1001" s="235"/>
      <c r="M1001" s="235"/>
      <c r="N1001" s="235"/>
      <c r="P1001" s="230">
        <f t="shared" si="441"/>
        <v>0</v>
      </c>
    </row>
    <row r="1002" spans="1:18" x14ac:dyDescent="0.2">
      <c r="B1002" s="225" t="s">
        <v>2037</v>
      </c>
      <c r="C1002" s="234"/>
      <c r="D1002" s="234"/>
      <c r="E1002" s="234"/>
      <c r="F1002" s="234"/>
      <c r="G1002" s="234"/>
      <c r="H1002" s="234"/>
      <c r="I1002" s="235"/>
      <c r="J1002" s="235"/>
      <c r="K1002" s="235"/>
      <c r="L1002" s="235"/>
      <c r="M1002" s="235"/>
      <c r="N1002" s="235"/>
      <c r="P1002" s="230">
        <f t="shared" si="441"/>
        <v>0</v>
      </c>
    </row>
    <row r="1003" spans="1:18" x14ac:dyDescent="0.2">
      <c r="B1003" s="225" t="s">
        <v>2052</v>
      </c>
      <c r="C1003" s="234"/>
      <c r="D1003" s="234"/>
      <c r="E1003" s="234"/>
      <c r="F1003" s="234"/>
      <c r="G1003" s="234"/>
      <c r="H1003" s="234"/>
      <c r="I1003" s="235"/>
      <c r="J1003" s="235"/>
      <c r="K1003" s="235"/>
      <c r="L1003" s="235"/>
      <c r="M1003" s="235"/>
      <c r="N1003" s="235"/>
      <c r="P1003" s="230">
        <f t="shared" si="441"/>
        <v>0</v>
      </c>
    </row>
    <row r="1004" spans="1:18" x14ac:dyDescent="0.2">
      <c r="B1004" s="225"/>
      <c r="C1004" s="225"/>
      <c r="D1004" s="225"/>
      <c r="E1004" s="225"/>
      <c r="F1004" s="225"/>
      <c r="G1004" s="225"/>
      <c r="H1004" s="201"/>
      <c r="I1004" s="226"/>
      <c r="J1004" s="226"/>
      <c r="K1004" s="226"/>
      <c r="L1004" s="226"/>
      <c r="M1004" s="226"/>
      <c r="N1004" s="226"/>
      <c r="P1004" s="230">
        <f t="shared" si="441"/>
        <v>0</v>
      </c>
    </row>
    <row r="1005" spans="1:18" x14ac:dyDescent="0.2">
      <c r="B1005" s="288" t="s">
        <v>106</v>
      </c>
      <c r="C1005" s="290" t="s">
        <v>463</v>
      </c>
      <c r="D1005" s="288" t="s">
        <v>464</v>
      </c>
      <c r="E1005" s="288" t="s">
        <v>465</v>
      </c>
      <c r="F1005" s="288" t="s">
        <v>490</v>
      </c>
      <c r="G1005" s="288" t="s">
        <v>466</v>
      </c>
      <c r="H1005" s="292" t="s">
        <v>8</v>
      </c>
      <c r="I1005" s="294" t="s">
        <v>467</v>
      </c>
      <c r="J1005" s="295"/>
      <c r="K1005" s="295"/>
      <c r="L1005" s="296"/>
      <c r="M1005" s="297" t="s">
        <v>468</v>
      </c>
      <c r="N1005" s="299" t="s">
        <v>469</v>
      </c>
      <c r="P1005" s="230">
        <f t="shared" si="441"/>
        <v>0</v>
      </c>
    </row>
    <row r="1006" spans="1:18" x14ac:dyDescent="0.2">
      <c r="B1006" s="289"/>
      <c r="C1006" s="291"/>
      <c r="D1006" s="289"/>
      <c r="E1006" s="289"/>
      <c r="F1006" s="289"/>
      <c r="G1006" s="289"/>
      <c r="H1006" s="293"/>
      <c r="I1006" s="236" t="s">
        <v>470</v>
      </c>
      <c r="J1006" s="236" t="s">
        <v>471</v>
      </c>
      <c r="K1006" s="236" t="s">
        <v>472</v>
      </c>
      <c r="L1006" s="236" t="s">
        <v>473</v>
      </c>
      <c r="M1006" s="298"/>
      <c r="N1006" s="300"/>
      <c r="P1006" s="230">
        <f t="shared" si="441"/>
        <v>0</v>
      </c>
    </row>
    <row r="1007" spans="1:18" x14ac:dyDescent="0.2">
      <c r="A1007" s="224" t="str">
        <f>CONCATENATE("Лот"," ",A1008)</f>
        <v>Лот 19</v>
      </c>
      <c r="B1007" s="273" t="s">
        <v>2087</v>
      </c>
      <c r="C1007" s="274"/>
      <c r="D1007" s="274"/>
      <c r="E1007" s="274"/>
      <c r="F1007" s="274"/>
      <c r="G1007" s="275"/>
      <c r="H1007" s="238" t="s">
        <v>17</v>
      </c>
      <c r="I1007" s="270">
        <f ca="1">ROUND(VLOOKUP($H1007,$AJ$4:$AN$13,2,0)*$Q1009*1.51,2)</f>
        <v>120.15</v>
      </c>
      <c r="J1007" s="270">
        <f ca="1">ROUND(VLOOKUP($H1007,$AJ$4:$AN$13,3,0)*$Q1009*1.51,2)</f>
        <v>85.62</v>
      </c>
      <c r="K1007" s="270">
        <f ca="1">ROUND(VLOOKUP($H1007,$AJ$4:$AN$13,4,0)*$Q1009*1.51,2)</f>
        <v>43.38</v>
      </c>
      <c r="L1007" s="270"/>
      <c r="M1007" s="270">
        <f ca="1">ROUND(VLOOKUP($H1007,$AJ$4:$AN$13,5,0)*$Q1009*1.51,2)</f>
        <v>6.85</v>
      </c>
      <c r="N1007" s="270"/>
      <c r="P1007" s="230">
        <f t="shared" si="441"/>
        <v>1</v>
      </c>
    </row>
    <row r="1008" spans="1:18" x14ac:dyDescent="0.2">
      <c r="A1008" s="224">
        <f>A953+1</f>
        <v>19</v>
      </c>
      <c r="B1008" s="276"/>
      <c r="C1008" s="277"/>
      <c r="D1008" s="277"/>
      <c r="E1008" s="277"/>
      <c r="F1008" s="277"/>
      <c r="G1008" s="278"/>
      <c r="H1008" s="238" t="s">
        <v>25</v>
      </c>
      <c r="I1008" s="270">
        <f ca="1">ROUND(VLOOKUP($H1008,$AJ$4:$AN$13,2,0)*$Q1009*1.51,2)</f>
        <v>898.69</v>
      </c>
      <c r="J1008" s="270">
        <f ca="1">ROUND(VLOOKUP($H1008,$AJ$4:$AN$13,3,0)*$Q1009*1.51,2)</f>
        <v>642.13</v>
      </c>
      <c r="K1008" s="270">
        <f ca="1">ROUND(VLOOKUP($H1008,$AJ$4:$AN$13,4,0)*$Q1009*1.51,2)</f>
        <v>323.06</v>
      </c>
      <c r="L1008" s="270"/>
      <c r="M1008" s="270">
        <f ca="1">ROUND(VLOOKUP($H1008,$AJ$4:$AN$13,5,0)*$Q1009*1.51,2)</f>
        <v>27.97</v>
      </c>
      <c r="N1008" s="270"/>
      <c r="P1008" s="230">
        <f t="shared" si="441"/>
        <v>1</v>
      </c>
      <c r="Q1008" s="240" t="s">
        <v>2045</v>
      </c>
      <c r="R1008" s="240" t="s">
        <v>2046</v>
      </c>
    </row>
    <row r="1009" spans="1:43" x14ac:dyDescent="0.2">
      <c r="B1009" s="276"/>
      <c r="C1009" s="277"/>
      <c r="D1009" s="277"/>
      <c r="E1009" s="277"/>
      <c r="F1009" s="277"/>
      <c r="G1009" s="278"/>
      <c r="H1009" s="238" t="s">
        <v>19</v>
      </c>
      <c r="I1009" s="270">
        <f ca="1">ROUND(VLOOKUP($H1009,$AJ$4:$AN$13,2,0)*$Q1009*1.51,2)</f>
        <v>71.349999999999994</v>
      </c>
      <c r="J1009" s="270">
        <f ca="1">ROUND(VLOOKUP($H1009,$AJ$4:$AN$13,3,0)*$Q1009*1.51,2)</f>
        <v>51.94</v>
      </c>
      <c r="K1009" s="270">
        <f ca="1">ROUND(VLOOKUP($H1009,$AJ$4:$AN$13,4,0)*$Q1009*1.51,2)</f>
        <v>26.54</v>
      </c>
      <c r="L1009" s="270"/>
      <c r="M1009" s="270">
        <f ca="1">ROUND(VLOOKUP($H1009,$AJ$4:$AN$13,5,0)*$Q1009*1.51,2)</f>
        <v>1.43</v>
      </c>
      <c r="N1009" s="270"/>
      <c r="P1009" s="230">
        <f t="shared" si="441"/>
        <v>0</v>
      </c>
      <c r="Q1009" s="123">
        <f ca="1">IFERROR(IF(R1009="","",IF(OR(R1009&lt;100,R1009=100),0.9,IF(OR(AND(R1009&gt;100,R1009&lt;150),R1009=150),1,IF(R1009&gt;150,1.05,"")))),"0")</f>
        <v>1.05</v>
      </c>
      <c r="R1009" s="123">
        <f ca="1">N1025/G1013</f>
        <v>212.11714285714285</v>
      </c>
    </row>
    <row r="1010" spans="1:43" x14ac:dyDescent="0.2">
      <c r="B1010" s="276"/>
      <c r="C1010" s="277"/>
      <c r="D1010" s="277"/>
      <c r="E1010" s="277"/>
      <c r="F1010" s="277"/>
      <c r="G1010" s="278"/>
      <c r="H1010" s="238" t="s">
        <v>268</v>
      </c>
      <c r="I1010" s="270">
        <f ca="1">ROUND(VLOOKUP($H1010,$AJ$4:$AN$13,2,0)*$Q1009*1.51,2)</f>
        <v>898.69</v>
      </c>
      <c r="J1010" s="270">
        <f ca="1">ROUND(VLOOKUP($H1010,$AJ$4:$AN$13,3,0)*$Q1009*1.51,2)</f>
        <v>642.13</v>
      </c>
      <c r="K1010" s="270">
        <f ca="1">ROUND(VLOOKUP($H1010,$AJ$4:$AN$13,4,0)*$Q1009*1.51,2)</f>
        <v>323.06</v>
      </c>
      <c r="L1010" s="270"/>
      <c r="M1010" s="270">
        <f ca="1">ROUND(VLOOKUP($H1010,$AJ$4:$AN$13,5,0)*$Q1009*1.51,2)</f>
        <v>27.97</v>
      </c>
      <c r="N1010" s="270"/>
    </row>
    <row r="1011" spans="1:43" x14ac:dyDescent="0.2">
      <c r="B1011" s="276"/>
      <c r="C1011" s="277"/>
      <c r="D1011" s="277"/>
      <c r="E1011" s="277"/>
      <c r="F1011" s="277"/>
      <c r="G1011" s="278"/>
      <c r="H1011" s="238" t="s">
        <v>40</v>
      </c>
      <c r="I1011" s="270">
        <f ca="1">ROUND(VLOOKUP($H1011,$AJ$4:$AN$13,2,0)*$Q1009*1.51,2)</f>
        <v>71.349999999999994</v>
      </c>
      <c r="J1011" s="270">
        <f ca="1">ROUND(VLOOKUP($H1011,$AJ$4:$AN$13,3,0)*$Q1009*1.51,2)</f>
        <v>51.94</v>
      </c>
      <c r="K1011" s="270">
        <f ca="1">ROUND(VLOOKUP($H1011,$AJ$4:$AN$13,4,0)*$Q1009*1.51,2)</f>
        <v>26.54</v>
      </c>
      <c r="L1011" s="270"/>
      <c r="M1011" s="270">
        <f ca="1">ROUND(VLOOKUP($H1011,$AJ$4:$AN$13,5,0)*$Q1009*1.51,2)</f>
        <v>1.43</v>
      </c>
      <c r="N1011" s="270"/>
      <c r="P1011" s="230">
        <f t="shared" ref="P1011:P1024" si="442">IF(A1011&gt;0,1,0)</f>
        <v>0</v>
      </c>
    </row>
    <row r="1012" spans="1:43" x14ac:dyDescent="0.2">
      <c r="B1012" s="279"/>
      <c r="C1012" s="280"/>
      <c r="D1012" s="280"/>
      <c r="E1012" s="280"/>
      <c r="F1012" s="280"/>
      <c r="G1012" s="281"/>
      <c r="H1012" s="238" t="s">
        <v>18</v>
      </c>
      <c r="I1012" s="270">
        <f ca="1">ROUND(VLOOKUP($H1012,$AJ$4:$AN$13,2,0)*$Q1009*1.51,2)</f>
        <v>22.83</v>
      </c>
      <c r="J1012" s="270">
        <f ca="1">ROUND(VLOOKUP($H1012,$AJ$4:$AN$13,3,0)*$Q1009*1.51,2)</f>
        <v>17.41</v>
      </c>
      <c r="K1012" s="270">
        <f ca="1">ROUND(VLOOKUP($H1012,$AJ$4:$AN$13,4,0)*$Q1009*1.51,2)</f>
        <v>8.85</v>
      </c>
      <c r="L1012" s="270"/>
      <c r="M1012" s="270">
        <f ca="1">ROUND(VLOOKUP($H1012,$AJ$4:$AN$13,5,0)*$Q1009*1.51*1,2)</f>
        <v>0.56999999999999995</v>
      </c>
      <c r="N1012" s="270"/>
      <c r="P1012" s="230">
        <f t="shared" si="442"/>
        <v>0</v>
      </c>
      <c r="AP1012" s="241" t="s">
        <v>2053</v>
      </c>
      <c r="AQ1012" s="242"/>
    </row>
    <row r="1013" spans="1:43" x14ac:dyDescent="0.2">
      <c r="A1013" s="224">
        <f>A958+37</f>
        <v>666</v>
      </c>
      <c r="B1013" s="243" t="str">
        <f ca="1">OFFSET(ЛОТЫ!$L$5,A1013,0,1,1)</f>
        <v>Восходское</v>
      </c>
      <c r="C1013" s="244" t="s">
        <v>474</v>
      </c>
      <c r="D1013" s="243">
        <f ca="1">OFFSET(ЛОТЫ!$M$5,A1013,0,1,1)</f>
        <v>45</v>
      </c>
      <c r="E1013" s="243">
        <f ca="1">OFFSET(ЛОТЫ!$N$5,A1013,0,1,1)</f>
        <v>8</v>
      </c>
      <c r="F1013" s="243">
        <f ca="1">OFFSET(ЛОТЫ!$O$5,A1013,0,1,1)</f>
        <v>1</v>
      </c>
      <c r="G1013" s="271">
        <f ca="1">IFERROR(INDEX('Ведомость расчета мин. платы'!$G$10:$AC$214,MATCH(CONCATENATE(B1013,"/",D1013,"/",E1013,"/",F1013),'Ведомость расчета мин. платы'!$AC$10:$AC$214,0),1),"")</f>
        <v>7</v>
      </c>
      <c r="H1013" s="246" t="s">
        <v>17</v>
      </c>
      <c r="I1013" s="247">
        <f ca="1">IFERROR(INDEX('Ведомость расчета мин. платы'!$J$10:$AE$214,MATCH(CONCATENATE(РАСЧЕТ!B1013,"/",РАСЧЕТ!D1013,"/",РАСЧЕТ!E1013,"/",F1013,"/",H1013),'Ведомость расчета мин. платы'!$AE$10:$AE$214,0),2),"")</f>
        <v>25.08</v>
      </c>
      <c r="J1013" s="247">
        <f ca="1">IFERROR(INDEX('Ведомость расчета мин. платы'!$J$10:$AE$214,MATCH(CONCATENATE(РАСЧЕТ!B1013,"/",РАСЧЕТ!D1013,"/",РАСЧЕТ!E1013,"/",F1013,"/",H1013),'Ведомость расчета мин. платы'!$AE$10:$AE$214,0),3),"")</f>
        <v>56.47</v>
      </c>
      <c r="K1013" s="247">
        <f ca="1">IFERROR(INDEX('Ведомость расчета мин. платы'!$J$10:$AE$214,MATCH(CONCATENATE(РАСЧЕТ!B1013,"/",РАСЧЕТ!D1013,"/",РАСЧЕТ!E1013,"/",F1013,"/",H1013),'Ведомость расчета мин. платы'!$AE$10:$AE$214,0),4),"")</f>
        <v>4.55</v>
      </c>
      <c r="L1013" s="248">
        <f t="shared" ref="L1013:L1025" ca="1" si="443">IFERROR(SUM(I1013:K1013),"")</f>
        <v>86.1</v>
      </c>
      <c r="M1013" s="214">
        <f ca="1">IFERROR(INDEX('Ведомость расчета мин. платы'!$J$10:$AE$214,MATCH(CONCATENATE(РАСЧЕТ!B1013,"/",РАСЧЕТ!D1013,"/",РАСЧЕТ!E1013,"/",F1013,"/",H1013),'Ведомость расчета мин. платы'!$AE$10:$AE$214,0),6),"")</f>
        <v>67.78</v>
      </c>
      <c r="N1013" s="214">
        <f t="shared" ref="N1013:N1025" ca="1" si="444">IFERROR(SUM(L1013:M1013),"")</f>
        <v>153.88</v>
      </c>
      <c r="O1013" s="229">
        <f>IF(H1013="стоимость","",1)</f>
        <v>1</v>
      </c>
      <c r="P1013" s="230">
        <f t="shared" si="442"/>
        <v>1</v>
      </c>
      <c r="AP1013" s="242"/>
      <c r="AQ1013" s="242"/>
    </row>
    <row r="1014" spans="1:43" x14ac:dyDescent="0.2">
      <c r="B1014" s="249"/>
      <c r="C1014" s="249"/>
      <c r="D1014" s="249"/>
      <c r="E1014" s="249"/>
      <c r="F1014" s="249"/>
      <c r="G1014" s="249"/>
      <c r="H1014" s="250" t="s">
        <v>475</v>
      </c>
      <c r="I1014" s="251">
        <f ca="1">IFERROR(ROUND(I1013*I1007,2),"")</f>
        <v>3013.36</v>
      </c>
      <c r="J1014" s="251">
        <f t="shared" ref="J1014" ca="1" si="445">IFERROR(ROUND(J1013*J1007,2),"")</f>
        <v>4834.96</v>
      </c>
      <c r="K1014" s="251">
        <f t="shared" ref="K1014" ca="1" si="446">IFERROR(ROUND(K1013*K1007,2),"")</f>
        <v>197.38</v>
      </c>
      <c r="L1014" s="251">
        <f t="shared" ca="1" si="443"/>
        <v>8045.7</v>
      </c>
      <c r="M1014" s="251">
        <v>464.30000000000024</v>
      </c>
      <c r="N1014" s="252">
        <f t="shared" ca="1" si="444"/>
        <v>8510</v>
      </c>
      <c r="O1014" s="229" t="str">
        <f t="shared" ref="O1014:O1024" si="447">IF(H1014="стоимость","",1)</f>
        <v/>
      </c>
      <c r="P1014" s="230">
        <f t="shared" si="442"/>
        <v>0</v>
      </c>
      <c r="AP1014" s="242">
        <f ca="1">SUMIFS('Ведомость расчета мин. платы'!$S$10:$S$209,'Ведомость расчета мин. платы'!$AE$10:$AE$209,CONCATENATE(B1013,"/",D1013,"/",E1013,"/",F1013,"/",H1013))</f>
        <v>8510</v>
      </c>
      <c r="AQ1014" s="253">
        <f t="shared" ref="AQ1014" ca="1" si="448">AP1014-N1014</f>
        <v>0</v>
      </c>
    </row>
    <row r="1015" spans="1:43" x14ac:dyDescent="0.2">
      <c r="B1015" s="249"/>
      <c r="C1015" s="249"/>
      <c r="D1015" s="249"/>
      <c r="E1015" s="249"/>
      <c r="F1015" s="249"/>
      <c r="G1015" s="249"/>
      <c r="H1015" s="246" t="s">
        <v>25</v>
      </c>
      <c r="I1015" s="247" t="str">
        <f ca="1">IFERROR(INDEX('Ведомость расчета мин. платы'!$J$10:$AE$214,MATCH(CONCATENATE(РАСЧЕТ!B1013,"/",РАСЧЕТ!D1013,"/",РАСЧЕТ!E1013,"/",F1013,"/",H1015),'Ведомость расчета мин. платы'!$AE$10:$AE$214,0),2),"")</f>
        <v/>
      </c>
      <c r="J1015" s="247" t="str">
        <f ca="1">IFERROR(INDEX('Ведомость расчета мин. платы'!$J$10:$AE$214,MATCH(CONCATENATE(РАСЧЕТ!B1013,"/",РАСЧЕТ!D1013,"/",РАСЧЕТ!E1013,"/",F1013,"/",H1015),'Ведомость расчета мин. платы'!$AE$10:$AE$214,0),3),"")</f>
        <v/>
      </c>
      <c r="K1015" s="247" t="str">
        <f ca="1">IFERROR(INDEX('Ведомость расчета мин. платы'!$J$10:$AE$214,MATCH(CONCATENATE(РАСЧЕТ!B1013,"/",РАСЧЕТ!D1013,"/",РАСЧЕТ!E1013,"/",F1013,"/",H1015),'Ведомость расчета мин. платы'!$AE$10:$AE$214,0),4),"")</f>
        <v/>
      </c>
      <c r="L1015" s="248">
        <f t="shared" ca="1" si="443"/>
        <v>0</v>
      </c>
      <c r="M1015" s="214" t="str">
        <f ca="1">IFERROR(INDEX('Ведомость расчета мин. платы'!$J$10:$AE$214,MATCH(CONCATENATE(РАСЧЕТ!B1013,"/",РАСЧЕТ!D1013,"/",РАСЧЕТ!E1013,"/",F1013,"/",H1015),'Ведомость расчета мин. платы'!$AE$10:$AE$214,0),6),"")</f>
        <v/>
      </c>
      <c r="N1015" s="214">
        <f t="shared" ca="1" si="444"/>
        <v>0</v>
      </c>
      <c r="O1015" s="229">
        <f t="shared" si="447"/>
        <v>1</v>
      </c>
      <c r="P1015" s="230">
        <f t="shared" si="442"/>
        <v>0</v>
      </c>
      <c r="AP1015" s="242"/>
      <c r="AQ1015" s="253"/>
    </row>
    <row r="1016" spans="1:43" x14ac:dyDescent="0.2">
      <c r="B1016" s="249"/>
      <c r="C1016" s="249"/>
      <c r="D1016" s="249"/>
      <c r="E1016" s="249"/>
      <c r="F1016" s="249"/>
      <c r="G1016" s="249"/>
      <c r="H1016" s="250" t="s">
        <v>475</v>
      </c>
      <c r="I1016" s="251" t="str">
        <f ca="1">IFERROR(ROUND(I1015*I1008,2),"")</f>
        <v/>
      </c>
      <c r="J1016" s="251" t="str">
        <f t="shared" ref="J1016" ca="1" si="449">IFERROR(ROUND(J1015*J1008,2),"")</f>
        <v/>
      </c>
      <c r="K1016" s="251" t="str">
        <f t="shared" ref="K1016" ca="1" si="450">IFERROR(ROUND(K1015*K1008,2),"")</f>
        <v/>
      </c>
      <c r="L1016" s="251">
        <f t="shared" ca="1" si="443"/>
        <v>0</v>
      </c>
      <c r="M1016" s="251" t="str">
        <f t="shared" ref="M1016" ca="1" si="451">IFERROR(ROUND(M1015*M1008,2),"")</f>
        <v/>
      </c>
      <c r="N1016" s="252">
        <f t="shared" ca="1" si="444"/>
        <v>0</v>
      </c>
      <c r="O1016" s="229" t="str">
        <f t="shared" si="447"/>
        <v/>
      </c>
      <c r="P1016" s="230">
        <f t="shared" si="442"/>
        <v>0</v>
      </c>
      <c r="AP1016" s="242">
        <f ca="1">SUMIFS('Ведомость расчета мин. платы'!$S$10:$S$209,'Ведомость расчета мин. платы'!$AE$10:$AE$209,CONCATENATE(B1013,"/",D1013,"/",E1013,"/",F1013,"/",H1015))</f>
        <v>0</v>
      </c>
      <c r="AQ1016" s="253">
        <f t="shared" ref="AQ1016" ca="1" si="452">AP1016-N1016</f>
        <v>0</v>
      </c>
    </row>
    <row r="1017" spans="1:43" x14ac:dyDescent="0.2">
      <c r="B1017" s="249"/>
      <c r="C1017" s="249"/>
      <c r="D1017" s="249"/>
      <c r="E1017" s="249"/>
      <c r="F1017" s="249"/>
      <c r="G1017" s="249"/>
      <c r="H1017" s="205" t="s">
        <v>19</v>
      </c>
      <c r="I1017" s="248">
        <f ca="1">IFERROR(INDEX('Ведомость расчета мин. платы'!$J$10:$AE$214,MATCH(CONCATENATE(РАСЧЕТ!B1013,"/",РАСЧЕТ!D1013,"/",РАСЧЕТ!E1013,"/",F1013,"/",H1017),'Ведомость расчета мин. платы'!$AE$10:$AE$214,0),2),"")</f>
        <v>0</v>
      </c>
      <c r="J1017" s="248">
        <f ca="1">IFERROR(INDEX('Ведомость расчета мин. платы'!$J$10:$AE$214,MATCH(CONCATENATE(РАСЧЕТ!B1013,"/",РАСЧЕТ!D1013,"/",РАСЧЕТ!E1013,"/",F1013,"/",H1017),'Ведомость расчета мин. платы'!$AE$10:$AE$214,0),3),"")</f>
        <v>3.32</v>
      </c>
      <c r="K1017" s="248">
        <f ca="1">IFERROR(INDEX('Ведомость расчета мин. платы'!$J$10:$AE$214,MATCH(CONCATENATE(РАСЧЕТ!B1013,"/",РАСЧЕТ!D1013,"/",РАСЧЕТ!E1013,"/",F1013,"/",H1017),'Ведомость расчета мин. платы'!$AE$10:$AE$214,0),4),"")</f>
        <v>9.2100000000000009</v>
      </c>
      <c r="L1017" s="248">
        <f t="shared" ca="1" si="443"/>
        <v>12.530000000000001</v>
      </c>
      <c r="M1017" s="248">
        <f ca="1">IFERROR(INDEX('Ведомость расчета мин. платы'!$J$10:$AE$214,MATCH(CONCATENATE(РАСЧЕТ!B1013,"/",РАСЧЕТ!D1013,"/",РАСЧЕТ!E1013,"/",F1013,"/",H1017),'Ведомость расчета мин. платы'!$AE$10:$AE$214,0),6),"")</f>
        <v>25.86</v>
      </c>
      <c r="N1017" s="214">
        <f t="shared" ca="1" si="444"/>
        <v>38.39</v>
      </c>
      <c r="O1017" s="229">
        <f t="shared" si="447"/>
        <v>1</v>
      </c>
      <c r="P1017" s="230">
        <f t="shared" si="442"/>
        <v>0</v>
      </c>
      <c r="AP1017" s="242"/>
      <c r="AQ1017" s="253"/>
    </row>
    <row r="1018" spans="1:43" x14ac:dyDescent="0.2">
      <c r="B1018" s="249"/>
      <c r="C1018" s="249"/>
      <c r="D1018" s="249"/>
      <c r="E1018" s="249"/>
      <c r="F1018" s="249"/>
      <c r="G1018" s="249"/>
      <c r="H1018" s="250" t="s">
        <v>475</v>
      </c>
      <c r="I1018" s="251">
        <f ca="1">IFERROR(ROUND(I1017*I1009,2),"")</f>
        <v>0</v>
      </c>
      <c r="J1018" s="251">
        <f t="shared" ref="J1018" ca="1" si="453">IFERROR(ROUND(J1017*J1009,2),"")</f>
        <v>172.44</v>
      </c>
      <c r="K1018" s="251">
        <f t="shared" ref="K1018" ca="1" si="454">IFERROR(ROUND(K1017*K1009,2),"")</f>
        <v>244.43</v>
      </c>
      <c r="L1018" s="251">
        <f t="shared" ca="1" si="443"/>
        <v>416.87</v>
      </c>
      <c r="M1018" s="251">
        <f t="shared" ref="M1018" ca="1" si="455">IFERROR(ROUND(M1017*M1009,2),"")</f>
        <v>36.979999999999997</v>
      </c>
      <c r="N1018" s="252">
        <f t="shared" ca="1" si="444"/>
        <v>453.85</v>
      </c>
      <c r="O1018" s="229" t="str">
        <f t="shared" si="447"/>
        <v/>
      </c>
      <c r="P1018" s="230">
        <f t="shared" si="442"/>
        <v>0</v>
      </c>
      <c r="AP1018" s="242">
        <f ca="1">SUMIFS('Ведомость расчета мин. платы'!$S$10:$S$209,'Ведомость расчета мин. платы'!$AE$10:$AE$209,CONCATENATE(B1013,"/",D1013,"/",E1013,"/",F1013,"/",H1017))</f>
        <v>453.85</v>
      </c>
      <c r="AQ1018" s="253">
        <f t="shared" ref="AQ1018" ca="1" si="456">AP1018-N1018</f>
        <v>0</v>
      </c>
    </row>
    <row r="1019" spans="1:43" x14ac:dyDescent="0.2">
      <c r="B1019" s="249"/>
      <c r="C1019" s="249"/>
      <c r="D1019" s="249"/>
      <c r="E1019" s="249"/>
      <c r="F1019" s="249"/>
      <c r="G1019" s="249"/>
      <c r="H1019" s="205" t="s">
        <v>268</v>
      </c>
      <c r="I1019" s="248" t="str">
        <f ca="1">IFERROR(INDEX('Ведомость расчета мин. платы'!$J$10:$AE$214,MATCH(CONCATENATE(РАСЧЕТ!B1013,"/",РАСЧЕТ!D1013,"/",РАСЧЕТ!E1013,"/",F1013,"/",H1019),'Ведомость расчета мин. платы'!$AE$10:$AE$214,0),2),"")</f>
        <v/>
      </c>
      <c r="J1019" s="248" t="str">
        <f ca="1">IFERROR(INDEX('Ведомость расчета мин. платы'!$J$10:$AE$214,MATCH(CONCATENATE(РАСЧЕТ!B1013,"/",РАСЧЕТ!D1013,"/",РАСЧЕТ!E1013,"/",F1013,"/",H1019),'Ведомость расчета мин. платы'!$AE$10:$AE$214,0),3),"")</f>
        <v/>
      </c>
      <c r="K1019" s="248" t="str">
        <f ca="1">IFERROR(INDEX('Ведомость расчета мин. платы'!$J$10:$AE$214,MATCH(CONCATENATE(РАСЧЕТ!B1013,"/",РАСЧЕТ!D1013,"/",РАСЧЕТ!E1013,"/",F1013,"/",H1019),'Ведомость расчета мин. платы'!$AE$10:$AE$214,0),4),"")</f>
        <v/>
      </c>
      <c r="L1019" s="248">
        <f t="shared" ca="1" si="443"/>
        <v>0</v>
      </c>
      <c r="M1019" s="248" t="str">
        <f ca="1">IFERROR(INDEX('Ведомость расчета мин. платы'!$J$10:$AE$214,MATCH(CONCATENATE(РАСЧЕТ!B1013,"/",РАСЧЕТ!D1013,"/",РАСЧЕТ!E1013,"/",F1013,"/",H1019),'Ведомость расчета мин. платы'!$AE$10:$AE$214,0),6),"")</f>
        <v/>
      </c>
      <c r="N1019" s="214">
        <f t="shared" ca="1" si="444"/>
        <v>0</v>
      </c>
      <c r="O1019" s="229">
        <f t="shared" si="447"/>
        <v>1</v>
      </c>
      <c r="P1019" s="230">
        <f t="shared" si="442"/>
        <v>0</v>
      </c>
      <c r="AP1019" s="242"/>
      <c r="AQ1019" s="253"/>
    </row>
    <row r="1020" spans="1:43" x14ac:dyDescent="0.2">
      <c r="B1020" s="249"/>
      <c r="C1020" s="249"/>
      <c r="D1020" s="249"/>
      <c r="E1020" s="249"/>
      <c r="F1020" s="249"/>
      <c r="G1020" s="249"/>
      <c r="H1020" s="250" t="s">
        <v>475</v>
      </c>
      <c r="I1020" s="251" t="str">
        <f ca="1">IFERROR(ROUND(I1019*I1012,2),"")</f>
        <v/>
      </c>
      <c r="J1020" s="251" t="str">
        <f ca="1">IFERROR(ROUND(J1019*J1010,2),"")</f>
        <v/>
      </c>
      <c r="K1020" s="251" t="str">
        <f ca="1">IFERROR(ROUND(K1019*K1010,2),"")</f>
        <v/>
      </c>
      <c r="L1020" s="251">
        <f t="shared" ca="1" si="443"/>
        <v>0</v>
      </c>
      <c r="M1020" s="251" t="str">
        <f ca="1">IFERROR(ROUND(M1019*M1010,2),"")</f>
        <v/>
      </c>
      <c r="N1020" s="252">
        <f t="shared" ca="1" si="444"/>
        <v>0</v>
      </c>
      <c r="O1020" s="229" t="str">
        <f t="shared" si="447"/>
        <v/>
      </c>
      <c r="P1020" s="230">
        <f t="shared" si="442"/>
        <v>0</v>
      </c>
      <c r="AP1020" s="242">
        <f ca="1">SUMIFS('Ведомость расчета мин. платы'!$S$10:$S$209,'Ведомость расчета мин. платы'!$AE$10:$AE$209,CONCATENATE(B1013,"/",D1013,"/",E1013,"/",F1013,"/",H1019))</f>
        <v>0</v>
      </c>
      <c r="AQ1020" s="253">
        <f t="shared" ref="AQ1020" ca="1" si="457">AP1020-N1020</f>
        <v>0</v>
      </c>
    </row>
    <row r="1021" spans="1:43" x14ac:dyDescent="0.2">
      <c r="B1021" s="249"/>
      <c r="C1021" s="249"/>
      <c r="D1021" s="249"/>
      <c r="E1021" s="249"/>
      <c r="F1021" s="249"/>
      <c r="G1021" s="249"/>
      <c r="H1021" s="205" t="s">
        <v>40</v>
      </c>
      <c r="I1021" s="248" t="str">
        <f ca="1">IFERROR(INDEX('Ведомость расчета мин. платы'!$J$10:$AE$214,MATCH(CONCATENATE(РАСЧЕТ!B1013,"/",РАСЧЕТ!D1013,"/",РАСЧЕТ!E1013,"/",F1013,"/",H1021),'Ведомость расчета мин. платы'!$AE$10:$AE$214,0),2),"")</f>
        <v/>
      </c>
      <c r="J1021" s="248" t="str">
        <f ca="1">IFERROR(INDEX('Ведомость расчета мин. платы'!$J$10:$AE$214,MATCH(CONCATENATE(РАСЧЕТ!B1013,"/",РАСЧЕТ!D1013,"/",РАСЧЕТ!E1013,"/",F1013,"/",H1021),'Ведомость расчета мин. платы'!$AE$10:$AE$214,0),3),"")</f>
        <v/>
      </c>
      <c r="K1021" s="248" t="str">
        <f ca="1">IFERROR(INDEX('Ведомость расчета мин. платы'!$J$10:$AE$214,MATCH(CONCATENATE(РАСЧЕТ!B1013,"/",РАСЧЕТ!D1013,"/",РАСЧЕТ!E1013,"/",F1013,"/",H1021),'Ведомость расчета мин. платы'!$AE$10:$AE$214,0),4),"")</f>
        <v/>
      </c>
      <c r="L1021" s="248">
        <f t="shared" ca="1" si="443"/>
        <v>0</v>
      </c>
      <c r="M1021" s="248" t="str">
        <f ca="1">IFERROR(INDEX('Ведомость расчета мин. платы'!$J$10:$AE$214,MATCH(CONCATENATE(РАСЧЕТ!B1013,"/",РАСЧЕТ!D1013,"/",РАСЧЕТ!E1013,"/",F1013,"/",H1021),'Ведомость расчета мин. платы'!$AE$10:$AE$214,0),6),"")</f>
        <v/>
      </c>
      <c r="N1021" s="214">
        <f t="shared" ca="1" si="444"/>
        <v>0</v>
      </c>
      <c r="O1021" s="229">
        <f t="shared" si="447"/>
        <v>1</v>
      </c>
      <c r="P1021" s="230">
        <f t="shared" si="442"/>
        <v>0</v>
      </c>
      <c r="AP1021" s="242"/>
      <c r="AQ1021" s="253"/>
    </row>
    <row r="1022" spans="1:43" x14ac:dyDescent="0.2">
      <c r="B1022" s="249"/>
      <c r="C1022" s="249"/>
      <c r="D1022" s="249"/>
      <c r="E1022" s="249"/>
      <c r="F1022" s="249"/>
      <c r="G1022" s="249"/>
      <c r="H1022" s="250" t="s">
        <v>475</v>
      </c>
      <c r="I1022" s="251" t="str">
        <f ca="1">IFERROR(ROUND(I1021*I1011,2),"")</f>
        <v/>
      </c>
      <c r="J1022" s="251" t="str">
        <f t="shared" ref="J1022" ca="1" si="458">IFERROR(ROUND(J1021*J1011,2),"")</f>
        <v/>
      </c>
      <c r="K1022" s="251" t="str">
        <f t="shared" ref="K1022" ca="1" si="459">IFERROR(ROUND(K1021*K1011,2),"")</f>
        <v/>
      </c>
      <c r="L1022" s="251">
        <f t="shared" ca="1" si="443"/>
        <v>0</v>
      </c>
      <c r="M1022" s="251" t="str">
        <f t="shared" ref="M1022" ca="1" si="460">IFERROR(ROUND(M1021*M1011,2),"")</f>
        <v/>
      </c>
      <c r="N1022" s="252">
        <f t="shared" ca="1" si="444"/>
        <v>0</v>
      </c>
      <c r="O1022" s="229" t="str">
        <f t="shared" si="447"/>
        <v/>
      </c>
      <c r="P1022" s="230">
        <f t="shared" si="442"/>
        <v>0</v>
      </c>
      <c r="AP1022" s="242">
        <f ca="1">SUMIFS('Ведомость расчета мин. платы'!$S$10:$S$209,'Ведомость расчета мин. платы'!$AE$10:$AE$209,CONCATENATE(B1013,"/",D1013,"/",E1013,"/",F1013,"/",H1021))</f>
        <v>0</v>
      </c>
      <c r="AQ1022" s="253">
        <f t="shared" ref="AQ1022" ca="1" si="461">AP1022-N1022</f>
        <v>0</v>
      </c>
    </row>
    <row r="1023" spans="1:43" x14ac:dyDescent="0.2">
      <c r="B1023" s="249"/>
      <c r="C1023" s="249"/>
      <c r="D1023" s="249"/>
      <c r="E1023" s="249"/>
      <c r="F1023" s="249"/>
      <c r="G1023" s="249"/>
      <c r="H1023" s="205" t="s">
        <v>18</v>
      </c>
      <c r="I1023" s="248">
        <f ca="1">IFERROR(INDEX('Ведомость расчета мин. платы'!$J$10:$AE$214,MATCH(CONCATENATE(РАСЧЕТ!B1013,"/",РАСЧЕТ!D1013,"/",РАСЧЕТ!E1013,"/",F1013,"/",H1023),'Ведомость расчета мин. платы'!$AE$10:$AE$214,0),2),"")</f>
        <v>554.4</v>
      </c>
      <c r="J1023" s="248">
        <f ca="1">IFERROR(INDEX('Ведомость расчета мин. платы'!$J$10:$AE$214,MATCH(CONCATENATE(РАСЧЕТ!B1013,"/",РАСЧЕТ!D1013,"/",РАСЧЕТ!E1013,"/",F1013,"/",H1023),'Ведомость расчета мин. платы'!$AE$10:$AE$214,0),3),"")</f>
        <v>238.23</v>
      </c>
      <c r="K1023" s="248">
        <f ca="1">IFERROR(INDEX('Ведомость расчета мин. платы'!$J$10:$AE$214,MATCH(CONCATENATE(РАСЧЕТ!B1013,"/",РАСЧЕТ!D1013,"/",РАСЧЕТ!E1013,"/",F1013,"/",H1023),'Ведомость расчета мин. платы'!$AE$10:$AE$214,0),4),"")</f>
        <v>2.8</v>
      </c>
      <c r="L1023" s="248">
        <f t="shared" ca="1" si="443"/>
        <v>795.43</v>
      </c>
      <c r="M1023" s="248">
        <f ca="1">IFERROR(INDEX('Ведомость расчета мин. платы'!$J$10:$AE$214,MATCH(CONCATENATE(РАСЧЕТ!B1013,"/",РАСЧЕТ!D1013,"/",РАСЧЕТ!E1013,"/",F1013,"/",H1023),'Ведомость расчета мин. платы'!$AE$10:$AE$214,0),6),"")</f>
        <v>497.12</v>
      </c>
      <c r="N1023" s="214">
        <f t="shared" ca="1" si="444"/>
        <v>1292.55</v>
      </c>
      <c r="O1023" s="229">
        <f t="shared" si="447"/>
        <v>1</v>
      </c>
      <c r="P1023" s="230">
        <f t="shared" si="442"/>
        <v>0</v>
      </c>
      <c r="AP1023" s="242"/>
      <c r="AQ1023" s="253"/>
    </row>
    <row r="1024" spans="1:43" x14ac:dyDescent="0.2">
      <c r="B1024" s="249"/>
      <c r="C1024" s="249"/>
      <c r="D1024" s="249"/>
      <c r="E1024" s="249"/>
      <c r="F1024" s="249"/>
      <c r="G1024" s="249"/>
      <c r="H1024" s="250" t="s">
        <v>475</v>
      </c>
      <c r="I1024" s="251">
        <f ca="1">IFERROR(ROUND(I1023*I1012,2),"")</f>
        <v>12656.95</v>
      </c>
      <c r="J1024" s="251">
        <f t="shared" ref="J1024" ca="1" si="462">IFERROR(ROUND(J1023*J1012,2),"")</f>
        <v>4147.58</v>
      </c>
      <c r="K1024" s="251">
        <f t="shared" ref="K1024" ca="1" si="463">IFERROR(ROUND(K1023*K1012,2),"")</f>
        <v>24.78</v>
      </c>
      <c r="L1024" s="251">
        <f t="shared" ca="1" si="443"/>
        <v>16829.309999999998</v>
      </c>
      <c r="M1024" s="251">
        <f t="shared" ref="M1024" ca="1" si="464">IFERROR(ROUND(M1023*M1012,2),"")</f>
        <v>283.36</v>
      </c>
      <c r="N1024" s="252">
        <f t="shared" ca="1" si="444"/>
        <v>17112.669999999998</v>
      </c>
      <c r="O1024" s="229" t="str">
        <f t="shared" si="447"/>
        <v/>
      </c>
      <c r="P1024" s="230">
        <f t="shared" si="442"/>
        <v>0</v>
      </c>
      <c r="AP1024" s="242">
        <f ca="1">SUMIFS('Ведомость расчета мин. платы'!$S$10:$S$209,'Ведомость расчета мин. платы'!$AE$10:$AE$209,CONCATENATE(B1013,"/",D1013,"/",E1013,"/",F1013,"/",H1023))</f>
        <v>17112.669999999998</v>
      </c>
      <c r="AQ1024" s="253">
        <f t="shared" ref="AQ1024" ca="1" si="465">AP1024-N1024</f>
        <v>0</v>
      </c>
    </row>
    <row r="1025" spans="2:43" x14ac:dyDescent="0.2">
      <c r="B1025" s="249"/>
      <c r="C1025" s="249"/>
      <c r="D1025" s="249"/>
      <c r="E1025" s="249"/>
      <c r="F1025" s="249"/>
      <c r="G1025" s="249"/>
      <c r="H1025" s="254" t="s">
        <v>476</v>
      </c>
      <c r="I1025" s="251">
        <f ca="1">SUMIF($O1013:$O1026,1,I1013:I1024)</f>
        <v>579.48</v>
      </c>
      <c r="J1025" s="251">
        <f ca="1">SUMIF($O1013:$O1026,1,J1013:J1024)</f>
        <v>298.02</v>
      </c>
      <c r="K1025" s="251">
        <f ca="1">SUMIF($O1013:$O1026,1,K1013:K1024)</f>
        <v>16.560000000000002</v>
      </c>
      <c r="L1025" s="251">
        <f t="shared" ca="1" si="443"/>
        <v>894.06</v>
      </c>
      <c r="M1025" s="251">
        <f ca="1">SUMIF($O1013:$O1026,1,M1013:M1024)</f>
        <v>590.76</v>
      </c>
      <c r="N1025" s="252">
        <f t="shared" ca="1" si="444"/>
        <v>1484.82</v>
      </c>
      <c r="AP1025" s="242"/>
      <c r="AQ1025" s="253"/>
    </row>
    <row r="1026" spans="2:43" x14ac:dyDescent="0.2">
      <c r="B1026" s="249"/>
      <c r="C1026" s="249"/>
      <c r="D1026" s="249"/>
      <c r="E1026" s="249"/>
      <c r="F1026" s="249"/>
      <c r="G1026" s="249"/>
      <c r="H1026" s="254" t="s">
        <v>491</v>
      </c>
      <c r="I1026" s="251">
        <f ca="1">SUMIF(H1013:H1024,"стоимость",I1013:I1024)</f>
        <v>15670.310000000001</v>
      </c>
      <c r="J1026" s="251">
        <f ca="1">SUMIF(H1013:H1024,"стоимость",J1013:J1024)</f>
        <v>9154.98</v>
      </c>
      <c r="K1026" s="251">
        <f ca="1">SUMIF(H1013:H1024,"стоимость",K1013:K1024)</f>
        <v>466.59000000000003</v>
      </c>
      <c r="L1026" s="251">
        <f ca="1">IFERROR(SUM(I1026:K1026),"")</f>
        <v>25291.88</v>
      </c>
      <c r="M1026" s="251">
        <f ca="1">SUMIF(H1013:H1024,"стоимость",M1013:M1024)</f>
        <v>784.64000000000033</v>
      </c>
      <c r="N1026" s="252">
        <f ca="1">IFERROR(SUM(L1026:M1026),"")</f>
        <v>26076.52</v>
      </c>
      <c r="AP1026" s="242">
        <f ca="1">SUMIFS('Ведомость расчета мин. платы'!$S$10:$S$209,'Ведомость расчета мин. платы'!$J$10:$J$209,"Итого",'Ведомость расчета мин. платы'!$AC$10:$AC$209,CONCATENATE(B1013,"/",D1013,"/",E1013,"/",F1013))</f>
        <v>26076.519999999997</v>
      </c>
      <c r="AQ1026" s="253">
        <f ca="1">AP1026-N1026</f>
        <v>0</v>
      </c>
    </row>
    <row r="1027" spans="2:43" x14ac:dyDescent="0.2">
      <c r="B1027" s="255"/>
      <c r="C1027" s="255"/>
      <c r="D1027" s="255"/>
      <c r="E1027" s="255"/>
      <c r="F1027" s="255"/>
      <c r="G1027" s="256"/>
      <c r="H1027" s="257"/>
      <c r="I1027" s="258"/>
      <c r="J1027" s="258"/>
      <c r="K1027" s="258"/>
      <c r="L1027" s="258"/>
      <c r="M1027" s="258"/>
      <c r="N1027" s="258"/>
      <c r="P1027" s="230">
        <f t="shared" ref="P1027:P1045" si="466">IF(A1027&gt;0,1,0)</f>
        <v>0</v>
      </c>
    </row>
    <row r="1028" spans="2:43" x14ac:dyDescent="0.2">
      <c r="B1028" s="282" t="s">
        <v>477</v>
      </c>
      <c r="C1028" s="282"/>
      <c r="D1028" s="282"/>
      <c r="E1028" s="282"/>
      <c r="F1028" s="259"/>
      <c r="G1028" s="225"/>
      <c r="H1028" s="201"/>
      <c r="I1028" s="226"/>
      <c r="J1028" s="258"/>
      <c r="K1028" s="258"/>
      <c r="L1028" s="258"/>
      <c r="M1028" s="258"/>
      <c r="N1028" s="258"/>
      <c r="P1028" s="230">
        <f t="shared" si="466"/>
        <v>0</v>
      </c>
    </row>
    <row r="1029" spans="2:43" x14ac:dyDescent="0.2">
      <c r="B1029" s="283" t="s">
        <v>525</v>
      </c>
      <c r="C1029" s="283"/>
      <c r="D1029" s="283"/>
      <c r="E1029" s="283"/>
      <c r="F1029" s="283"/>
      <c r="G1029" s="283"/>
      <c r="H1029" s="283"/>
      <c r="I1029" s="283"/>
      <c r="J1029" s="261"/>
      <c r="K1029" s="261"/>
      <c r="L1029" s="261"/>
      <c r="M1029" s="261"/>
      <c r="N1029" s="261"/>
      <c r="P1029" s="230">
        <f t="shared" si="466"/>
        <v>0</v>
      </c>
    </row>
    <row r="1030" spans="2:43" x14ac:dyDescent="0.2">
      <c r="B1030" s="284" t="s">
        <v>478</v>
      </c>
      <c r="C1030" s="284"/>
      <c r="D1030" s="284"/>
      <c r="E1030" s="284"/>
      <c r="F1030" s="284"/>
      <c r="G1030" s="284"/>
      <c r="H1030" s="284"/>
      <c r="I1030" s="284"/>
      <c r="J1030" s="258"/>
      <c r="K1030" s="258"/>
      <c r="L1030" s="258"/>
      <c r="M1030" s="258"/>
      <c r="N1030" s="258"/>
      <c r="P1030" s="230">
        <f t="shared" si="466"/>
        <v>0</v>
      </c>
    </row>
    <row r="1031" spans="2:43" x14ac:dyDescent="0.2">
      <c r="B1031" s="284" t="s">
        <v>479</v>
      </c>
      <c r="C1031" s="284"/>
      <c r="D1031" s="284"/>
      <c r="E1031" s="284"/>
      <c r="F1031" s="284"/>
      <c r="G1031" s="284"/>
      <c r="H1031" s="284"/>
      <c r="I1031" s="284"/>
      <c r="J1031" s="258"/>
      <c r="K1031" s="258"/>
      <c r="L1031" s="258"/>
      <c r="M1031" s="258"/>
      <c r="N1031" s="258"/>
      <c r="P1031" s="230">
        <f t="shared" si="466"/>
        <v>0</v>
      </c>
    </row>
    <row r="1032" spans="2:43" x14ac:dyDescent="0.2">
      <c r="B1032" s="284" t="s">
        <v>480</v>
      </c>
      <c r="C1032" s="284"/>
      <c r="D1032" s="284"/>
      <c r="E1032" s="284"/>
      <c r="F1032" s="284"/>
      <c r="G1032" s="284"/>
      <c r="H1032" s="284"/>
      <c r="I1032" s="284"/>
      <c r="J1032" s="258"/>
      <c r="K1032" s="258"/>
      <c r="L1032" s="258"/>
      <c r="M1032" s="258"/>
      <c r="N1032" s="258"/>
      <c r="P1032" s="230">
        <f t="shared" si="466"/>
        <v>0</v>
      </c>
    </row>
    <row r="1033" spans="2:43" x14ac:dyDescent="0.2">
      <c r="B1033" s="284" t="s">
        <v>481</v>
      </c>
      <c r="C1033" s="284"/>
      <c r="D1033" s="284"/>
      <c r="E1033" s="284"/>
      <c r="F1033" s="284"/>
      <c r="G1033" s="284"/>
      <c r="H1033" s="284"/>
      <c r="I1033" s="284"/>
      <c r="J1033" s="226"/>
      <c r="K1033" s="226"/>
      <c r="L1033" s="226"/>
      <c r="M1033" s="226"/>
      <c r="N1033" s="226"/>
      <c r="P1033" s="230">
        <f t="shared" si="466"/>
        <v>0</v>
      </c>
    </row>
    <row r="1034" spans="2:43" x14ac:dyDescent="0.2">
      <c r="B1034" s="284" t="s">
        <v>482</v>
      </c>
      <c r="C1034" s="284"/>
      <c r="D1034" s="284"/>
      <c r="E1034" s="284"/>
      <c r="F1034" s="284"/>
      <c r="G1034" s="284"/>
      <c r="H1034" s="284"/>
      <c r="I1034" s="284"/>
      <c r="J1034" s="226"/>
      <c r="K1034" s="226"/>
      <c r="L1034" s="226"/>
      <c r="M1034" s="226"/>
      <c r="N1034" s="226"/>
      <c r="P1034" s="230">
        <f t="shared" si="466"/>
        <v>0</v>
      </c>
    </row>
    <row r="1035" spans="2:43" x14ac:dyDescent="0.2">
      <c r="B1035" s="284" t="s">
        <v>483</v>
      </c>
      <c r="C1035" s="284"/>
      <c r="D1035" s="284"/>
      <c r="E1035" s="284"/>
      <c r="F1035" s="284"/>
      <c r="G1035" s="284"/>
      <c r="H1035" s="284"/>
      <c r="I1035" s="284"/>
      <c r="J1035" s="226"/>
      <c r="K1035" s="226"/>
      <c r="L1035" s="226"/>
      <c r="M1035" s="226"/>
      <c r="N1035" s="226"/>
      <c r="P1035" s="230">
        <f t="shared" si="466"/>
        <v>0</v>
      </c>
    </row>
    <row r="1036" spans="2:43" x14ac:dyDescent="0.2">
      <c r="B1036" s="284" t="s">
        <v>484</v>
      </c>
      <c r="C1036" s="284"/>
      <c r="D1036" s="284"/>
      <c r="E1036" s="284"/>
      <c r="F1036" s="284"/>
      <c r="G1036" s="284"/>
      <c r="H1036" s="284"/>
      <c r="I1036" s="284"/>
      <c r="J1036" s="226"/>
      <c r="K1036" s="226"/>
      <c r="L1036" s="226"/>
      <c r="M1036" s="226"/>
      <c r="N1036" s="226"/>
      <c r="P1036" s="230">
        <f t="shared" si="466"/>
        <v>0</v>
      </c>
    </row>
    <row r="1037" spans="2:43" x14ac:dyDescent="0.2">
      <c r="B1037" s="264"/>
      <c r="C1037" s="264"/>
      <c r="D1037" s="264"/>
      <c r="E1037" s="264"/>
      <c r="F1037" s="264"/>
      <c r="G1037" s="264"/>
      <c r="H1037" s="264"/>
      <c r="I1037" s="265"/>
      <c r="J1037" s="226"/>
      <c r="K1037" s="226"/>
      <c r="L1037" s="226"/>
      <c r="M1037" s="226"/>
      <c r="N1037" s="226"/>
      <c r="P1037" s="230">
        <f t="shared" si="466"/>
        <v>0</v>
      </c>
    </row>
    <row r="1038" spans="2:43" x14ac:dyDescent="0.2">
      <c r="B1038" s="225" t="s">
        <v>485</v>
      </c>
      <c r="C1038" s="225"/>
      <c r="D1038" s="225"/>
      <c r="E1038" s="225"/>
      <c r="F1038" s="225"/>
      <c r="G1038" s="225"/>
      <c r="H1038" s="201"/>
      <c r="I1038" s="226"/>
      <c r="J1038" s="226" t="s">
        <v>486</v>
      </c>
      <c r="K1038" s="226"/>
      <c r="L1038" s="226"/>
      <c r="M1038" s="226"/>
      <c r="N1038" s="226"/>
      <c r="P1038" s="230">
        <f t="shared" si="466"/>
        <v>0</v>
      </c>
    </row>
    <row r="1039" spans="2:43" x14ac:dyDescent="0.2">
      <c r="B1039" s="266" t="s">
        <v>524</v>
      </c>
      <c r="C1039" s="266"/>
      <c r="D1039" s="225"/>
      <c r="E1039" s="225"/>
      <c r="F1039" s="225"/>
      <c r="G1039" s="225"/>
      <c r="H1039" s="201"/>
      <c r="I1039" s="226"/>
      <c r="J1039" s="267"/>
      <c r="K1039" s="267"/>
      <c r="L1039" s="267"/>
      <c r="M1039" s="226"/>
      <c r="N1039" s="226"/>
      <c r="P1039" s="230">
        <f t="shared" si="466"/>
        <v>0</v>
      </c>
    </row>
    <row r="1040" spans="2:43" x14ac:dyDescent="0.2">
      <c r="B1040" s="268" t="s">
        <v>487</v>
      </c>
      <c r="C1040" s="225"/>
      <c r="D1040" s="225"/>
      <c r="E1040" s="225"/>
      <c r="F1040" s="225"/>
      <c r="G1040" s="225"/>
      <c r="H1040" s="201"/>
      <c r="I1040" s="226"/>
      <c r="J1040" s="226" t="s">
        <v>487</v>
      </c>
      <c r="K1040" s="226"/>
      <c r="L1040" s="226"/>
      <c r="M1040" s="226"/>
      <c r="N1040" s="226"/>
      <c r="P1040" s="230">
        <f t="shared" si="466"/>
        <v>0</v>
      </c>
    </row>
    <row r="1041" spans="1:16" x14ac:dyDescent="0.2">
      <c r="B1041" s="225"/>
      <c r="C1041" s="225"/>
      <c r="D1041" s="225"/>
      <c r="E1041" s="225"/>
      <c r="F1041" s="225"/>
      <c r="G1041" s="225"/>
      <c r="H1041" s="201"/>
      <c r="I1041" s="226"/>
      <c r="J1041" s="226"/>
      <c r="K1041" s="226"/>
      <c r="L1041" s="226"/>
      <c r="M1041" s="226"/>
      <c r="N1041" s="226"/>
      <c r="P1041" s="230">
        <f t="shared" si="466"/>
        <v>0</v>
      </c>
    </row>
    <row r="1042" spans="1:16" x14ac:dyDescent="0.2">
      <c r="B1042" s="266"/>
      <c r="C1042" s="266"/>
      <c r="D1042" s="225"/>
      <c r="E1042" s="225"/>
      <c r="F1042" s="225"/>
      <c r="G1042" s="225"/>
      <c r="H1042" s="201"/>
      <c r="I1042" s="226"/>
      <c r="J1042" s="267"/>
      <c r="K1042" s="267"/>
      <c r="L1042" s="267"/>
      <c r="M1042" s="226"/>
      <c r="N1042" s="226"/>
      <c r="P1042" s="230">
        <f t="shared" si="466"/>
        <v>0</v>
      </c>
    </row>
    <row r="1043" spans="1:16" x14ac:dyDescent="0.2">
      <c r="B1043" s="269" t="s">
        <v>488</v>
      </c>
      <c r="C1043" s="225"/>
      <c r="D1043" s="225"/>
      <c r="E1043" s="225"/>
      <c r="F1043" s="225"/>
      <c r="G1043" s="225"/>
      <c r="H1043" s="201"/>
      <c r="I1043" s="226"/>
      <c r="J1043" s="285" t="s">
        <v>488</v>
      </c>
      <c r="K1043" s="285"/>
      <c r="L1043" s="285"/>
      <c r="M1043" s="226"/>
      <c r="N1043" s="226"/>
      <c r="P1043" s="230">
        <f t="shared" si="466"/>
        <v>0</v>
      </c>
    </row>
    <row r="1044" spans="1:16" x14ac:dyDescent="0.2">
      <c r="B1044" s="225"/>
      <c r="C1044" s="225"/>
      <c r="D1044" s="225"/>
      <c r="E1044" s="225"/>
      <c r="F1044" s="225"/>
      <c r="G1044" s="225"/>
      <c r="H1044" s="201"/>
      <c r="I1044" s="226"/>
      <c r="J1044" s="226"/>
      <c r="K1044" s="226"/>
      <c r="L1044" s="226"/>
      <c r="M1044" s="226"/>
      <c r="N1044" s="226"/>
      <c r="P1044" s="230">
        <f t="shared" si="466"/>
        <v>0</v>
      </c>
    </row>
    <row r="1045" spans="1:16" x14ac:dyDescent="0.2">
      <c r="B1045" s="264" t="s">
        <v>489</v>
      </c>
      <c r="C1045" s="225"/>
      <c r="D1045" s="225"/>
      <c r="E1045" s="225"/>
      <c r="F1045" s="225"/>
      <c r="G1045" s="225"/>
      <c r="H1045" s="201"/>
      <c r="I1045" s="226"/>
      <c r="J1045" s="226" t="s">
        <v>489</v>
      </c>
      <c r="K1045" s="226"/>
      <c r="L1045" s="226"/>
      <c r="M1045" s="226"/>
      <c r="N1045" s="226"/>
      <c r="P1045" s="230">
        <f t="shared" si="466"/>
        <v>0</v>
      </c>
    </row>
    <row r="1046" spans="1:16" x14ac:dyDescent="0.2">
      <c r="A1046" s="272"/>
      <c r="B1046" s="225"/>
      <c r="C1046" s="225"/>
      <c r="D1046" s="225"/>
      <c r="E1046" s="225"/>
      <c r="F1046" s="225"/>
      <c r="G1046" s="225"/>
      <c r="H1046" s="201"/>
      <c r="I1046" s="226"/>
      <c r="J1046" s="226"/>
      <c r="K1046" s="226"/>
      <c r="M1046" s="226"/>
      <c r="N1046" s="228"/>
    </row>
    <row r="1047" spans="1:16" x14ac:dyDescent="0.2">
      <c r="A1047" s="260"/>
      <c r="B1047" s="225"/>
      <c r="C1047" s="225"/>
      <c r="D1047" s="225"/>
      <c r="E1047" s="225"/>
      <c r="F1047" s="225"/>
      <c r="G1047" s="225"/>
      <c r="H1047" s="201"/>
      <c r="I1047" s="226"/>
      <c r="J1047" s="226"/>
      <c r="K1047" s="226"/>
      <c r="M1047" s="226"/>
      <c r="N1047" s="228" t="s">
        <v>455</v>
      </c>
      <c r="P1047" s="230">
        <f t="shared" ref="P1047:P1064" si="467">IF(A1047&gt;0,1,0)</f>
        <v>0</v>
      </c>
    </row>
    <row r="1048" spans="1:16" x14ac:dyDescent="0.2">
      <c r="B1048" s="225"/>
      <c r="C1048" s="225"/>
      <c r="D1048" s="225"/>
      <c r="E1048" s="225"/>
      <c r="F1048" s="225"/>
      <c r="G1048" s="225"/>
      <c r="H1048" s="201"/>
      <c r="I1048" s="226"/>
      <c r="J1048" s="226"/>
      <c r="K1048" s="226"/>
      <c r="M1048" s="226"/>
      <c r="N1048" s="228" t="s">
        <v>456</v>
      </c>
      <c r="P1048" s="230">
        <f t="shared" si="467"/>
        <v>0</v>
      </c>
    </row>
    <row r="1049" spans="1:16" x14ac:dyDescent="0.2">
      <c r="B1049" s="225"/>
      <c r="C1049" s="225"/>
      <c r="D1049" s="225"/>
      <c r="E1049" s="225"/>
      <c r="F1049" s="225"/>
      <c r="G1049" s="225"/>
      <c r="H1049" s="201"/>
      <c r="I1049" s="226"/>
      <c r="J1049" s="226"/>
      <c r="K1049" s="226"/>
      <c r="M1049" s="226"/>
      <c r="N1049" s="228" t="s">
        <v>457</v>
      </c>
      <c r="P1049" s="230">
        <f t="shared" si="467"/>
        <v>0</v>
      </c>
    </row>
    <row r="1050" spans="1:16" x14ac:dyDescent="0.2">
      <c r="B1050" s="225"/>
      <c r="C1050" s="225"/>
      <c r="D1050" s="225"/>
      <c r="E1050" s="225"/>
      <c r="F1050" s="225"/>
      <c r="G1050" s="225"/>
      <c r="H1050" s="201"/>
      <c r="I1050" s="226"/>
      <c r="J1050" s="226"/>
      <c r="K1050" s="226"/>
      <c r="L1050" s="226"/>
      <c r="M1050" s="226"/>
      <c r="N1050" s="226"/>
      <c r="P1050" s="230">
        <f t="shared" si="467"/>
        <v>0</v>
      </c>
    </row>
    <row r="1051" spans="1:16" x14ac:dyDescent="0.2">
      <c r="B1051" s="225"/>
      <c r="C1051" s="286" t="s">
        <v>458</v>
      </c>
      <c r="D1051" s="286"/>
      <c r="E1051" s="286"/>
      <c r="F1051" s="286"/>
      <c r="G1051" s="286"/>
      <c r="H1051" s="286"/>
      <c r="I1051" s="286"/>
      <c r="J1051" s="286"/>
      <c r="K1051" s="286"/>
      <c r="L1051" s="286"/>
      <c r="M1051" s="226"/>
      <c r="N1051" s="226"/>
      <c r="P1051" s="230">
        <f t="shared" si="467"/>
        <v>0</v>
      </c>
    </row>
    <row r="1052" spans="1:16" x14ac:dyDescent="0.2">
      <c r="B1052" s="225"/>
      <c r="C1052" s="286" t="s">
        <v>459</v>
      </c>
      <c r="D1052" s="286"/>
      <c r="E1052" s="286"/>
      <c r="F1052" s="286"/>
      <c r="G1052" s="286"/>
      <c r="H1052" s="286"/>
      <c r="I1052" s="286"/>
      <c r="J1052" s="286"/>
      <c r="K1052" s="286"/>
      <c r="L1052" s="286"/>
      <c r="M1052" s="226"/>
      <c r="N1052" s="226"/>
      <c r="P1052" s="230">
        <f t="shared" si="467"/>
        <v>0</v>
      </c>
    </row>
    <row r="1053" spans="1:16" x14ac:dyDescent="0.2">
      <c r="B1053" s="225" t="s">
        <v>460</v>
      </c>
      <c r="C1053" s="234"/>
      <c r="D1053" s="234"/>
      <c r="E1053" s="234"/>
      <c r="F1053" s="234"/>
      <c r="G1053" s="234"/>
      <c r="H1053" s="234"/>
      <c r="I1053" s="235"/>
      <c r="J1053" s="235"/>
      <c r="K1053" s="235"/>
      <c r="L1053" s="287" t="s">
        <v>461</v>
      </c>
      <c r="M1053" s="287"/>
      <c r="N1053" s="287"/>
      <c r="P1053" s="230">
        <f t="shared" si="467"/>
        <v>0</v>
      </c>
    </row>
    <row r="1054" spans="1:16" x14ac:dyDescent="0.2">
      <c r="B1054" s="225"/>
      <c r="C1054" s="234"/>
      <c r="D1054" s="234"/>
      <c r="E1054" s="234"/>
      <c r="F1054" s="234"/>
      <c r="G1054" s="234"/>
      <c r="H1054" s="234"/>
      <c r="I1054" s="235"/>
      <c r="J1054" s="235"/>
      <c r="K1054" s="235"/>
      <c r="L1054" s="235"/>
      <c r="M1054" s="235"/>
      <c r="N1054" s="235"/>
      <c r="P1054" s="230">
        <f t="shared" si="467"/>
        <v>0</v>
      </c>
    </row>
    <row r="1055" spans="1:16" x14ac:dyDescent="0.2">
      <c r="B1055" s="225" t="s">
        <v>2038</v>
      </c>
      <c r="C1055" s="234"/>
      <c r="D1055" s="234"/>
      <c r="E1055" s="234"/>
      <c r="F1055" s="234"/>
      <c r="G1055" s="234"/>
      <c r="H1055" s="234"/>
      <c r="I1055" s="235"/>
      <c r="J1055" s="235"/>
      <c r="K1055" s="235"/>
      <c r="L1055" s="235"/>
      <c r="M1055" s="235"/>
      <c r="N1055" s="235"/>
      <c r="P1055" s="230">
        <f t="shared" si="467"/>
        <v>0</v>
      </c>
    </row>
    <row r="1056" spans="1:16" x14ac:dyDescent="0.2">
      <c r="B1056" s="225" t="s">
        <v>462</v>
      </c>
      <c r="C1056" s="234"/>
      <c r="D1056" s="234"/>
      <c r="E1056" s="234"/>
      <c r="F1056" s="234"/>
      <c r="G1056" s="234"/>
      <c r="H1056" s="234"/>
      <c r="I1056" s="235"/>
      <c r="J1056" s="235"/>
      <c r="K1056" s="235"/>
      <c r="L1056" s="235"/>
      <c r="M1056" s="235"/>
      <c r="N1056" s="235"/>
      <c r="P1056" s="230">
        <f t="shared" si="467"/>
        <v>0</v>
      </c>
    </row>
    <row r="1057" spans="1:43" x14ac:dyDescent="0.2">
      <c r="B1057" s="225" t="s">
        <v>2037</v>
      </c>
      <c r="C1057" s="234"/>
      <c r="D1057" s="234"/>
      <c r="E1057" s="234"/>
      <c r="F1057" s="234"/>
      <c r="G1057" s="234"/>
      <c r="H1057" s="234"/>
      <c r="I1057" s="235"/>
      <c r="J1057" s="235"/>
      <c r="K1057" s="235"/>
      <c r="L1057" s="235"/>
      <c r="M1057" s="235"/>
      <c r="N1057" s="235"/>
      <c r="P1057" s="230">
        <f t="shared" si="467"/>
        <v>0</v>
      </c>
    </row>
    <row r="1058" spans="1:43" x14ac:dyDescent="0.2">
      <c r="B1058" s="225" t="s">
        <v>2052</v>
      </c>
      <c r="C1058" s="234"/>
      <c r="D1058" s="234"/>
      <c r="E1058" s="234"/>
      <c r="F1058" s="234"/>
      <c r="G1058" s="234"/>
      <c r="H1058" s="234"/>
      <c r="I1058" s="235"/>
      <c r="J1058" s="235"/>
      <c r="K1058" s="235"/>
      <c r="L1058" s="235"/>
      <c r="M1058" s="235"/>
      <c r="N1058" s="235"/>
      <c r="P1058" s="230">
        <f t="shared" si="467"/>
        <v>0</v>
      </c>
    </row>
    <row r="1059" spans="1:43" x14ac:dyDescent="0.2">
      <c r="B1059" s="225"/>
      <c r="C1059" s="225"/>
      <c r="D1059" s="225"/>
      <c r="E1059" s="225"/>
      <c r="F1059" s="225"/>
      <c r="G1059" s="225"/>
      <c r="H1059" s="201"/>
      <c r="I1059" s="226"/>
      <c r="J1059" s="226"/>
      <c r="K1059" s="226"/>
      <c r="L1059" s="226"/>
      <c r="M1059" s="226"/>
      <c r="N1059" s="226"/>
      <c r="P1059" s="230">
        <f t="shared" si="467"/>
        <v>0</v>
      </c>
    </row>
    <row r="1060" spans="1:43" x14ac:dyDescent="0.2">
      <c r="B1060" s="288" t="s">
        <v>106</v>
      </c>
      <c r="C1060" s="290" t="s">
        <v>463</v>
      </c>
      <c r="D1060" s="288" t="s">
        <v>464</v>
      </c>
      <c r="E1060" s="288" t="s">
        <v>465</v>
      </c>
      <c r="F1060" s="288" t="s">
        <v>490</v>
      </c>
      <c r="G1060" s="288" t="s">
        <v>466</v>
      </c>
      <c r="H1060" s="292" t="s">
        <v>8</v>
      </c>
      <c r="I1060" s="294" t="s">
        <v>467</v>
      </c>
      <c r="J1060" s="295"/>
      <c r="K1060" s="295"/>
      <c r="L1060" s="296"/>
      <c r="M1060" s="297" t="s">
        <v>468</v>
      </c>
      <c r="N1060" s="299" t="s">
        <v>469</v>
      </c>
      <c r="P1060" s="230">
        <f t="shared" si="467"/>
        <v>0</v>
      </c>
    </row>
    <row r="1061" spans="1:43" x14ac:dyDescent="0.2">
      <c r="B1061" s="289"/>
      <c r="C1061" s="291"/>
      <c r="D1061" s="289"/>
      <c r="E1061" s="289"/>
      <c r="F1061" s="289"/>
      <c r="G1061" s="289"/>
      <c r="H1061" s="293"/>
      <c r="I1061" s="236" t="s">
        <v>470</v>
      </c>
      <c r="J1061" s="236" t="s">
        <v>471</v>
      </c>
      <c r="K1061" s="236" t="s">
        <v>472</v>
      </c>
      <c r="L1061" s="236" t="s">
        <v>473</v>
      </c>
      <c r="M1061" s="298"/>
      <c r="N1061" s="300"/>
      <c r="P1061" s="230">
        <f t="shared" si="467"/>
        <v>0</v>
      </c>
    </row>
    <row r="1062" spans="1:43" x14ac:dyDescent="0.2">
      <c r="A1062" s="224" t="str">
        <f>CONCATENATE("Лот"," ",A1063)</f>
        <v>Лот 20</v>
      </c>
      <c r="B1062" s="273" t="s">
        <v>2087</v>
      </c>
      <c r="C1062" s="274"/>
      <c r="D1062" s="274"/>
      <c r="E1062" s="274"/>
      <c r="F1062" s="274"/>
      <c r="G1062" s="275"/>
      <c r="H1062" s="238" t="s">
        <v>17</v>
      </c>
      <c r="I1062" s="270">
        <f ca="1">ROUND(VLOOKUP($H1062,$AJ$4:$AN$13,2,0)*$Q1064*1.51,2)</f>
        <v>114.43</v>
      </c>
      <c r="J1062" s="270">
        <f ca="1">ROUND(VLOOKUP($H1062,$AJ$4:$AN$13,3,0)*$Q1064*1.51,2)</f>
        <v>81.540000000000006</v>
      </c>
      <c r="K1062" s="270">
        <f ca="1">ROUND(VLOOKUP($H1062,$AJ$4:$AN$13,4,0)*$Q1064*1.51,2)</f>
        <v>41.31</v>
      </c>
      <c r="L1062" s="270"/>
      <c r="M1062" s="270">
        <f ca="1">ROUND(VLOOKUP($H1062,$AJ$4:$AN$13,5,0)*$Q1064*1.51,2)</f>
        <v>6.52</v>
      </c>
      <c r="N1062" s="270"/>
      <c r="P1062" s="230">
        <f t="shared" si="467"/>
        <v>1</v>
      </c>
    </row>
    <row r="1063" spans="1:43" x14ac:dyDescent="0.2">
      <c r="A1063" s="224">
        <f>A1008+1</f>
        <v>20</v>
      </c>
      <c r="B1063" s="276"/>
      <c r="C1063" s="277"/>
      <c r="D1063" s="277"/>
      <c r="E1063" s="277"/>
      <c r="F1063" s="277"/>
      <c r="G1063" s="278"/>
      <c r="H1063" s="238" t="s">
        <v>25</v>
      </c>
      <c r="I1063" s="270">
        <f ca="1">ROUND(VLOOKUP($H1063,$AJ$4:$AN$13,2,0)*$Q1064*1.51,2)</f>
        <v>855.9</v>
      </c>
      <c r="J1063" s="270">
        <f ca="1">ROUND(VLOOKUP($H1063,$AJ$4:$AN$13,3,0)*$Q1064*1.51,2)</f>
        <v>611.54999999999995</v>
      </c>
      <c r="K1063" s="270">
        <f ca="1">ROUND(VLOOKUP($H1063,$AJ$4:$AN$13,4,0)*$Q1064*1.51,2)</f>
        <v>307.68</v>
      </c>
      <c r="L1063" s="270"/>
      <c r="M1063" s="270">
        <f ca="1">ROUND(VLOOKUP($H1063,$AJ$4:$AN$13,5,0)*$Q1064*1.51,2)</f>
        <v>26.64</v>
      </c>
      <c r="N1063" s="270"/>
      <c r="P1063" s="230">
        <f t="shared" si="467"/>
        <v>1</v>
      </c>
      <c r="Q1063" s="240" t="s">
        <v>2045</v>
      </c>
      <c r="R1063" s="240" t="s">
        <v>2046</v>
      </c>
    </row>
    <row r="1064" spans="1:43" x14ac:dyDescent="0.2">
      <c r="B1064" s="276"/>
      <c r="C1064" s="277"/>
      <c r="D1064" s="277"/>
      <c r="E1064" s="277"/>
      <c r="F1064" s="277"/>
      <c r="G1064" s="278"/>
      <c r="H1064" s="238" t="s">
        <v>19</v>
      </c>
      <c r="I1064" s="270">
        <f ca="1">ROUND(VLOOKUP($H1064,$AJ$4:$AN$13,2,0)*$Q1064*1.51,2)</f>
        <v>67.95</v>
      </c>
      <c r="J1064" s="270">
        <f ca="1">ROUND(VLOOKUP($H1064,$AJ$4:$AN$13,3,0)*$Q1064*1.51,2)</f>
        <v>49.47</v>
      </c>
      <c r="K1064" s="270">
        <f ca="1">ROUND(VLOOKUP($H1064,$AJ$4:$AN$13,4,0)*$Q1064*1.51,2)</f>
        <v>25.28</v>
      </c>
      <c r="L1064" s="270"/>
      <c r="M1064" s="270">
        <f ca="1">ROUND(VLOOKUP($H1064,$AJ$4:$AN$13,5,0)*$Q1064*1.51,2)</f>
        <v>1.36</v>
      </c>
      <c r="N1064" s="270"/>
      <c r="P1064" s="230">
        <f t="shared" si="467"/>
        <v>0</v>
      </c>
      <c r="Q1064" s="123">
        <f ca="1">IFERROR(IF(R1064="","",IF(OR(R1064&lt;100,R1064=100),0.9,IF(OR(AND(R1064&gt;100,R1064&lt;150),R1064=150),1,IF(R1064&gt;150,1.05,"")))),"0")</f>
        <v>1</v>
      </c>
      <c r="R1064" s="123">
        <f ca="1">N1080/G1068</f>
        <v>133.17321428571429</v>
      </c>
    </row>
    <row r="1065" spans="1:43" x14ac:dyDescent="0.2">
      <c r="B1065" s="276"/>
      <c r="C1065" s="277"/>
      <c r="D1065" s="277"/>
      <c r="E1065" s="277"/>
      <c r="F1065" s="277"/>
      <c r="G1065" s="278"/>
      <c r="H1065" s="238" t="s">
        <v>268</v>
      </c>
      <c r="I1065" s="270">
        <f ca="1">ROUND(VLOOKUP($H1065,$AJ$4:$AN$13,2,0)*$Q1064*1.51,2)</f>
        <v>855.9</v>
      </c>
      <c r="J1065" s="270">
        <f ca="1">ROUND(VLOOKUP($H1065,$AJ$4:$AN$13,3,0)*$Q1064*1.51,2)</f>
        <v>611.54999999999995</v>
      </c>
      <c r="K1065" s="270">
        <f ca="1">ROUND(VLOOKUP($H1065,$AJ$4:$AN$13,4,0)*$Q1064*1.51,2)</f>
        <v>307.68</v>
      </c>
      <c r="L1065" s="270"/>
      <c r="M1065" s="270">
        <f ca="1">ROUND(VLOOKUP($H1065,$AJ$4:$AN$13,5,0)*$Q1064*1.51,2)</f>
        <v>26.64</v>
      </c>
      <c r="N1065" s="270"/>
    </row>
    <row r="1066" spans="1:43" x14ac:dyDescent="0.2">
      <c r="B1066" s="276"/>
      <c r="C1066" s="277"/>
      <c r="D1066" s="277"/>
      <c r="E1066" s="277"/>
      <c r="F1066" s="277"/>
      <c r="G1066" s="278"/>
      <c r="H1066" s="238" t="s">
        <v>40</v>
      </c>
      <c r="I1066" s="270">
        <f ca="1">ROUND(VLOOKUP($H1066,$AJ$4:$AN$13,2,0)*$Q1064*1.51,2)</f>
        <v>67.95</v>
      </c>
      <c r="J1066" s="270">
        <f ca="1">ROUND(VLOOKUP($H1066,$AJ$4:$AN$13,3,0)*$Q1064*1.51,2)</f>
        <v>49.47</v>
      </c>
      <c r="K1066" s="270">
        <f ca="1">ROUND(VLOOKUP($H1066,$AJ$4:$AN$13,4,0)*$Q1064*1.51,2)</f>
        <v>25.28</v>
      </c>
      <c r="L1066" s="270"/>
      <c r="M1066" s="270">
        <f ca="1">ROUND(VLOOKUP($H1066,$AJ$4:$AN$13,5,0)*$Q1064*1.51,2)</f>
        <v>1.36</v>
      </c>
      <c r="N1066" s="270"/>
      <c r="P1066" s="230">
        <f t="shared" ref="P1066:P1079" si="468">IF(A1066&gt;0,1,0)</f>
        <v>0</v>
      </c>
    </row>
    <row r="1067" spans="1:43" x14ac:dyDescent="0.2">
      <c r="B1067" s="279"/>
      <c r="C1067" s="280"/>
      <c r="D1067" s="280"/>
      <c r="E1067" s="280"/>
      <c r="F1067" s="280"/>
      <c r="G1067" s="281"/>
      <c r="H1067" s="238" t="s">
        <v>18</v>
      </c>
      <c r="I1067" s="270">
        <f ca="1">ROUND(VLOOKUP($H1067,$AJ$4:$AN$13,2,0)*$Q1064*1.51,2)</f>
        <v>21.74</v>
      </c>
      <c r="J1067" s="270">
        <f ca="1">ROUND(VLOOKUP($H1067,$AJ$4:$AN$13,3,0)*$Q1064*1.51,2)</f>
        <v>16.579999999999998</v>
      </c>
      <c r="K1067" s="270">
        <f ca="1">ROUND(VLOOKUP($H1067,$AJ$4:$AN$13,4,0)*$Q1064*1.51,2)</f>
        <v>8.43</v>
      </c>
      <c r="L1067" s="270"/>
      <c r="M1067" s="270">
        <f ca="1">ROUND(VLOOKUP($H1067,$AJ$4:$AN$13,5,0)*$Q1064*1.51*1,2)</f>
        <v>0.54</v>
      </c>
      <c r="N1067" s="270"/>
      <c r="P1067" s="230">
        <f t="shared" si="468"/>
        <v>0</v>
      </c>
      <c r="AP1067" s="241" t="s">
        <v>2053</v>
      </c>
      <c r="AQ1067" s="242"/>
    </row>
    <row r="1068" spans="1:43" x14ac:dyDescent="0.2">
      <c r="A1068" s="224">
        <f>A1013+37</f>
        <v>703</v>
      </c>
      <c r="B1068" s="243" t="str">
        <f ca="1">OFFSET(ЛОТЫ!$L$5,A1068,0,1,1)</f>
        <v>Мамыковское</v>
      </c>
      <c r="C1068" s="244" t="s">
        <v>474</v>
      </c>
      <c r="D1068" s="243">
        <f ca="1">OFFSET(ЛОТЫ!$M$5,A1068,0,1,1)</f>
        <v>8</v>
      </c>
      <c r="E1068" s="243">
        <f ca="1">OFFSET(ЛОТЫ!$N$5,A1068,0,1,1)</f>
        <v>5</v>
      </c>
      <c r="F1068" s="243">
        <f ca="1">OFFSET(ЛОТЫ!$O$5,A1068,0,1,1)</f>
        <v>1</v>
      </c>
      <c r="G1068" s="271">
        <f ca="1">IFERROR(INDEX('Ведомость расчета мин. платы'!$G$10:$AC$214,MATCH(CONCATENATE(B1068,"/",D1068,"/",E1068,"/",F1068),'Ведомость расчета мин. платы'!$AC$10:$AC$214,0),1),"")</f>
        <v>5.6</v>
      </c>
      <c r="H1068" s="246" t="s">
        <v>17</v>
      </c>
      <c r="I1068" s="247" t="str">
        <f ca="1">IFERROR(INDEX('Ведомость расчета мин. платы'!$J$10:$AE$214,MATCH(CONCATENATE(РАСЧЕТ!B1068,"/",РАСЧЕТ!D1068,"/",РАСЧЕТ!E1068,"/",F1068,"/",H1068),'Ведомость расчета мин. платы'!$AE$10:$AE$214,0),2),"")</f>
        <v/>
      </c>
      <c r="J1068" s="247" t="str">
        <f ca="1">IFERROR(INDEX('Ведомость расчета мин. платы'!$J$10:$AE$214,MATCH(CONCATENATE(РАСЧЕТ!B1068,"/",РАСЧЕТ!D1068,"/",РАСЧЕТ!E1068,"/",F1068,"/",H1068),'Ведомость расчета мин. платы'!$AE$10:$AE$214,0),3),"")</f>
        <v/>
      </c>
      <c r="K1068" s="247" t="str">
        <f ca="1">IFERROR(INDEX('Ведомость расчета мин. платы'!$J$10:$AE$214,MATCH(CONCATENATE(РАСЧЕТ!B1068,"/",РАСЧЕТ!D1068,"/",РАСЧЕТ!E1068,"/",F1068,"/",H1068),'Ведомость расчета мин. платы'!$AE$10:$AE$214,0),4),"")</f>
        <v/>
      </c>
      <c r="L1068" s="248">
        <f t="shared" ref="L1068:L1080" ca="1" si="469">IFERROR(SUM(I1068:K1068),"")</f>
        <v>0</v>
      </c>
      <c r="M1068" s="214" t="str">
        <f ca="1">IFERROR(INDEX('Ведомость расчета мин. платы'!$J$10:$AE$214,MATCH(CONCATENATE(РАСЧЕТ!B1068,"/",РАСЧЕТ!D1068,"/",РАСЧЕТ!E1068,"/",F1068,"/",H1068),'Ведомость расчета мин. платы'!$AE$10:$AE$214,0),6),"")</f>
        <v/>
      </c>
      <c r="N1068" s="214">
        <f t="shared" ref="N1068:N1080" ca="1" si="470">IFERROR(SUM(L1068:M1068),"")</f>
        <v>0</v>
      </c>
      <c r="O1068" s="229">
        <f>IF(H1068="стоимость","",1)</f>
        <v>1</v>
      </c>
      <c r="P1068" s="230">
        <f t="shared" si="468"/>
        <v>1</v>
      </c>
      <c r="AP1068" s="242"/>
      <c r="AQ1068" s="242"/>
    </row>
    <row r="1069" spans="1:43" x14ac:dyDescent="0.2">
      <c r="B1069" s="249"/>
      <c r="C1069" s="249"/>
      <c r="D1069" s="249"/>
      <c r="E1069" s="249"/>
      <c r="F1069" s="249"/>
      <c r="G1069" s="249"/>
      <c r="H1069" s="250" t="s">
        <v>475</v>
      </c>
      <c r="I1069" s="251" t="str">
        <f ca="1">IFERROR(ROUND(I1068*I1062,2),"")</f>
        <v/>
      </c>
      <c r="J1069" s="251" t="str">
        <f t="shared" ref="J1069" ca="1" si="471">IFERROR(ROUND(J1068*J1062,2),"")</f>
        <v/>
      </c>
      <c r="K1069" s="251" t="str">
        <f t="shared" ref="K1069" ca="1" si="472">IFERROR(ROUND(K1068*K1062,2),"")</f>
        <v/>
      </c>
      <c r="L1069" s="251">
        <f t="shared" ca="1" si="469"/>
        <v>0</v>
      </c>
      <c r="M1069" s="251" t="str">
        <f t="shared" ref="M1069" ca="1" si="473">IFERROR(ROUND(M1068*M1062,2),"")</f>
        <v/>
      </c>
      <c r="N1069" s="252">
        <f t="shared" ca="1" si="470"/>
        <v>0</v>
      </c>
      <c r="O1069" s="229" t="str">
        <f t="shared" ref="O1069:O1079" si="474">IF(H1069="стоимость","",1)</f>
        <v/>
      </c>
      <c r="P1069" s="230">
        <f t="shared" si="468"/>
        <v>0</v>
      </c>
      <c r="AP1069" s="242">
        <f ca="1">SUMIFS('Ведомость расчета мин. платы'!$S$10:$S$209,'Ведомость расчета мин. платы'!$AE$10:$AE$209,CONCATENATE(B1068,"/",D1068,"/",E1068,"/",F1068,"/",H1068))</f>
        <v>0</v>
      </c>
      <c r="AQ1069" s="253">
        <f t="shared" ref="AQ1069" ca="1" si="475">AP1069-N1069</f>
        <v>0</v>
      </c>
    </row>
    <row r="1070" spans="1:43" x14ac:dyDescent="0.2">
      <c r="B1070" s="249"/>
      <c r="C1070" s="249"/>
      <c r="D1070" s="249"/>
      <c r="E1070" s="249"/>
      <c r="F1070" s="249"/>
      <c r="G1070" s="249"/>
      <c r="H1070" s="246" t="s">
        <v>25</v>
      </c>
      <c r="I1070" s="247">
        <f ca="1">IFERROR(INDEX('Ведомость расчета мин. платы'!$J$10:$AE$214,MATCH(CONCATENATE(РАСЧЕТ!B1068,"/",РАСЧЕТ!D1068,"/",РАСЧЕТ!E1068,"/",F1068,"/",H1070),'Ведомость расчета мин. платы'!$AE$10:$AE$214,0),2),"")</f>
        <v>15.2</v>
      </c>
      <c r="J1070" s="247">
        <f ca="1">IFERROR(INDEX('Ведомость расчета мин. платы'!$J$10:$AE$214,MATCH(CONCATENATE(РАСЧЕТ!B1068,"/",РАСЧЕТ!D1068,"/",РАСЧЕТ!E1068,"/",F1068,"/",H1070),'Ведомость расчета мин. платы'!$AE$10:$AE$214,0),3),"")</f>
        <v>47.2</v>
      </c>
      <c r="K1070" s="247">
        <f ca="1">IFERROR(INDEX('Ведомость расчета мин. платы'!$J$10:$AE$214,MATCH(CONCATENATE(РАСЧЕТ!B1068,"/",РАСЧЕТ!D1068,"/",РАСЧЕТ!E1068,"/",F1068,"/",H1070),'Ведомость расчета мин. платы'!$AE$10:$AE$214,0),4),"")</f>
        <v>6.5</v>
      </c>
      <c r="L1070" s="248">
        <f t="shared" ca="1" si="469"/>
        <v>68.900000000000006</v>
      </c>
      <c r="M1070" s="214">
        <f ca="1">IFERROR(INDEX('Ведомость расчета мин. платы'!$J$10:$AE$214,MATCH(CONCATENATE(РАСЧЕТ!B1068,"/",РАСЧЕТ!D1068,"/",РАСЧЕТ!E1068,"/",F1068,"/",H1070),'Ведомость расчета мин. платы'!$AE$10:$AE$214,0),6),"")</f>
        <v>83.9</v>
      </c>
      <c r="N1070" s="214">
        <f t="shared" ca="1" si="470"/>
        <v>152.80000000000001</v>
      </c>
      <c r="O1070" s="229">
        <f t="shared" si="474"/>
        <v>1</v>
      </c>
      <c r="P1070" s="230">
        <f t="shared" si="468"/>
        <v>0</v>
      </c>
      <c r="AP1070" s="242"/>
      <c r="AQ1070" s="253"/>
    </row>
    <row r="1071" spans="1:43" x14ac:dyDescent="0.2">
      <c r="B1071" s="249"/>
      <c r="C1071" s="249"/>
      <c r="D1071" s="249"/>
      <c r="E1071" s="249"/>
      <c r="F1071" s="249"/>
      <c r="G1071" s="249"/>
      <c r="H1071" s="250" t="s">
        <v>475</v>
      </c>
      <c r="I1071" s="251">
        <f ca="1">IFERROR(ROUND(I1070*I1063,2),"")</f>
        <v>13009.68</v>
      </c>
      <c r="J1071" s="251">
        <f t="shared" ref="J1071" ca="1" si="476">IFERROR(ROUND(J1070*J1063,2),"")</f>
        <v>28865.16</v>
      </c>
      <c r="K1071" s="251">
        <f t="shared" ref="K1071" ca="1" si="477">IFERROR(ROUND(K1070*K1063,2),"")</f>
        <v>1999.92</v>
      </c>
      <c r="L1071" s="251">
        <f t="shared" ca="1" si="469"/>
        <v>43874.759999999995</v>
      </c>
      <c r="M1071" s="251">
        <v>2235.0900000000051</v>
      </c>
      <c r="N1071" s="252">
        <f t="shared" ca="1" si="470"/>
        <v>46109.85</v>
      </c>
      <c r="O1071" s="229" t="str">
        <f t="shared" si="474"/>
        <v/>
      </c>
      <c r="P1071" s="230">
        <f t="shared" si="468"/>
        <v>0</v>
      </c>
      <c r="AP1071" s="242">
        <f ca="1">SUMIFS('Ведомость расчета мин. платы'!$S$10:$S$209,'Ведомость расчета мин. платы'!$AE$10:$AE$209,CONCATENATE(B1068,"/",D1068,"/",E1068,"/",F1068,"/",H1070))</f>
        <v>46109.85</v>
      </c>
      <c r="AQ1071" s="253">
        <f t="shared" ref="AQ1071" ca="1" si="478">AP1071-N1071</f>
        <v>0</v>
      </c>
    </row>
    <row r="1072" spans="1:43" x14ac:dyDescent="0.2">
      <c r="B1072" s="249"/>
      <c r="C1072" s="249"/>
      <c r="D1072" s="249"/>
      <c r="E1072" s="249"/>
      <c r="F1072" s="249"/>
      <c r="G1072" s="249"/>
      <c r="H1072" s="205" t="s">
        <v>19</v>
      </c>
      <c r="I1072" s="248">
        <f ca="1">IFERROR(INDEX('Ведомость расчета мин. платы'!$J$10:$AE$214,MATCH(CONCATENATE(РАСЧЕТ!B1068,"/",РАСЧЕТ!D1068,"/",РАСЧЕТ!E1068,"/",F1068,"/",H1072),'Ведомость расчета мин. платы'!$AE$10:$AE$214,0),2),"")</f>
        <v>9.66</v>
      </c>
      <c r="J1072" s="248">
        <f ca="1">IFERROR(INDEX('Ведомость расчета мин. платы'!$J$10:$AE$214,MATCH(CONCATENATE(РАСЧЕТ!B1068,"/",РАСЧЕТ!D1068,"/",РАСЧЕТ!E1068,"/",F1068,"/",H1072),'Ведомость расчета мин. платы'!$AE$10:$AE$214,0),3),"")</f>
        <v>48.48</v>
      </c>
      <c r="K1072" s="248">
        <f ca="1">IFERROR(INDEX('Ведомость расчета мин. платы'!$J$10:$AE$214,MATCH(CONCATENATE(РАСЧЕТ!B1068,"/",РАСЧЕТ!D1068,"/",РАСЧЕТ!E1068,"/",F1068,"/",H1072),'Ведомость расчета мин. платы'!$AE$10:$AE$214,0),4),"")</f>
        <v>16.18</v>
      </c>
      <c r="L1072" s="248">
        <f t="shared" ca="1" si="469"/>
        <v>74.319999999999993</v>
      </c>
      <c r="M1072" s="248">
        <f ca="1">IFERROR(INDEX('Ведомость расчета мин. платы'!$J$10:$AE$214,MATCH(CONCATENATE(РАСЧЕТ!B1068,"/",РАСЧЕТ!D1068,"/",РАСЧЕТ!E1068,"/",F1068,"/",H1072),'Ведомость расчета мин. платы'!$AE$10:$AE$214,0),6),"")</f>
        <v>140.94999999999999</v>
      </c>
      <c r="N1072" s="214">
        <f t="shared" ca="1" si="470"/>
        <v>215.26999999999998</v>
      </c>
      <c r="O1072" s="229">
        <f t="shared" si="474"/>
        <v>1</v>
      </c>
      <c r="P1072" s="230">
        <f t="shared" si="468"/>
        <v>0</v>
      </c>
      <c r="AP1072" s="242"/>
      <c r="AQ1072" s="253"/>
    </row>
    <row r="1073" spans="2:43" x14ac:dyDescent="0.2">
      <c r="B1073" s="249"/>
      <c r="C1073" s="249"/>
      <c r="D1073" s="249"/>
      <c r="E1073" s="249"/>
      <c r="F1073" s="249"/>
      <c r="G1073" s="249"/>
      <c r="H1073" s="250" t="s">
        <v>475</v>
      </c>
      <c r="I1073" s="251">
        <f ca="1">IFERROR(ROUND(I1072*I1064,2),"")</f>
        <v>656.4</v>
      </c>
      <c r="J1073" s="251">
        <f t="shared" ref="J1073" ca="1" si="479">IFERROR(ROUND(J1072*J1064,2),"")</f>
        <v>2398.31</v>
      </c>
      <c r="K1073" s="251">
        <f t="shared" ref="K1073" ca="1" si="480">IFERROR(ROUND(K1072*K1064,2),"")</f>
        <v>409.03</v>
      </c>
      <c r="L1073" s="251">
        <f t="shared" ca="1" si="469"/>
        <v>3463.74</v>
      </c>
      <c r="M1073" s="251">
        <f t="shared" ref="M1073" ca="1" si="481">IFERROR(ROUND(M1072*M1064,2),"")</f>
        <v>191.69</v>
      </c>
      <c r="N1073" s="252">
        <f t="shared" ca="1" si="470"/>
        <v>3655.43</v>
      </c>
      <c r="O1073" s="229" t="str">
        <f t="shared" si="474"/>
        <v/>
      </c>
      <c r="P1073" s="230">
        <f t="shared" si="468"/>
        <v>0</v>
      </c>
      <c r="AP1073" s="242">
        <f ca="1">SUMIFS('Ведомость расчета мин. платы'!$S$10:$S$209,'Ведомость расчета мин. платы'!$AE$10:$AE$209,CONCATENATE(B1068,"/",D1068,"/",E1068,"/",F1068,"/",H1072))</f>
        <v>3655.43</v>
      </c>
      <c r="AQ1073" s="253">
        <f t="shared" ref="AQ1073" ca="1" si="482">AP1073-N1073</f>
        <v>0</v>
      </c>
    </row>
    <row r="1074" spans="2:43" x14ac:dyDescent="0.2">
      <c r="B1074" s="249"/>
      <c r="C1074" s="249"/>
      <c r="D1074" s="249"/>
      <c r="E1074" s="249"/>
      <c r="F1074" s="249"/>
      <c r="G1074" s="249"/>
      <c r="H1074" s="205" t="s">
        <v>268</v>
      </c>
      <c r="I1074" s="248" t="str">
        <f ca="1">IFERROR(INDEX('Ведомость расчета мин. платы'!$J$10:$AE$214,MATCH(CONCATENATE(РАСЧЕТ!B1068,"/",РАСЧЕТ!D1068,"/",РАСЧЕТ!E1068,"/",F1068,"/",H1074),'Ведомость расчета мин. платы'!$AE$10:$AE$214,0),2),"")</f>
        <v/>
      </c>
      <c r="J1074" s="248" t="str">
        <f ca="1">IFERROR(INDEX('Ведомость расчета мин. платы'!$J$10:$AE$214,MATCH(CONCATENATE(РАСЧЕТ!B1068,"/",РАСЧЕТ!D1068,"/",РАСЧЕТ!E1068,"/",F1068,"/",H1074),'Ведомость расчета мин. платы'!$AE$10:$AE$214,0),3),"")</f>
        <v/>
      </c>
      <c r="K1074" s="248" t="str">
        <f ca="1">IFERROR(INDEX('Ведомость расчета мин. платы'!$J$10:$AE$214,MATCH(CONCATENATE(РАСЧЕТ!B1068,"/",РАСЧЕТ!D1068,"/",РАСЧЕТ!E1068,"/",F1068,"/",H1074),'Ведомость расчета мин. платы'!$AE$10:$AE$214,0),4),"")</f>
        <v/>
      </c>
      <c r="L1074" s="248">
        <f t="shared" ca="1" si="469"/>
        <v>0</v>
      </c>
      <c r="M1074" s="248" t="str">
        <f ca="1">IFERROR(INDEX('Ведомость расчета мин. платы'!$J$10:$AE$214,MATCH(CONCATENATE(РАСЧЕТ!B1068,"/",РАСЧЕТ!D1068,"/",РАСЧЕТ!E1068,"/",F1068,"/",H1074),'Ведомость расчета мин. платы'!$AE$10:$AE$214,0),6),"")</f>
        <v/>
      </c>
      <c r="N1074" s="214">
        <f t="shared" ca="1" si="470"/>
        <v>0</v>
      </c>
      <c r="O1074" s="229">
        <f t="shared" si="474"/>
        <v>1</v>
      </c>
      <c r="P1074" s="230">
        <f t="shared" si="468"/>
        <v>0</v>
      </c>
      <c r="AP1074" s="242"/>
      <c r="AQ1074" s="253"/>
    </row>
    <row r="1075" spans="2:43" x14ac:dyDescent="0.2">
      <c r="B1075" s="249"/>
      <c r="C1075" s="249"/>
      <c r="D1075" s="249"/>
      <c r="E1075" s="249"/>
      <c r="F1075" s="249"/>
      <c r="G1075" s="249"/>
      <c r="H1075" s="250" t="s">
        <v>475</v>
      </c>
      <c r="I1075" s="251" t="str">
        <f ca="1">IFERROR(ROUND(I1074*I1067,2),"")</f>
        <v/>
      </c>
      <c r="J1075" s="251" t="str">
        <f ca="1">IFERROR(ROUND(J1074*J1065,2),"")</f>
        <v/>
      </c>
      <c r="K1075" s="251" t="str">
        <f ca="1">IFERROR(ROUND(K1074*K1065,2),"")</f>
        <v/>
      </c>
      <c r="L1075" s="251">
        <f t="shared" ca="1" si="469"/>
        <v>0</v>
      </c>
      <c r="M1075" s="251" t="str">
        <f ca="1">IFERROR(ROUND(M1074*M1065,2),"")</f>
        <v/>
      </c>
      <c r="N1075" s="252">
        <f t="shared" ca="1" si="470"/>
        <v>0</v>
      </c>
      <c r="O1075" s="229" t="str">
        <f t="shared" si="474"/>
        <v/>
      </c>
      <c r="P1075" s="230">
        <f t="shared" si="468"/>
        <v>0</v>
      </c>
      <c r="AP1075" s="242">
        <f ca="1">SUMIFS('Ведомость расчета мин. платы'!$S$10:$S$209,'Ведомость расчета мин. платы'!$AE$10:$AE$209,CONCATENATE(B1068,"/",D1068,"/",E1068,"/",F1068,"/",H1074))</f>
        <v>0</v>
      </c>
      <c r="AQ1075" s="253">
        <f t="shared" ref="AQ1075" ca="1" si="483">AP1075-N1075</f>
        <v>0</v>
      </c>
    </row>
    <row r="1076" spans="2:43" x14ac:dyDescent="0.2">
      <c r="B1076" s="249"/>
      <c r="C1076" s="249"/>
      <c r="D1076" s="249"/>
      <c r="E1076" s="249"/>
      <c r="F1076" s="249"/>
      <c r="G1076" s="249"/>
      <c r="H1076" s="205" t="s">
        <v>40</v>
      </c>
      <c r="I1076" s="248" t="str">
        <f ca="1">IFERROR(INDEX('Ведомость расчета мин. платы'!$J$10:$AE$214,MATCH(CONCATENATE(РАСЧЕТ!B1068,"/",РАСЧЕТ!D1068,"/",РАСЧЕТ!E1068,"/",F1068,"/",H1076),'Ведомость расчета мин. платы'!$AE$10:$AE$214,0),2),"")</f>
        <v/>
      </c>
      <c r="J1076" s="248" t="str">
        <f ca="1">IFERROR(INDEX('Ведомость расчета мин. платы'!$J$10:$AE$214,MATCH(CONCATENATE(РАСЧЕТ!B1068,"/",РАСЧЕТ!D1068,"/",РАСЧЕТ!E1068,"/",F1068,"/",H1076),'Ведомость расчета мин. платы'!$AE$10:$AE$214,0),3),"")</f>
        <v/>
      </c>
      <c r="K1076" s="248" t="str">
        <f ca="1">IFERROR(INDEX('Ведомость расчета мин. платы'!$J$10:$AE$214,MATCH(CONCATENATE(РАСЧЕТ!B1068,"/",РАСЧЕТ!D1068,"/",РАСЧЕТ!E1068,"/",F1068,"/",H1076),'Ведомость расчета мин. платы'!$AE$10:$AE$214,0),4),"")</f>
        <v/>
      </c>
      <c r="L1076" s="248">
        <f t="shared" ca="1" si="469"/>
        <v>0</v>
      </c>
      <c r="M1076" s="248" t="str">
        <f ca="1">IFERROR(INDEX('Ведомость расчета мин. платы'!$J$10:$AE$214,MATCH(CONCATENATE(РАСЧЕТ!B1068,"/",РАСЧЕТ!D1068,"/",РАСЧЕТ!E1068,"/",F1068,"/",H1076),'Ведомость расчета мин. платы'!$AE$10:$AE$214,0),6),"")</f>
        <v/>
      </c>
      <c r="N1076" s="214">
        <f t="shared" ca="1" si="470"/>
        <v>0</v>
      </c>
      <c r="O1076" s="229">
        <f t="shared" si="474"/>
        <v>1</v>
      </c>
      <c r="P1076" s="230">
        <f t="shared" si="468"/>
        <v>0</v>
      </c>
      <c r="AP1076" s="242"/>
      <c r="AQ1076" s="253"/>
    </row>
    <row r="1077" spans="2:43" x14ac:dyDescent="0.2">
      <c r="B1077" s="249"/>
      <c r="C1077" s="249"/>
      <c r="D1077" s="249"/>
      <c r="E1077" s="249"/>
      <c r="F1077" s="249"/>
      <c r="G1077" s="249"/>
      <c r="H1077" s="250" t="s">
        <v>475</v>
      </c>
      <c r="I1077" s="251" t="str">
        <f ca="1">IFERROR(ROUND(I1076*I1066,2),"")</f>
        <v/>
      </c>
      <c r="J1077" s="251" t="str">
        <f t="shared" ref="J1077" ca="1" si="484">IFERROR(ROUND(J1076*J1066,2),"")</f>
        <v/>
      </c>
      <c r="K1077" s="251" t="str">
        <f t="shared" ref="K1077" ca="1" si="485">IFERROR(ROUND(K1076*K1066,2),"")</f>
        <v/>
      </c>
      <c r="L1077" s="251">
        <f t="shared" ca="1" si="469"/>
        <v>0</v>
      </c>
      <c r="M1077" s="251" t="str">
        <f t="shared" ref="M1077" ca="1" si="486">IFERROR(ROUND(M1076*M1066,2),"")</f>
        <v/>
      </c>
      <c r="N1077" s="252">
        <f t="shared" ca="1" si="470"/>
        <v>0</v>
      </c>
      <c r="O1077" s="229" t="str">
        <f t="shared" si="474"/>
        <v/>
      </c>
      <c r="P1077" s="230">
        <f t="shared" si="468"/>
        <v>0</v>
      </c>
      <c r="AP1077" s="242">
        <f ca="1">SUMIFS('Ведомость расчета мин. платы'!$S$10:$S$209,'Ведомость расчета мин. платы'!$AE$10:$AE$209,CONCATENATE(B1068,"/",D1068,"/",E1068,"/",F1068,"/",H1076))</f>
        <v>0</v>
      </c>
      <c r="AQ1077" s="253">
        <f t="shared" ref="AQ1077" ca="1" si="487">AP1077-N1077</f>
        <v>0</v>
      </c>
    </row>
    <row r="1078" spans="2:43" x14ac:dyDescent="0.2">
      <c r="B1078" s="249"/>
      <c r="C1078" s="249"/>
      <c r="D1078" s="249"/>
      <c r="E1078" s="249"/>
      <c r="F1078" s="249"/>
      <c r="G1078" s="249"/>
      <c r="H1078" s="205" t="s">
        <v>18</v>
      </c>
      <c r="I1078" s="248">
        <f ca="1">IFERROR(INDEX('Ведомость расчета мин. платы'!$J$10:$AE$214,MATCH(CONCATENATE(РАСЧЕТ!B1068,"/",РАСЧЕТ!D1068,"/",РАСЧЕТ!E1068,"/",F1068,"/",H1078),'Ведомость расчета мин. платы'!$AE$10:$AE$214,0),2),"")</f>
        <v>78.400000000000006</v>
      </c>
      <c r="J1078" s="248">
        <f ca="1">IFERROR(INDEX('Ведомость расчета мин. платы'!$J$10:$AE$214,MATCH(CONCATENATE(РАСЧЕТ!B1068,"/",РАСЧЕТ!D1068,"/",РАСЧЕТ!E1068,"/",F1068,"/",H1078),'Ведомость расчета мин. платы'!$AE$10:$AE$214,0),3),"")</f>
        <v>71.2</v>
      </c>
      <c r="K1078" s="248">
        <f ca="1">IFERROR(INDEX('Ведомость расчета мин. платы'!$J$10:$AE$214,MATCH(CONCATENATE(РАСЧЕТ!B1068,"/",РАСЧЕТ!D1068,"/",РАСЧЕТ!E1068,"/",F1068,"/",H1078),'Ведомость расчета мин. платы'!$AE$10:$AE$214,0),4),"")</f>
        <v>15.9</v>
      </c>
      <c r="L1078" s="248">
        <f t="shared" ca="1" si="469"/>
        <v>165.50000000000003</v>
      </c>
      <c r="M1078" s="248">
        <f ca="1">IFERROR(INDEX('Ведомость расчета мин. платы'!$J$10:$AE$214,MATCH(CONCATENATE(РАСЧЕТ!B1068,"/",РАСЧЕТ!D1068,"/",РАСЧЕТ!E1068,"/",F1068,"/",H1078),'Ведомость расчета мин. платы'!$AE$10:$AE$214,0),6),"")</f>
        <v>212.2</v>
      </c>
      <c r="N1078" s="214">
        <f t="shared" ca="1" si="470"/>
        <v>377.70000000000005</v>
      </c>
      <c r="O1078" s="229">
        <f t="shared" si="474"/>
        <v>1</v>
      </c>
      <c r="P1078" s="230">
        <f t="shared" si="468"/>
        <v>0</v>
      </c>
      <c r="AP1078" s="242"/>
      <c r="AQ1078" s="253"/>
    </row>
    <row r="1079" spans="2:43" x14ac:dyDescent="0.2">
      <c r="B1079" s="249"/>
      <c r="C1079" s="249"/>
      <c r="D1079" s="249"/>
      <c r="E1079" s="249"/>
      <c r="F1079" s="249"/>
      <c r="G1079" s="249"/>
      <c r="H1079" s="250" t="s">
        <v>475</v>
      </c>
      <c r="I1079" s="251">
        <f ca="1">IFERROR(ROUND(I1078*I1067,2),"")</f>
        <v>1704.42</v>
      </c>
      <c r="J1079" s="251">
        <f t="shared" ref="J1079" ca="1" si="488">IFERROR(ROUND(J1078*J1067,2),"")</f>
        <v>1180.5</v>
      </c>
      <c r="K1079" s="251">
        <f t="shared" ref="K1079" ca="1" si="489">IFERROR(ROUND(K1078*K1067,2),"")</f>
        <v>134.04</v>
      </c>
      <c r="L1079" s="251">
        <f t="shared" ca="1" si="469"/>
        <v>3018.96</v>
      </c>
      <c r="M1079" s="251">
        <f t="shared" ref="M1079" ca="1" si="490">IFERROR(ROUND(M1078*M1067,2),"")</f>
        <v>114.59</v>
      </c>
      <c r="N1079" s="252">
        <f t="shared" ca="1" si="470"/>
        <v>3133.55</v>
      </c>
      <c r="O1079" s="229" t="str">
        <f t="shared" si="474"/>
        <v/>
      </c>
      <c r="P1079" s="230">
        <f t="shared" si="468"/>
        <v>0</v>
      </c>
      <c r="AP1079" s="242">
        <f ca="1">SUMIFS('Ведомость расчета мин. платы'!$S$10:$S$209,'Ведомость расчета мин. платы'!$AE$10:$AE$209,CONCATENATE(B1068,"/",D1068,"/",E1068,"/",F1068,"/",H1078))</f>
        <v>3133.55</v>
      </c>
      <c r="AQ1079" s="253">
        <f t="shared" ref="AQ1079" ca="1" si="491">AP1079-N1079</f>
        <v>0</v>
      </c>
    </row>
    <row r="1080" spans="2:43" x14ac:dyDescent="0.2">
      <c r="B1080" s="249"/>
      <c r="C1080" s="249"/>
      <c r="D1080" s="249"/>
      <c r="E1080" s="249"/>
      <c r="F1080" s="249"/>
      <c r="G1080" s="249"/>
      <c r="H1080" s="254" t="s">
        <v>476</v>
      </c>
      <c r="I1080" s="251">
        <f ca="1">SUMIF($O1068:$O1081,1,I1068:I1079)</f>
        <v>103.26</v>
      </c>
      <c r="J1080" s="251">
        <f ca="1">SUMIF($O1068:$O1081,1,J1068:J1079)</f>
        <v>166.88</v>
      </c>
      <c r="K1080" s="251">
        <f ca="1">SUMIF($O1068:$O1081,1,K1068:K1079)</f>
        <v>38.58</v>
      </c>
      <c r="L1080" s="251">
        <f t="shared" ca="1" si="469"/>
        <v>308.71999999999997</v>
      </c>
      <c r="M1080" s="251">
        <f ca="1">SUMIF($O1068:$O1081,1,M1068:M1079)</f>
        <v>437.04999999999995</v>
      </c>
      <c r="N1080" s="252">
        <f t="shared" ca="1" si="470"/>
        <v>745.77</v>
      </c>
      <c r="AP1080" s="242"/>
      <c r="AQ1080" s="253"/>
    </row>
    <row r="1081" spans="2:43" x14ac:dyDescent="0.2">
      <c r="B1081" s="249"/>
      <c r="C1081" s="249"/>
      <c r="D1081" s="249"/>
      <c r="E1081" s="249"/>
      <c r="F1081" s="249"/>
      <c r="G1081" s="249"/>
      <c r="H1081" s="254" t="s">
        <v>491</v>
      </c>
      <c r="I1081" s="251">
        <f ca="1">SUMIF(H1068:H1079,"стоимость",I1068:I1079)</f>
        <v>15370.5</v>
      </c>
      <c r="J1081" s="251">
        <f ca="1">SUMIF(H1068:H1079,"стоимость",J1068:J1079)</f>
        <v>32443.97</v>
      </c>
      <c r="K1081" s="251">
        <f ca="1">SUMIF(H1068:H1079,"стоимость",K1068:K1079)</f>
        <v>2542.9899999999998</v>
      </c>
      <c r="L1081" s="251">
        <f ca="1">IFERROR(SUM(I1081:K1081),"")</f>
        <v>50357.46</v>
      </c>
      <c r="M1081" s="251">
        <f ca="1">SUMIF(H1068:H1079,"стоимость",M1068:M1079)</f>
        <v>2541.3700000000053</v>
      </c>
      <c r="N1081" s="252">
        <f ca="1">IFERROR(SUM(L1081:M1081),"")</f>
        <v>52898.83</v>
      </c>
      <c r="AP1081" s="242">
        <f ca="1">SUMIFS('Ведомость расчета мин. платы'!$S$10:$S$209,'Ведомость расчета мин. платы'!$J$10:$J$209,"Итого",'Ведомость расчета мин. платы'!$AC$10:$AC$209,CONCATENATE(B1068,"/",D1068,"/",E1068,"/",F1068))</f>
        <v>52898.83</v>
      </c>
      <c r="AQ1081" s="253">
        <f ca="1">AP1081-N1081</f>
        <v>0</v>
      </c>
    </row>
    <row r="1082" spans="2:43" x14ac:dyDescent="0.2">
      <c r="B1082" s="255"/>
      <c r="C1082" s="255"/>
      <c r="D1082" s="255"/>
      <c r="E1082" s="255"/>
      <c r="F1082" s="255"/>
      <c r="G1082" s="256"/>
      <c r="H1082" s="257"/>
      <c r="I1082" s="258"/>
      <c r="J1082" s="258"/>
      <c r="K1082" s="258"/>
      <c r="L1082" s="258"/>
      <c r="M1082" s="258"/>
      <c r="N1082" s="258"/>
      <c r="P1082" s="230">
        <f t="shared" ref="P1082:P1100" si="492">IF(A1082&gt;0,1,0)</f>
        <v>0</v>
      </c>
    </row>
    <row r="1083" spans="2:43" x14ac:dyDescent="0.2">
      <c r="B1083" s="282" t="s">
        <v>477</v>
      </c>
      <c r="C1083" s="282"/>
      <c r="D1083" s="282"/>
      <c r="E1083" s="282"/>
      <c r="F1083" s="259"/>
      <c r="G1083" s="225"/>
      <c r="H1083" s="201"/>
      <c r="I1083" s="226"/>
      <c r="J1083" s="258"/>
      <c r="K1083" s="258"/>
      <c r="L1083" s="258"/>
      <c r="M1083" s="258"/>
      <c r="N1083" s="258"/>
      <c r="P1083" s="230">
        <f t="shared" si="492"/>
        <v>0</v>
      </c>
    </row>
    <row r="1084" spans="2:43" x14ac:dyDescent="0.2">
      <c r="B1084" s="283" t="s">
        <v>525</v>
      </c>
      <c r="C1084" s="283"/>
      <c r="D1084" s="283"/>
      <c r="E1084" s="283"/>
      <c r="F1084" s="283"/>
      <c r="G1084" s="283"/>
      <c r="H1084" s="283"/>
      <c r="I1084" s="283"/>
      <c r="J1084" s="261"/>
      <c r="K1084" s="261"/>
      <c r="L1084" s="261"/>
      <c r="M1084" s="261"/>
      <c r="N1084" s="261"/>
      <c r="P1084" s="230">
        <f t="shared" si="492"/>
        <v>0</v>
      </c>
    </row>
    <row r="1085" spans="2:43" x14ac:dyDescent="0.2">
      <c r="B1085" s="284" t="s">
        <v>478</v>
      </c>
      <c r="C1085" s="284"/>
      <c r="D1085" s="284"/>
      <c r="E1085" s="284"/>
      <c r="F1085" s="284"/>
      <c r="G1085" s="284"/>
      <c r="H1085" s="284"/>
      <c r="I1085" s="284"/>
      <c r="J1085" s="258"/>
      <c r="K1085" s="258"/>
      <c r="L1085" s="258"/>
      <c r="M1085" s="258"/>
      <c r="N1085" s="258"/>
      <c r="P1085" s="230">
        <f t="shared" si="492"/>
        <v>0</v>
      </c>
    </row>
    <row r="1086" spans="2:43" x14ac:dyDescent="0.2">
      <c r="B1086" s="284" t="s">
        <v>479</v>
      </c>
      <c r="C1086" s="284"/>
      <c r="D1086" s="284"/>
      <c r="E1086" s="284"/>
      <c r="F1086" s="284"/>
      <c r="G1086" s="284"/>
      <c r="H1086" s="284"/>
      <c r="I1086" s="284"/>
      <c r="J1086" s="258"/>
      <c r="K1086" s="258"/>
      <c r="L1086" s="258"/>
      <c r="M1086" s="258"/>
      <c r="N1086" s="258"/>
      <c r="P1086" s="230">
        <f t="shared" si="492"/>
        <v>0</v>
      </c>
    </row>
    <row r="1087" spans="2:43" x14ac:dyDescent="0.2">
      <c r="B1087" s="284" t="s">
        <v>480</v>
      </c>
      <c r="C1087" s="284"/>
      <c r="D1087" s="284"/>
      <c r="E1087" s="284"/>
      <c r="F1087" s="284"/>
      <c r="G1087" s="284"/>
      <c r="H1087" s="284"/>
      <c r="I1087" s="284"/>
      <c r="J1087" s="258"/>
      <c r="K1087" s="258"/>
      <c r="L1087" s="258"/>
      <c r="M1087" s="258"/>
      <c r="N1087" s="258"/>
      <c r="P1087" s="230">
        <f t="shared" si="492"/>
        <v>0</v>
      </c>
    </row>
    <row r="1088" spans="2:43" x14ac:dyDescent="0.2">
      <c r="B1088" s="284" t="s">
        <v>481</v>
      </c>
      <c r="C1088" s="284"/>
      <c r="D1088" s="284"/>
      <c r="E1088" s="284"/>
      <c r="F1088" s="284"/>
      <c r="G1088" s="284"/>
      <c r="H1088" s="284"/>
      <c r="I1088" s="284"/>
      <c r="J1088" s="226"/>
      <c r="K1088" s="226"/>
      <c r="L1088" s="226"/>
      <c r="M1088" s="226"/>
      <c r="N1088" s="226"/>
      <c r="P1088" s="230">
        <f t="shared" si="492"/>
        <v>0</v>
      </c>
    </row>
    <row r="1089" spans="1:16" x14ac:dyDescent="0.2">
      <c r="B1089" s="284" t="s">
        <v>482</v>
      </c>
      <c r="C1089" s="284"/>
      <c r="D1089" s="284"/>
      <c r="E1089" s="284"/>
      <c r="F1089" s="284"/>
      <c r="G1089" s="284"/>
      <c r="H1089" s="284"/>
      <c r="I1089" s="284"/>
      <c r="J1089" s="226"/>
      <c r="K1089" s="226"/>
      <c r="L1089" s="226"/>
      <c r="M1089" s="226"/>
      <c r="N1089" s="226"/>
      <c r="P1089" s="230">
        <f t="shared" si="492"/>
        <v>0</v>
      </c>
    </row>
    <row r="1090" spans="1:16" x14ac:dyDescent="0.2">
      <c r="B1090" s="284" t="s">
        <v>483</v>
      </c>
      <c r="C1090" s="284"/>
      <c r="D1090" s="284"/>
      <c r="E1090" s="284"/>
      <c r="F1090" s="284"/>
      <c r="G1090" s="284"/>
      <c r="H1090" s="284"/>
      <c r="I1090" s="284"/>
      <c r="J1090" s="226"/>
      <c r="K1090" s="226"/>
      <c r="L1090" s="226"/>
      <c r="M1090" s="226"/>
      <c r="N1090" s="226"/>
      <c r="P1090" s="230">
        <f t="shared" si="492"/>
        <v>0</v>
      </c>
    </row>
    <row r="1091" spans="1:16" x14ac:dyDescent="0.2">
      <c r="B1091" s="284" t="s">
        <v>484</v>
      </c>
      <c r="C1091" s="284"/>
      <c r="D1091" s="284"/>
      <c r="E1091" s="284"/>
      <c r="F1091" s="284"/>
      <c r="G1091" s="284"/>
      <c r="H1091" s="284"/>
      <c r="I1091" s="284"/>
      <c r="J1091" s="226"/>
      <c r="K1091" s="226"/>
      <c r="L1091" s="226"/>
      <c r="M1091" s="226"/>
      <c r="N1091" s="226"/>
      <c r="P1091" s="230">
        <f t="shared" si="492"/>
        <v>0</v>
      </c>
    </row>
    <row r="1092" spans="1:16" x14ac:dyDescent="0.2">
      <c r="B1092" s="264"/>
      <c r="C1092" s="264"/>
      <c r="D1092" s="264"/>
      <c r="E1092" s="264"/>
      <c r="F1092" s="264"/>
      <c r="G1092" s="264"/>
      <c r="H1092" s="264"/>
      <c r="I1092" s="265"/>
      <c r="J1092" s="226"/>
      <c r="K1092" s="226"/>
      <c r="L1092" s="226"/>
      <c r="M1092" s="226"/>
      <c r="N1092" s="226"/>
      <c r="P1092" s="230">
        <f t="shared" si="492"/>
        <v>0</v>
      </c>
    </row>
    <row r="1093" spans="1:16" x14ac:dyDescent="0.2">
      <c r="B1093" s="225" t="s">
        <v>485</v>
      </c>
      <c r="C1093" s="225"/>
      <c r="D1093" s="225"/>
      <c r="E1093" s="225"/>
      <c r="F1093" s="225"/>
      <c r="G1093" s="225"/>
      <c r="H1093" s="201"/>
      <c r="I1093" s="226"/>
      <c r="J1093" s="226" t="s">
        <v>486</v>
      </c>
      <c r="K1093" s="226"/>
      <c r="L1093" s="226"/>
      <c r="M1093" s="226"/>
      <c r="N1093" s="226"/>
      <c r="P1093" s="230">
        <f t="shared" si="492"/>
        <v>0</v>
      </c>
    </row>
    <row r="1094" spans="1:16" x14ac:dyDescent="0.2">
      <c r="B1094" s="266" t="s">
        <v>524</v>
      </c>
      <c r="C1094" s="266"/>
      <c r="D1094" s="225"/>
      <c r="E1094" s="225"/>
      <c r="F1094" s="225"/>
      <c r="G1094" s="225"/>
      <c r="H1094" s="201"/>
      <c r="I1094" s="226"/>
      <c r="J1094" s="267"/>
      <c r="K1094" s="267"/>
      <c r="L1094" s="267"/>
      <c r="M1094" s="226"/>
      <c r="N1094" s="226"/>
      <c r="P1094" s="230">
        <f t="shared" si="492"/>
        <v>0</v>
      </c>
    </row>
    <row r="1095" spans="1:16" x14ac:dyDescent="0.2">
      <c r="B1095" s="268" t="s">
        <v>487</v>
      </c>
      <c r="C1095" s="225"/>
      <c r="D1095" s="225"/>
      <c r="E1095" s="225"/>
      <c r="F1095" s="225"/>
      <c r="G1095" s="225"/>
      <c r="H1095" s="201"/>
      <c r="I1095" s="226"/>
      <c r="J1095" s="226" t="s">
        <v>487</v>
      </c>
      <c r="K1095" s="226"/>
      <c r="L1095" s="226"/>
      <c r="M1095" s="226"/>
      <c r="N1095" s="226"/>
      <c r="P1095" s="230">
        <f t="shared" si="492"/>
        <v>0</v>
      </c>
    </row>
    <row r="1096" spans="1:16" x14ac:dyDescent="0.2">
      <c r="B1096" s="225"/>
      <c r="C1096" s="225"/>
      <c r="D1096" s="225"/>
      <c r="E1096" s="225"/>
      <c r="F1096" s="225"/>
      <c r="G1096" s="225"/>
      <c r="H1096" s="201"/>
      <c r="I1096" s="226"/>
      <c r="J1096" s="226"/>
      <c r="K1096" s="226"/>
      <c r="L1096" s="226"/>
      <c r="M1096" s="226"/>
      <c r="N1096" s="226"/>
      <c r="P1096" s="230">
        <f t="shared" si="492"/>
        <v>0</v>
      </c>
    </row>
    <row r="1097" spans="1:16" x14ac:dyDescent="0.2">
      <c r="B1097" s="266"/>
      <c r="C1097" s="266"/>
      <c r="D1097" s="225"/>
      <c r="E1097" s="225"/>
      <c r="F1097" s="225"/>
      <c r="G1097" s="225"/>
      <c r="H1097" s="201"/>
      <c r="I1097" s="226"/>
      <c r="J1097" s="267"/>
      <c r="K1097" s="267"/>
      <c r="L1097" s="267"/>
      <c r="M1097" s="226"/>
      <c r="N1097" s="226"/>
      <c r="P1097" s="230">
        <f t="shared" si="492"/>
        <v>0</v>
      </c>
    </row>
    <row r="1098" spans="1:16" x14ac:dyDescent="0.2">
      <c r="B1098" s="269" t="s">
        <v>488</v>
      </c>
      <c r="C1098" s="225"/>
      <c r="D1098" s="225"/>
      <c r="E1098" s="225"/>
      <c r="F1098" s="225"/>
      <c r="G1098" s="225"/>
      <c r="H1098" s="201"/>
      <c r="I1098" s="226"/>
      <c r="J1098" s="285" t="s">
        <v>488</v>
      </c>
      <c r="K1098" s="285"/>
      <c r="L1098" s="285"/>
      <c r="M1098" s="226"/>
      <c r="N1098" s="226"/>
      <c r="P1098" s="230">
        <f t="shared" si="492"/>
        <v>0</v>
      </c>
    </row>
    <row r="1099" spans="1:16" x14ac:dyDescent="0.2">
      <c r="B1099" s="225"/>
      <c r="C1099" s="225"/>
      <c r="D1099" s="225"/>
      <c r="E1099" s="225"/>
      <c r="F1099" s="225"/>
      <c r="G1099" s="225"/>
      <c r="H1099" s="201"/>
      <c r="I1099" s="226"/>
      <c r="J1099" s="226"/>
      <c r="K1099" s="226"/>
      <c r="L1099" s="226"/>
      <c r="M1099" s="226"/>
      <c r="N1099" s="226"/>
      <c r="P1099" s="230">
        <f t="shared" si="492"/>
        <v>0</v>
      </c>
    </row>
    <row r="1100" spans="1:16" x14ac:dyDescent="0.2">
      <c r="B1100" s="264" t="s">
        <v>489</v>
      </c>
      <c r="C1100" s="225"/>
      <c r="D1100" s="225"/>
      <c r="E1100" s="225"/>
      <c r="F1100" s="225"/>
      <c r="G1100" s="225"/>
      <c r="H1100" s="201"/>
      <c r="I1100" s="226"/>
      <c r="J1100" s="226" t="s">
        <v>489</v>
      </c>
      <c r="K1100" s="226"/>
      <c r="L1100" s="226"/>
      <c r="M1100" s="226"/>
      <c r="N1100" s="226"/>
      <c r="P1100" s="230">
        <f t="shared" si="492"/>
        <v>0</v>
      </c>
    </row>
    <row r="1101" spans="1:16" x14ac:dyDescent="0.2">
      <c r="A1101" s="272"/>
      <c r="B1101" s="225"/>
      <c r="C1101" s="225"/>
      <c r="D1101" s="225"/>
      <c r="E1101" s="225"/>
      <c r="F1101" s="225"/>
      <c r="G1101" s="225"/>
      <c r="H1101" s="201"/>
      <c r="I1101" s="226"/>
      <c r="J1101" s="226"/>
      <c r="K1101" s="226"/>
      <c r="M1101" s="226"/>
      <c r="N1101" s="228"/>
    </row>
    <row r="1102" spans="1:16" x14ac:dyDescent="0.2">
      <c r="A1102" s="260"/>
      <c r="B1102" s="225"/>
      <c r="C1102" s="225"/>
      <c r="D1102" s="225"/>
      <c r="E1102" s="225"/>
      <c r="F1102" s="225"/>
      <c r="G1102" s="225"/>
      <c r="H1102" s="201"/>
      <c r="I1102" s="226"/>
      <c r="J1102" s="226"/>
      <c r="K1102" s="226"/>
      <c r="M1102" s="226"/>
      <c r="N1102" s="228" t="s">
        <v>455</v>
      </c>
      <c r="P1102" s="230">
        <f t="shared" ref="P1102:P1119" si="493">IF(A1102&gt;0,1,0)</f>
        <v>0</v>
      </c>
    </row>
    <row r="1103" spans="1:16" x14ac:dyDescent="0.2">
      <c r="B1103" s="225"/>
      <c r="C1103" s="225"/>
      <c r="D1103" s="225"/>
      <c r="E1103" s="225"/>
      <c r="F1103" s="225"/>
      <c r="G1103" s="225"/>
      <c r="H1103" s="201"/>
      <c r="I1103" s="226"/>
      <c r="J1103" s="226"/>
      <c r="K1103" s="226"/>
      <c r="M1103" s="226"/>
      <c r="N1103" s="228" t="s">
        <v>456</v>
      </c>
      <c r="P1103" s="230">
        <f t="shared" si="493"/>
        <v>0</v>
      </c>
    </row>
    <row r="1104" spans="1:16" x14ac:dyDescent="0.2">
      <c r="B1104" s="225"/>
      <c r="C1104" s="225"/>
      <c r="D1104" s="225"/>
      <c r="E1104" s="225"/>
      <c r="F1104" s="225"/>
      <c r="G1104" s="225"/>
      <c r="H1104" s="201"/>
      <c r="I1104" s="226"/>
      <c r="J1104" s="226"/>
      <c r="K1104" s="226"/>
      <c r="M1104" s="226"/>
      <c r="N1104" s="228" t="s">
        <v>457</v>
      </c>
      <c r="P1104" s="230">
        <f t="shared" si="493"/>
        <v>0</v>
      </c>
    </row>
    <row r="1105" spans="1:18" x14ac:dyDescent="0.2">
      <c r="B1105" s="225"/>
      <c r="C1105" s="225"/>
      <c r="D1105" s="225"/>
      <c r="E1105" s="225"/>
      <c r="F1105" s="225"/>
      <c r="G1105" s="225"/>
      <c r="H1105" s="201"/>
      <c r="I1105" s="226"/>
      <c r="J1105" s="226"/>
      <c r="K1105" s="226"/>
      <c r="L1105" s="226"/>
      <c r="M1105" s="226"/>
      <c r="N1105" s="226"/>
      <c r="P1105" s="230">
        <f t="shared" si="493"/>
        <v>0</v>
      </c>
    </row>
    <row r="1106" spans="1:18" x14ac:dyDescent="0.2">
      <c r="B1106" s="225"/>
      <c r="C1106" s="286" t="s">
        <v>458</v>
      </c>
      <c r="D1106" s="286"/>
      <c r="E1106" s="286"/>
      <c r="F1106" s="286"/>
      <c r="G1106" s="286"/>
      <c r="H1106" s="286"/>
      <c r="I1106" s="286"/>
      <c r="J1106" s="286"/>
      <c r="K1106" s="286"/>
      <c r="L1106" s="286"/>
      <c r="M1106" s="226"/>
      <c r="N1106" s="226"/>
      <c r="P1106" s="230">
        <f t="shared" si="493"/>
        <v>0</v>
      </c>
    </row>
    <row r="1107" spans="1:18" x14ac:dyDescent="0.2">
      <c r="B1107" s="225"/>
      <c r="C1107" s="286" t="s">
        <v>459</v>
      </c>
      <c r="D1107" s="286"/>
      <c r="E1107" s="286"/>
      <c r="F1107" s="286"/>
      <c r="G1107" s="286"/>
      <c r="H1107" s="286"/>
      <c r="I1107" s="286"/>
      <c r="J1107" s="286"/>
      <c r="K1107" s="286"/>
      <c r="L1107" s="286"/>
      <c r="M1107" s="226"/>
      <c r="N1107" s="226"/>
      <c r="P1107" s="230">
        <f t="shared" si="493"/>
        <v>0</v>
      </c>
    </row>
    <row r="1108" spans="1:18" x14ac:dyDescent="0.2">
      <c r="B1108" s="225" t="s">
        <v>460</v>
      </c>
      <c r="C1108" s="234"/>
      <c r="D1108" s="234"/>
      <c r="E1108" s="234"/>
      <c r="F1108" s="234"/>
      <c r="G1108" s="234"/>
      <c r="H1108" s="234"/>
      <c r="I1108" s="235"/>
      <c r="J1108" s="235"/>
      <c r="K1108" s="235"/>
      <c r="L1108" s="287" t="s">
        <v>461</v>
      </c>
      <c r="M1108" s="287"/>
      <c r="N1108" s="287"/>
      <c r="P1108" s="230">
        <f t="shared" si="493"/>
        <v>0</v>
      </c>
    </row>
    <row r="1109" spans="1:18" x14ac:dyDescent="0.2">
      <c r="B1109" s="225"/>
      <c r="C1109" s="234"/>
      <c r="D1109" s="234"/>
      <c r="E1109" s="234"/>
      <c r="F1109" s="234"/>
      <c r="G1109" s="234"/>
      <c r="H1109" s="234"/>
      <c r="I1109" s="235"/>
      <c r="J1109" s="235"/>
      <c r="K1109" s="235"/>
      <c r="L1109" s="235"/>
      <c r="M1109" s="235"/>
      <c r="N1109" s="235"/>
      <c r="P1109" s="230">
        <f t="shared" si="493"/>
        <v>0</v>
      </c>
    </row>
    <row r="1110" spans="1:18" x14ac:dyDescent="0.2">
      <c r="B1110" s="225" t="s">
        <v>2038</v>
      </c>
      <c r="C1110" s="234"/>
      <c r="D1110" s="234"/>
      <c r="E1110" s="234"/>
      <c r="F1110" s="234"/>
      <c r="G1110" s="234"/>
      <c r="H1110" s="234"/>
      <c r="I1110" s="235"/>
      <c r="J1110" s="235"/>
      <c r="K1110" s="235"/>
      <c r="L1110" s="235"/>
      <c r="M1110" s="235"/>
      <c r="N1110" s="235"/>
      <c r="P1110" s="230">
        <f t="shared" si="493"/>
        <v>0</v>
      </c>
    </row>
    <row r="1111" spans="1:18" x14ac:dyDescent="0.2">
      <c r="B1111" s="225" t="s">
        <v>462</v>
      </c>
      <c r="C1111" s="234"/>
      <c r="D1111" s="234"/>
      <c r="E1111" s="234"/>
      <c r="F1111" s="234"/>
      <c r="G1111" s="234"/>
      <c r="H1111" s="234"/>
      <c r="I1111" s="235"/>
      <c r="J1111" s="235"/>
      <c r="K1111" s="235"/>
      <c r="L1111" s="235"/>
      <c r="M1111" s="235"/>
      <c r="N1111" s="235"/>
      <c r="P1111" s="230">
        <f t="shared" si="493"/>
        <v>0</v>
      </c>
    </row>
    <row r="1112" spans="1:18" x14ac:dyDescent="0.2">
      <c r="B1112" s="225" t="s">
        <v>2037</v>
      </c>
      <c r="C1112" s="234"/>
      <c r="D1112" s="234"/>
      <c r="E1112" s="234"/>
      <c r="F1112" s="234"/>
      <c r="G1112" s="234"/>
      <c r="H1112" s="234"/>
      <c r="I1112" s="235"/>
      <c r="J1112" s="235"/>
      <c r="K1112" s="235"/>
      <c r="L1112" s="235"/>
      <c r="M1112" s="235"/>
      <c r="N1112" s="235"/>
      <c r="P1112" s="230">
        <f t="shared" si="493"/>
        <v>0</v>
      </c>
    </row>
    <row r="1113" spans="1:18" x14ac:dyDescent="0.2">
      <c r="B1113" s="225" t="s">
        <v>2052</v>
      </c>
      <c r="C1113" s="234"/>
      <c r="D1113" s="234"/>
      <c r="E1113" s="234"/>
      <c r="F1113" s="234"/>
      <c r="G1113" s="234"/>
      <c r="H1113" s="234"/>
      <c r="I1113" s="235"/>
      <c r="J1113" s="235"/>
      <c r="K1113" s="235"/>
      <c r="L1113" s="235"/>
      <c r="M1113" s="235"/>
      <c r="N1113" s="235"/>
      <c r="P1113" s="230">
        <f t="shared" si="493"/>
        <v>0</v>
      </c>
    </row>
    <row r="1114" spans="1:18" x14ac:dyDescent="0.2">
      <c r="B1114" s="225"/>
      <c r="C1114" s="225"/>
      <c r="D1114" s="225"/>
      <c r="E1114" s="225"/>
      <c r="F1114" s="225"/>
      <c r="G1114" s="225"/>
      <c r="H1114" s="201"/>
      <c r="I1114" s="226"/>
      <c r="J1114" s="226"/>
      <c r="K1114" s="226"/>
      <c r="L1114" s="226"/>
      <c r="M1114" s="226"/>
      <c r="N1114" s="226"/>
      <c r="P1114" s="230">
        <f t="shared" si="493"/>
        <v>0</v>
      </c>
    </row>
    <row r="1115" spans="1:18" x14ac:dyDescent="0.2">
      <c r="B1115" s="288" t="s">
        <v>106</v>
      </c>
      <c r="C1115" s="290" t="s">
        <v>463</v>
      </c>
      <c r="D1115" s="288" t="s">
        <v>464</v>
      </c>
      <c r="E1115" s="288" t="s">
        <v>465</v>
      </c>
      <c r="F1115" s="288" t="s">
        <v>490</v>
      </c>
      <c r="G1115" s="288" t="s">
        <v>466</v>
      </c>
      <c r="H1115" s="292" t="s">
        <v>8</v>
      </c>
      <c r="I1115" s="294" t="s">
        <v>467</v>
      </c>
      <c r="J1115" s="295"/>
      <c r="K1115" s="295"/>
      <c r="L1115" s="296"/>
      <c r="M1115" s="297" t="s">
        <v>468</v>
      </c>
      <c r="N1115" s="299" t="s">
        <v>469</v>
      </c>
      <c r="P1115" s="230">
        <f t="shared" si="493"/>
        <v>0</v>
      </c>
    </row>
    <row r="1116" spans="1:18" x14ac:dyDescent="0.2">
      <c r="B1116" s="289"/>
      <c r="C1116" s="291"/>
      <c r="D1116" s="289"/>
      <c r="E1116" s="289"/>
      <c r="F1116" s="289"/>
      <c r="G1116" s="289"/>
      <c r="H1116" s="293"/>
      <c r="I1116" s="236" t="s">
        <v>470</v>
      </c>
      <c r="J1116" s="236" t="s">
        <v>471</v>
      </c>
      <c r="K1116" s="236" t="s">
        <v>472</v>
      </c>
      <c r="L1116" s="236" t="s">
        <v>473</v>
      </c>
      <c r="M1116" s="298"/>
      <c r="N1116" s="300"/>
      <c r="P1116" s="230">
        <f t="shared" si="493"/>
        <v>0</v>
      </c>
    </row>
    <row r="1117" spans="1:18" x14ac:dyDescent="0.2">
      <c r="A1117" s="224" t="str">
        <f>CONCATENATE("Лот"," ",A1118)</f>
        <v>Лот 21</v>
      </c>
      <c r="B1117" s="273" t="s">
        <v>2087</v>
      </c>
      <c r="C1117" s="274"/>
      <c r="D1117" s="274"/>
      <c r="E1117" s="274"/>
      <c r="F1117" s="274"/>
      <c r="G1117" s="275"/>
      <c r="H1117" s="238" t="s">
        <v>17</v>
      </c>
      <c r="I1117" s="270">
        <f ca="1">ROUND(VLOOKUP($H1117,$AJ$4:$AN$13,2,0)*$Q1119*1.51,2)</f>
        <v>120.15</v>
      </c>
      <c r="J1117" s="270">
        <f ca="1">ROUND(VLOOKUP($H1117,$AJ$4:$AN$13,3,0)*$Q1119*1.51,2)</f>
        <v>85.62</v>
      </c>
      <c r="K1117" s="270">
        <f ca="1">ROUND(VLOOKUP($H1117,$AJ$4:$AN$13,4,0)*$Q1119*1.51,2)</f>
        <v>43.38</v>
      </c>
      <c r="L1117" s="270"/>
      <c r="M1117" s="270">
        <f ca="1">ROUND(VLOOKUP($H1117,$AJ$4:$AN$13,5,0)*$Q1119*1.51,2)</f>
        <v>6.85</v>
      </c>
      <c r="N1117" s="270"/>
      <c r="P1117" s="230">
        <f t="shared" si="493"/>
        <v>1</v>
      </c>
    </row>
    <row r="1118" spans="1:18" x14ac:dyDescent="0.2">
      <c r="A1118" s="224">
        <f>A1063+1</f>
        <v>21</v>
      </c>
      <c r="B1118" s="276"/>
      <c r="C1118" s="277"/>
      <c r="D1118" s="277"/>
      <c r="E1118" s="277"/>
      <c r="F1118" s="277"/>
      <c r="G1118" s="278"/>
      <c r="H1118" s="238" t="s">
        <v>25</v>
      </c>
      <c r="I1118" s="270">
        <f ca="1">ROUND(VLOOKUP($H1118,$AJ$4:$AN$13,2,0)*$Q1119*1.51,2)</f>
        <v>898.69</v>
      </c>
      <c r="J1118" s="270">
        <f ca="1">ROUND(VLOOKUP($H1118,$AJ$4:$AN$13,3,0)*$Q1119*1.51,2)</f>
        <v>642.13</v>
      </c>
      <c r="K1118" s="270">
        <f ca="1">ROUND(VLOOKUP($H1118,$AJ$4:$AN$13,4,0)*$Q1119*1.51,2)</f>
        <v>323.06</v>
      </c>
      <c r="L1118" s="270"/>
      <c r="M1118" s="270">
        <f ca="1">ROUND(VLOOKUP($H1118,$AJ$4:$AN$13,5,0)*$Q1119*1.51,2)</f>
        <v>27.97</v>
      </c>
      <c r="N1118" s="270"/>
      <c r="P1118" s="230">
        <f t="shared" si="493"/>
        <v>1</v>
      </c>
      <c r="Q1118" s="240" t="s">
        <v>2045</v>
      </c>
      <c r="R1118" s="240" t="s">
        <v>2046</v>
      </c>
    </row>
    <row r="1119" spans="1:18" x14ac:dyDescent="0.2">
      <c r="B1119" s="276"/>
      <c r="C1119" s="277"/>
      <c r="D1119" s="277"/>
      <c r="E1119" s="277"/>
      <c r="F1119" s="277"/>
      <c r="G1119" s="278"/>
      <c r="H1119" s="238" t="s">
        <v>19</v>
      </c>
      <c r="I1119" s="270">
        <f ca="1">ROUND(VLOOKUP($H1119,$AJ$4:$AN$13,2,0)*$Q1119*1.51,2)</f>
        <v>71.349999999999994</v>
      </c>
      <c r="J1119" s="270">
        <f ca="1">ROUND(VLOOKUP($H1119,$AJ$4:$AN$13,3,0)*$Q1119*1.51,2)</f>
        <v>51.94</v>
      </c>
      <c r="K1119" s="270">
        <f ca="1">ROUND(VLOOKUP($H1119,$AJ$4:$AN$13,4,0)*$Q1119*1.51,2)</f>
        <v>26.54</v>
      </c>
      <c r="L1119" s="270"/>
      <c r="M1119" s="270">
        <f ca="1">ROUND(VLOOKUP($H1119,$AJ$4:$AN$13,5,0)*$Q1119*1.51,2)</f>
        <v>1.43</v>
      </c>
      <c r="N1119" s="270"/>
      <c r="P1119" s="230">
        <f t="shared" si="493"/>
        <v>0</v>
      </c>
      <c r="Q1119" s="123">
        <f ca="1">IFERROR(IF(R1119="","",IF(OR(R1119&lt;100,R1119=100),0.9,IF(OR(AND(R1119&gt;100,R1119&lt;150),R1119=150),1,IF(R1119&gt;150,1.05,"")))),"0")</f>
        <v>1.05</v>
      </c>
      <c r="R1119" s="123">
        <f ca="1">N1135/G1123</f>
        <v>174.7428571428571</v>
      </c>
    </row>
    <row r="1120" spans="1:18" x14ac:dyDescent="0.2">
      <c r="B1120" s="276"/>
      <c r="C1120" s="277"/>
      <c r="D1120" s="277"/>
      <c r="E1120" s="277"/>
      <c r="F1120" s="277"/>
      <c r="G1120" s="278"/>
      <c r="H1120" s="238" t="s">
        <v>268</v>
      </c>
      <c r="I1120" s="270">
        <f ca="1">ROUND(VLOOKUP($H1120,$AJ$4:$AN$13,2,0)*$Q1119*1.51,2)</f>
        <v>898.69</v>
      </c>
      <c r="J1120" s="270">
        <f ca="1">ROUND(VLOOKUP($H1120,$AJ$4:$AN$13,3,0)*$Q1119*1.51,2)</f>
        <v>642.13</v>
      </c>
      <c r="K1120" s="270">
        <f ca="1">ROUND(VLOOKUP($H1120,$AJ$4:$AN$13,4,0)*$Q1119*1.51,2)</f>
        <v>323.06</v>
      </c>
      <c r="L1120" s="270"/>
      <c r="M1120" s="270">
        <f ca="1">ROUND(VLOOKUP($H1120,$AJ$4:$AN$13,5,0)*$Q1119*1.51,2)</f>
        <v>27.97</v>
      </c>
      <c r="N1120" s="270"/>
    </row>
    <row r="1121" spans="1:43" x14ac:dyDescent="0.2">
      <c r="B1121" s="276"/>
      <c r="C1121" s="277"/>
      <c r="D1121" s="277"/>
      <c r="E1121" s="277"/>
      <c r="F1121" s="277"/>
      <c r="G1121" s="278"/>
      <c r="H1121" s="238" t="s">
        <v>40</v>
      </c>
      <c r="I1121" s="270">
        <f ca="1">ROUND(VLOOKUP($H1121,$AJ$4:$AN$13,2,0)*$Q1119*1.51,2)</f>
        <v>71.349999999999994</v>
      </c>
      <c r="J1121" s="270">
        <f ca="1">ROUND(VLOOKUP($H1121,$AJ$4:$AN$13,3,0)*$Q1119*1.51,2)</f>
        <v>51.94</v>
      </c>
      <c r="K1121" s="270">
        <f ca="1">ROUND(VLOOKUP($H1121,$AJ$4:$AN$13,4,0)*$Q1119*1.51,2)</f>
        <v>26.54</v>
      </c>
      <c r="L1121" s="270"/>
      <c r="M1121" s="270">
        <f ca="1">ROUND(VLOOKUP($H1121,$AJ$4:$AN$13,5,0)*$Q1119*1.51,2)</f>
        <v>1.43</v>
      </c>
      <c r="N1121" s="270"/>
      <c r="P1121" s="230">
        <f t="shared" ref="P1121:P1134" si="494">IF(A1121&gt;0,1,0)</f>
        <v>0</v>
      </c>
    </row>
    <row r="1122" spans="1:43" x14ac:dyDescent="0.2">
      <c r="B1122" s="279"/>
      <c r="C1122" s="280"/>
      <c r="D1122" s="280"/>
      <c r="E1122" s="280"/>
      <c r="F1122" s="280"/>
      <c r="G1122" s="281"/>
      <c r="H1122" s="238" t="s">
        <v>18</v>
      </c>
      <c r="I1122" s="270">
        <f ca="1">ROUND(VLOOKUP($H1122,$AJ$4:$AN$13,2,0)*$Q1119*1.51,2)</f>
        <v>22.83</v>
      </c>
      <c r="J1122" s="270">
        <f ca="1">ROUND(VLOOKUP($H1122,$AJ$4:$AN$13,3,0)*$Q1119*1.51,2)</f>
        <v>17.41</v>
      </c>
      <c r="K1122" s="270">
        <f ca="1">ROUND(VLOOKUP($H1122,$AJ$4:$AN$13,4,0)*$Q1119*1.51,2)</f>
        <v>8.85</v>
      </c>
      <c r="L1122" s="270"/>
      <c r="M1122" s="270">
        <f ca="1">ROUND(VLOOKUP($H1122,$AJ$4:$AN$13,5,0)*$Q1119*1.51*1,2)</f>
        <v>0.56999999999999995</v>
      </c>
      <c r="N1122" s="270"/>
      <c r="P1122" s="230">
        <f t="shared" si="494"/>
        <v>0</v>
      </c>
      <c r="AP1122" s="241" t="s">
        <v>2053</v>
      </c>
      <c r="AQ1122" s="242"/>
    </row>
    <row r="1123" spans="1:43" x14ac:dyDescent="0.2">
      <c r="A1123" s="224">
        <f>A1068+37</f>
        <v>740</v>
      </c>
      <c r="B1123" s="243" t="str">
        <f ca="1">OFFSET(ЛОТЫ!$L$5,A1123,0,1,1)</f>
        <v>Мамыковское</v>
      </c>
      <c r="C1123" s="244" t="s">
        <v>474</v>
      </c>
      <c r="D1123" s="243">
        <f ca="1">OFFSET(ЛОТЫ!$M$5,A1123,0,1,1)</f>
        <v>25</v>
      </c>
      <c r="E1123" s="243">
        <f ca="1">OFFSET(ЛОТЫ!$N$5,A1123,0,1,1)</f>
        <v>2</v>
      </c>
      <c r="F1123" s="243">
        <f ca="1">OFFSET(ЛОТЫ!$O$5,A1123,0,1,1)</f>
        <v>1</v>
      </c>
      <c r="G1123" s="271">
        <f ca="1">IFERROR(INDEX('Ведомость расчета мин. платы'!$G$10:$AC$214,MATCH(CONCATENATE(B1123,"/",D1123,"/",E1123,"/",F1123),'Ведомость расчета мин. платы'!$AC$10:$AC$214,0),1),"")</f>
        <v>3.5</v>
      </c>
      <c r="H1123" s="246" t="s">
        <v>17</v>
      </c>
      <c r="I1123" s="247" t="str">
        <f ca="1">IFERROR(INDEX('Ведомость расчета мин. платы'!$J$10:$AE$214,MATCH(CONCATENATE(РАСЧЕТ!B1123,"/",РАСЧЕТ!D1123,"/",РАСЧЕТ!E1123,"/",F1123,"/",H1123),'Ведомость расчета мин. платы'!$AE$10:$AE$214,0),2),"")</f>
        <v/>
      </c>
      <c r="J1123" s="247" t="str">
        <f ca="1">IFERROR(INDEX('Ведомость расчета мин. платы'!$J$10:$AE$214,MATCH(CONCATENATE(РАСЧЕТ!B1123,"/",РАСЧЕТ!D1123,"/",РАСЧЕТ!E1123,"/",F1123,"/",H1123),'Ведомость расчета мин. платы'!$AE$10:$AE$214,0),3),"")</f>
        <v/>
      </c>
      <c r="K1123" s="247" t="str">
        <f ca="1">IFERROR(INDEX('Ведомость расчета мин. платы'!$J$10:$AE$214,MATCH(CONCATENATE(РАСЧЕТ!B1123,"/",РАСЧЕТ!D1123,"/",РАСЧЕТ!E1123,"/",F1123,"/",H1123),'Ведомость расчета мин. платы'!$AE$10:$AE$214,0),4),"")</f>
        <v/>
      </c>
      <c r="L1123" s="248">
        <f t="shared" ref="L1123:L1135" ca="1" si="495">IFERROR(SUM(I1123:K1123),"")</f>
        <v>0</v>
      </c>
      <c r="M1123" s="214" t="str">
        <f ca="1">IFERROR(INDEX('Ведомость расчета мин. платы'!$J$10:$AE$214,MATCH(CONCATENATE(РАСЧЕТ!B1123,"/",РАСЧЕТ!D1123,"/",РАСЧЕТ!E1123,"/",F1123,"/",H1123),'Ведомость расчета мин. платы'!$AE$10:$AE$214,0),6),"")</f>
        <v/>
      </c>
      <c r="N1123" s="214">
        <f t="shared" ref="N1123:N1135" ca="1" si="496">IFERROR(SUM(L1123:M1123),"")</f>
        <v>0</v>
      </c>
      <c r="O1123" s="229">
        <f>IF(H1123="стоимость","",1)</f>
        <v>1</v>
      </c>
      <c r="P1123" s="230">
        <f t="shared" si="494"/>
        <v>1</v>
      </c>
      <c r="AP1123" s="242"/>
      <c r="AQ1123" s="242"/>
    </row>
    <row r="1124" spans="1:43" x14ac:dyDescent="0.2">
      <c r="B1124" s="249"/>
      <c r="C1124" s="249"/>
      <c r="D1124" s="249"/>
      <c r="E1124" s="249"/>
      <c r="F1124" s="249"/>
      <c r="G1124" s="249"/>
      <c r="H1124" s="250" t="s">
        <v>475</v>
      </c>
      <c r="I1124" s="251" t="str">
        <f ca="1">IFERROR(ROUND(I1123*I1117,2),"")</f>
        <v/>
      </c>
      <c r="J1124" s="251" t="str">
        <f t="shared" ref="J1124" ca="1" si="497">IFERROR(ROUND(J1123*J1117,2),"")</f>
        <v/>
      </c>
      <c r="K1124" s="251" t="str">
        <f t="shared" ref="K1124" ca="1" si="498">IFERROR(ROUND(K1123*K1117,2),"")</f>
        <v/>
      </c>
      <c r="L1124" s="251">
        <f t="shared" ca="1" si="495"/>
        <v>0</v>
      </c>
      <c r="M1124" s="251" t="str">
        <f t="shared" ref="M1124" ca="1" si="499">IFERROR(ROUND(M1123*M1117,2),"")</f>
        <v/>
      </c>
      <c r="N1124" s="252">
        <f t="shared" ca="1" si="496"/>
        <v>0</v>
      </c>
      <c r="O1124" s="229" t="str">
        <f t="shared" ref="O1124:O1134" si="500">IF(H1124="стоимость","",1)</f>
        <v/>
      </c>
      <c r="P1124" s="230">
        <f t="shared" si="494"/>
        <v>0</v>
      </c>
      <c r="AP1124" s="242">
        <f ca="1">SUMIFS('Ведомость расчета мин. платы'!$S$10:$S$209,'Ведомость расчета мин. платы'!$AE$10:$AE$209,CONCATENATE(B1123,"/",D1123,"/",E1123,"/",F1123,"/",H1123))</f>
        <v>0</v>
      </c>
      <c r="AQ1124" s="253">
        <f t="shared" ref="AQ1124" ca="1" si="501">AP1124-N1124</f>
        <v>0</v>
      </c>
    </row>
    <row r="1125" spans="1:43" x14ac:dyDescent="0.2">
      <c r="B1125" s="249"/>
      <c r="C1125" s="249"/>
      <c r="D1125" s="249"/>
      <c r="E1125" s="249"/>
      <c r="F1125" s="249"/>
      <c r="G1125" s="249"/>
      <c r="H1125" s="246" t="s">
        <v>25</v>
      </c>
      <c r="I1125" s="247" t="str">
        <f ca="1">IFERROR(INDEX('Ведомость расчета мин. платы'!$J$10:$AE$214,MATCH(CONCATENATE(РАСЧЕТ!B1123,"/",РАСЧЕТ!D1123,"/",РАСЧЕТ!E1123,"/",F1123,"/",H1125),'Ведомость расчета мин. платы'!$AE$10:$AE$214,0),2),"")</f>
        <v/>
      </c>
      <c r="J1125" s="247" t="str">
        <f ca="1">IFERROR(INDEX('Ведомость расчета мин. платы'!$J$10:$AE$214,MATCH(CONCATENATE(РАСЧЕТ!B1123,"/",РАСЧЕТ!D1123,"/",РАСЧЕТ!E1123,"/",F1123,"/",H1125),'Ведомость расчета мин. платы'!$AE$10:$AE$214,0),3),"")</f>
        <v/>
      </c>
      <c r="K1125" s="247" t="str">
        <f ca="1">IFERROR(INDEX('Ведомость расчета мин. платы'!$J$10:$AE$214,MATCH(CONCATENATE(РАСЧЕТ!B1123,"/",РАСЧЕТ!D1123,"/",РАСЧЕТ!E1123,"/",F1123,"/",H1125),'Ведомость расчета мин. платы'!$AE$10:$AE$214,0),4),"")</f>
        <v/>
      </c>
      <c r="L1125" s="248">
        <f t="shared" ca="1" si="495"/>
        <v>0</v>
      </c>
      <c r="M1125" s="214" t="str">
        <f ca="1">IFERROR(INDEX('Ведомость расчета мин. платы'!$J$10:$AE$214,MATCH(CONCATENATE(РАСЧЕТ!B1123,"/",РАСЧЕТ!D1123,"/",РАСЧЕТ!E1123,"/",F1123,"/",H1125),'Ведомость расчета мин. платы'!$AE$10:$AE$214,0),6),"")</f>
        <v/>
      </c>
      <c r="N1125" s="214">
        <f t="shared" ca="1" si="496"/>
        <v>0</v>
      </c>
      <c r="O1125" s="229">
        <f t="shared" si="500"/>
        <v>1</v>
      </c>
      <c r="P1125" s="230">
        <f t="shared" si="494"/>
        <v>0</v>
      </c>
      <c r="AP1125" s="242"/>
      <c r="AQ1125" s="253"/>
    </row>
    <row r="1126" spans="1:43" x14ac:dyDescent="0.2">
      <c r="B1126" s="249"/>
      <c r="C1126" s="249"/>
      <c r="D1126" s="249"/>
      <c r="E1126" s="249"/>
      <c r="F1126" s="249"/>
      <c r="G1126" s="249"/>
      <c r="H1126" s="250" t="s">
        <v>475</v>
      </c>
      <c r="I1126" s="251" t="str">
        <f ca="1">IFERROR(ROUND(I1125*I1118,2),"")</f>
        <v/>
      </c>
      <c r="J1126" s="251" t="str">
        <f t="shared" ref="J1126" ca="1" si="502">IFERROR(ROUND(J1125*J1118,2),"")</f>
        <v/>
      </c>
      <c r="K1126" s="251" t="str">
        <f t="shared" ref="K1126" ca="1" si="503">IFERROR(ROUND(K1125*K1118,2),"")</f>
        <v/>
      </c>
      <c r="L1126" s="251">
        <f t="shared" ca="1" si="495"/>
        <v>0</v>
      </c>
      <c r="M1126" s="251" t="str">
        <f t="shared" ref="M1126" ca="1" si="504">IFERROR(ROUND(M1125*M1118,2),"")</f>
        <v/>
      </c>
      <c r="N1126" s="252">
        <f t="shared" ca="1" si="496"/>
        <v>0</v>
      </c>
      <c r="O1126" s="229" t="str">
        <f t="shared" si="500"/>
        <v/>
      </c>
      <c r="P1126" s="230">
        <f t="shared" si="494"/>
        <v>0</v>
      </c>
      <c r="AP1126" s="242">
        <f ca="1">SUMIFS('Ведомость расчета мин. платы'!$S$10:$S$209,'Ведомость расчета мин. платы'!$AE$10:$AE$209,CONCATENATE(B1123,"/",D1123,"/",E1123,"/",F1123,"/",H1125))</f>
        <v>0</v>
      </c>
      <c r="AQ1126" s="253">
        <f t="shared" ref="AQ1126" ca="1" si="505">AP1126-N1126</f>
        <v>0</v>
      </c>
    </row>
    <row r="1127" spans="1:43" x14ac:dyDescent="0.2">
      <c r="B1127" s="249"/>
      <c r="C1127" s="249"/>
      <c r="D1127" s="249"/>
      <c r="E1127" s="249"/>
      <c r="F1127" s="249"/>
      <c r="G1127" s="249"/>
      <c r="H1127" s="205" t="s">
        <v>19</v>
      </c>
      <c r="I1127" s="248" t="str">
        <f ca="1">IFERROR(INDEX('Ведомость расчета мин. платы'!$J$10:$AE$214,MATCH(CONCATENATE(РАСЧЕТ!B1123,"/",РАСЧЕТ!D1123,"/",РАСЧЕТ!E1123,"/",F1123,"/",H1127),'Ведомость расчета мин. платы'!$AE$10:$AE$214,0),2),"")</f>
        <v/>
      </c>
      <c r="J1127" s="248" t="str">
        <f ca="1">IFERROR(INDEX('Ведомость расчета мин. платы'!$J$10:$AE$214,MATCH(CONCATENATE(РАСЧЕТ!B1123,"/",РАСЧЕТ!D1123,"/",РАСЧЕТ!E1123,"/",F1123,"/",H1127),'Ведомость расчета мин. платы'!$AE$10:$AE$214,0),3),"")</f>
        <v/>
      </c>
      <c r="K1127" s="248" t="str">
        <f ca="1">IFERROR(INDEX('Ведомость расчета мин. платы'!$J$10:$AE$214,MATCH(CONCATENATE(РАСЧЕТ!B1123,"/",РАСЧЕТ!D1123,"/",РАСЧЕТ!E1123,"/",F1123,"/",H1127),'Ведомость расчета мин. платы'!$AE$10:$AE$214,0),4),"")</f>
        <v/>
      </c>
      <c r="L1127" s="248">
        <f t="shared" ca="1" si="495"/>
        <v>0</v>
      </c>
      <c r="M1127" s="248" t="str">
        <f ca="1">IFERROR(INDEX('Ведомость расчета мин. платы'!$J$10:$AE$214,MATCH(CONCATENATE(РАСЧЕТ!B1123,"/",РАСЧЕТ!D1123,"/",РАСЧЕТ!E1123,"/",F1123,"/",H1127),'Ведомость расчета мин. платы'!$AE$10:$AE$214,0),6),"")</f>
        <v/>
      </c>
      <c r="N1127" s="214">
        <f t="shared" ca="1" si="496"/>
        <v>0</v>
      </c>
      <c r="O1127" s="229">
        <f t="shared" si="500"/>
        <v>1</v>
      </c>
      <c r="P1127" s="230">
        <f t="shared" si="494"/>
        <v>0</v>
      </c>
      <c r="AP1127" s="242"/>
      <c r="AQ1127" s="253"/>
    </row>
    <row r="1128" spans="1:43" x14ac:dyDescent="0.2">
      <c r="B1128" s="249"/>
      <c r="C1128" s="249"/>
      <c r="D1128" s="249"/>
      <c r="E1128" s="249"/>
      <c r="F1128" s="249"/>
      <c r="G1128" s="249"/>
      <c r="H1128" s="250" t="s">
        <v>475</v>
      </c>
      <c r="I1128" s="251" t="str">
        <f ca="1">IFERROR(ROUND(I1127*I1119,2),"")</f>
        <v/>
      </c>
      <c r="J1128" s="251" t="str">
        <f t="shared" ref="J1128" ca="1" si="506">IFERROR(ROUND(J1127*J1119,2),"")</f>
        <v/>
      </c>
      <c r="K1128" s="251" t="str">
        <f t="shared" ref="K1128" ca="1" si="507">IFERROR(ROUND(K1127*K1119,2),"")</f>
        <v/>
      </c>
      <c r="L1128" s="251">
        <f t="shared" ca="1" si="495"/>
        <v>0</v>
      </c>
      <c r="M1128" s="251" t="str">
        <f t="shared" ref="M1128" ca="1" si="508">IFERROR(ROUND(M1127*M1119,2),"")</f>
        <v/>
      </c>
      <c r="N1128" s="252">
        <f t="shared" ca="1" si="496"/>
        <v>0</v>
      </c>
      <c r="O1128" s="229" t="str">
        <f t="shared" si="500"/>
        <v/>
      </c>
      <c r="P1128" s="230">
        <f t="shared" si="494"/>
        <v>0</v>
      </c>
      <c r="AP1128" s="242">
        <f ca="1">SUMIFS('Ведомость расчета мин. платы'!$S$10:$S$209,'Ведомость расчета мин. платы'!$AE$10:$AE$209,CONCATENATE(B1123,"/",D1123,"/",E1123,"/",F1123,"/",H1127))</f>
        <v>0</v>
      </c>
      <c r="AQ1128" s="253">
        <f t="shared" ref="AQ1128" ca="1" si="509">AP1128-N1128</f>
        <v>0</v>
      </c>
    </row>
    <row r="1129" spans="1:43" x14ac:dyDescent="0.2">
      <c r="B1129" s="249"/>
      <c r="C1129" s="249"/>
      <c r="D1129" s="249"/>
      <c r="E1129" s="249"/>
      <c r="F1129" s="249"/>
      <c r="G1129" s="249"/>
      <c r="H1129" s="205" t="s">
        <v>268</v>
      </c>
      <c r="I1129" s="248" t="str">
        <f ca="1">IFERROR(INDEX('Ведомость расчета мин. платы'!$J$10:$AE$214,MATCH(CONCATENATE(РАСЧЕТ!B1123,"/",РАСЧЕТ!D1123,"/",РАСЧЕТ!E1123,"/",F1123,"/",H1129),'Ведомость расчета мин. платы'!$AE$10:$AE$214,0),2),"")</f>
        <v/>
      </c>
      <c r="J1129" s="248" t="str">
        <f ca="1">IFERROR(INDEX('Ведомость расчета мин. платы'!$J$10:$AE$214,MATCH(CONCATENATE(РАСЧЕТ!B1123,"/",РАСЧЕТ!D1123,"/",РАСЧЕТ!E1123,"/",F1123,"/",H1129),'Ведомость расчета мин. платы'!$AE$10:$AE$214,0),3),"")</f>
        <v/>
      </c>
      <c r="K1129" s="248" t="str">
        <f ca="1">IFERROR(INDEX('Ведомость расчета мин. платы'!$J$10:$AE$214,MATCH(CONCATENATE(РАСЧЕТ!B1123,"/",РАСЧЕТ!D1123,"/",РАСЧЕТ!E1123,"/",F1123,"/",H1129),'Ведомость расчета мин. платы'!$AE$10:$AE$214,0),4),"")</f>
        <v/>
      </c>
      <c r="L1129" s="248">
        <f t="shared" ca="1" si="495"/>
        <v>0</v>
      </c>
      <c r="M1129" s="248" t="str">
        <f ca="1">IFERROR(INDEX('Ведомость расчета мин. платы'!$J$10:$AE$214,MATCH(CONCATENATE(РАСЧЕТ!B1123,"/",РАСЧЕТ!D1123,"/",РАСЧЕТ!E1123,"/",F1123,"/",H1129),'Ведомость расчета мин. платы'!$AE$10:$AE$214,0),6),"")</f>
        <v/>
      </c>
      <c r="N1129" s="214">
        <f t="shared" ca="1" si="496"/>
        <v>0</v>
      </c>
      <c r="O1129" s="229">
        <f t="shared" si="500"/>
        <v>1</v>
      </c>
      <c r="P1129" s="230">
        <f t="shared" si="494"/>
        <v>0</v>
      </c>
      <c r="AP1129" s="242"/>
      <c r="AQ1129" s="253"/>
    </row>
    <row r="1130" spans="1:43" x14ac:dyDescent="0.2">
      <c r="B1130" s="249"/>
      <c r="C1130" s="249"/>
      <c r="D1130" s="249"/>
      <c r="E1130" s="249"/>
      <c r="F1130" s="249"/>
      <c r="G1130" s="249"/>
      <c r="H1130" s="250" t="s">
        <v>475</v>
      </c>
      <c r="I1130" s="251" t="str">
        <f ca="1">IFERROR(ROUND(I1129*I1122,2),"")</f>
        <v/>
      </c>
      <c r="J1130" s="251" t="str">
        <f ca="1">IFERROR(ROUND(J1129*J1120,2),"")</f>
        <v/>
      </c>
      <c r="K1130" s="251" t="str">
        <f ca="1">IFERROR(ROUND(K1129*K1120,2),"")</f>
        <v/>
      </c>
      <c r="L1130" s="251">
        <f t="shared" ca="1" si="495"/>
        <v>0</v>
      </c>
      <c r="M1130" s="251" t="str">
        <f ca="1">IFERROR(ROUND(M1129*M1120,2),"")</f>
        <v/>
      </c>
      <c r="N1130" s="252">
        <f t="shared" ca="1" si="496"/>
        <v>0</v>
      </c>
      <c r="O1130" s="229" t="str">
        <f t="shared" si="500"/>
        <v/>
      </c>
      <c r="P1130" s="230">
        <f t="shared" si="494"/>
        <v>0</v>
      </c>
      <c r="AP1130" s="242">
        <f ca="1">SUMIFS('Ведомость расчета мин. платы'!$S$10:$S$209,'Ведомость расчета мин. платы'!$AE$10:$AE$209,CONCATENATE(B1123,"/",D1123,"/",E1123,"/",F1123,"/",H1129))</f>
        <v>0</v>
      </c>
      <c r="AQ1130" s="253">
        <f t="shared" ref="AQ1130" ca="1" si="510">AP1130-N1130</f>
        <v>0</v>
      </c>
    </row>
    <row r="1131" spans="1:43" x14ac:dyDescent="0.2">
      <c r="B1131" s="249"/>
      <c r="C1131" s="249"/>
      <c r="D1131" s="249"/>
      <c r="E1131" s="249"/>
      <c r="F1131" s="249"/>
      <c r="G1131" s="249"/>
      <c r="H1131" s="205" t="s">
        <v>40</v>
      </c>
      <c r="I1131" s="248" t="str">
        <f ca="1">IFERROR(INDEX('Ведомость расчета мин. платы'!$J$10:$AE$214,MATCH(CONCATENATE(РАСЧЕТ!B1123,"/",РАСЧЕТ!D1123,"/",РАСЧЕТ!E1123,"/",F1123,"/",H1131),'Ведомость расчета мин. платы'!$AE$10:$AE$214,0),2),"")</f>
        <v/>
      </c>
      <c r="J1131" s="248" t="str">
        <f ca="1">IFERROR(INDEX('Ведомость расчета мин. платы'!$J$10:$AE$214,MATCH(CONCATENATE(РАСЧЕТ!B1123,"/",РАСЧЕТ!D1123,"/",РАСЧЕТ!E1123,"/",F1123,"/",H1131),'Ведомость расчета мин. платы'!$AE$10:$AE$214,0),3),"")</f>
        <v/>
      </c>
      <c r="K1131" s="248" t="str">
        <f ca="1">IFERROR(INDEX('Ведомость расчета мин. платы'!$J$10:$AE$214,MATCH(CONCATENATE(РАСЧЕТ!B1123,"/",РАСЧЕТ!D1123,"/",РАСЧЕТ!E1123,"/",F1123,"/",H1131),'Ведомость расчета мин. платы'!$AE$10:$AE$214,0),4),"")</f>
        <v/>
      </c>
      <c r="L1131" s="248">
        <f t="shared" ca="1" si="495"/>
        <v>0</v>
      </c>
      <c r="M1131" s="248" t="str">
        <f ca="1">IFERROR(INDEX('Ведомость расчета мин. платы'!$J$10:$AE$214,MATCH(CONCATENATE(РАСЧЕТ!B1123,"/",РАСЧЕТ!D1123,"/",РАСЧЕТ!E1123,"/",F1123,"/",H1131),'Ведомость расчета мин. платы'!$AE$10:$AE$214,0),6),"")</f>
        <v/>
      </c>
      <c r="N1131" s="214">
        <f t="shared" ca="1" si="496"/>
        <v>0</v>
      </c>
      <c r="O1131" s="229">
        <f t="shared" si="500"/>
        <v>1</v>
      </c>
      <c r="P1131" s="230">
        <f t="shared" si="494"/>
        <v>0</v>
      </c>
      <c r="AP1131" s="242"/>
      <c r="AQ1131" s="253"/>
    </row>
    <row r="1132" spans="1:43" x14ac:dyDescent="0.2">
      <c r="B1132" s="249"/>
      <c r="C1132" s="249"/>
      <c r="D1132" s="249"/>
      <c r="E1132" s="249"/>
      <c r="F1132" s="249"/>
      <c r="G1132" s="249"/>
      <c r="H1132" s="250" t="s">
        <v>475</v>
      </c>
      <c r="I1132" s="251" t="str">
        <f ca="1">IFERROR(ROUND(I1131*I1121,2),"")</f>
        <v/>
      </c>
      <c r="J1132" s="251" t="str">
        <f t="shared" ref="J1132" ca="1" si="511">IFERROR(ROUND(J1131*J1121,2),"")</f>
        <v/>
      </c>
      <c r="K1132" s="251" t="str">
        <f t="shared" ref="K1132" ca="1" si="512">IFERROR(ROUND(K1131*K1121,2),"")</f>
        <v/>
      </c>
      <c r="L1132" s="251">
        <f t="shared" ca="1" si="495"/>
        <v>0</v>
      </c>
      <c r="M1132" s="251" t="str">
        <f t="shared" ref="M1132" ca="1" si="513">IFERROR(ROUND(M1131*M1121,2),"")</f>
        <v/>
      </c>
      <c r="N1132" s="252">
        <f t="shared" ca="1" si="496"/>
        <v>0</v>
      </c>
      <c r="O1132" s="229" t="str">
        <f t="shared" si="500"/>
        <v/>
      </c>
      <c r="P1132" s="230">
        <f t="shared" si="494"/>
        <v>0</v>
      </c>
      <c r="AP1132" s="242">
        <f ca="1">SUMIFS('Ведомость расчета мин. платы'!$S$10:$S$209,'Ведомость расчета мин. платы'!$AE$10:$AE$209,CONCATENATE(B1123,"/",D1123,"/",E1123,"/",F1123,"/",H1131))</f>
        <v>0</v>
      </c>
      <c r="AQ1132" s="253">
        <f t="shared" ref="AQ1132" ca="1" si="514">AP1132-N1132</f>
        <v>0</v>
      </c>
    </row>
    <row r="1133" spans="1:43" x14ac:dyDescent="0.2">
      <c r="B1133" s="249"/>
      <c r="C1133" s="249"/>
      <c r="D1133" s="249"/>
      <c r="E1133" s="249"/>
      <c r="F1133" s="249"/>
      <c r="G1133" s="249"/>
      <c r="H1133" s="205" t="s">
        <v>18</v>
      </c>
      <c r="I1133" s="248">
        <f ca="1">IFERROR(INDEX('Ведомость расчета мин. платы'!$J$10:$AE$214,MATCH(CONCATENATE(РАСЧЕТ!B1123,"/",РАСЧЕТ!D1123,"/",РАСЧЕТ!E1123,"/",F1123,"/",H1133),'Ведомость расчета мин. платы'!$AE$10:$AE$214,0),2),"")</f>
        <v>237</v>
      </c>
      <c r="J1133" s="248">
        <f ca="1">IFERROR(INDEX('Ведомость расчета мин. платы'!$J$10:$AE$214,MATCH(CONCATENATE(РАСЧЕТ!B1123,"/",РАСЧЕТ!D1123,"/",РАСЧЕТ!E1123,"/",F1123,"/",H1133),'Ведомость расчета мин. платы'!$AE$10:$AE$214,0),3),"")</f>
        <v>78.400000000000006</v>
      </c>
      <c r="K1133" s="248">
        <f ca="1">IFERROR(INDEX('Ведомость расчета мин. платы'!$J$10:$AE$214,MATCH(CONCATENATE(РАСЧЕТ!B1123,"/",РАСЧЕТ!D1123,"/",РАСЧЕТ!E1123,"/",F1123,"/",H1133),'Ведомость расчета мин. платы'!$AE$10:$AE$214,0),4),"")</f>
        <v>7.8</v>
      </c>
      <c r="L1133" s="248">
        <f t="shared" ca="1" si="495"/>
        <v>323.2</v>
      </c>
      <c r="M1133" s="248">
        <f ca="1">IFERROR(INDEX('Ведомость расчета мин. платы'!$J$10:$AE$214,MATCH(CONCATENATE(РАСЧЕТ!B1123,"/",РАСЧЕТ!D1123,"/",РАСЧЕТ!E1123,"/",F1123,"/",H1133),'Ведомость расчета мин. платы'!$AE$10:$AE$214,0),6),"")</f>
        <v>288.39999999999998</v>
      </c>
      <c r="N1133" s="214">
        <f t="shared" ca="1" si="496"/>
        <v>611.59999999999991</v>
      </c>
      <c r="O1133" s="229">
        <f t="shared" si="500"/>
        <v>1</v>
      </c>
      <c r="P1133" s="230">
        <f t="shared" si="494"/>
        <v>0</v>
      </c>
      <c r="AP1133" s="242"/>
      <c r="AQ1133" s="253"/>
    </row>
    <row r="1134" spans="1:43" x14ac:dyDescent="0.2">
      <c r="B1134" s="249"/>
      <c r="C1134" s="249"/>
      <c r="D1134" s="249"/>
      <c r="E1134" s="249"/>
      <c r="F1134" s="249"/>
      <c r="G1134" s="249"/>
      <c r="H1134" s="250" t="s">
        <v>475</v>
      </c>
      <c r="I1134" s="251">
        <f ca="1">IFERROR(ROUND(I1133*I1122,2),"")</f>
        <v>5410.71</v>
      </c>
      <c r="J1134" s="251">
        <f t="shared" ref="J1134" ca="1" si="515">IFERROR(ROUND(J1133*J1122,2),"")</f>
        <v>1364.94</v>
      </c>
      <c r="K1134" s="251">
        <f t="shared" ref="K1134" ca="1" si="516">IFERROR(ROUND(K1133*K1122,2),"")</f>
        <v>69.03</v>
      </c>
      <c r="L1134" s="251">
        <f t="shared" ca="1" si="495"/>
        <v>6844.6799999999994</v>
      </c>
      <c r="M1134" s="251">
        <v>164.38000000000068</v>
      </c>
      <c r="N1134" s="252">
        <f t="shared" ca="1" si="496"/>
        <v>7009.06</v>
      </c>
      <c r="O1134" s="229" t="str">
        <f t="shared" si="500"/>
        <v/>
      </c>
      <c r="P1134" s="230">
        <f t="shared" si="494"/>
        <v>0</v>
      </c>
      <c r="AP1134" s="242">
        <f ca="1">SUMIFS('Ведомость расчета мин. платы'!$S$10:$S$209,'Ведомость расчета мин. платы'!$AE$10:$AE$209,CONCATENATE(B1123,"/",D1123,"/",E1123,"/",F1123,"/",H1133))</f>
        <v>7009.06</v>
      </c>
      <c r="AQ1134" s="253">
        <f t="shared" ref="AQ1134" ca="1" si="517">AP1134-N1134</f>
        <v>0</v>
      </c>
    </row>
    <row r="1135" spans="1:43" x14ac:dyDescent="0.2">
      <c r="B1135" s="249"/>
      <c r="C1135" s="249"/>
      <c r="D1135" s="249"/>
      <c r="E1135" s="249"/>
      <c r="F1135" s="249"/>
      <c r="G1135" s="249"/>
      <c r="H1135" s="254" t="s">
        <v>476</v>
      </c>
      <c r="I1135" s="251">
        <f ca="1">SUMIF($O1123:$O1136,1,I1123:I1134)</f>
        <v>237</v>
      </c>
      <c r="J1135" s="251">
        <f ca="1">SUMIF($O1123:$O1136,1,J1123:J1134)</f>
        <v>78.400000000000006</v>
      </c>
      <c r="K1135" s="251">
        <f ca="1">SUMIF($O1123:$O1136,1,K1123:K1134)</f>
        <v>7.8</v>
      </c>
      <c r="L1135" s="251">
        <f t="shared" ca="1" si="495"/>
        <v>323.2</v>
      </c>
      <c r="M1135" s="251">
        <f ca="1">SUMIF($O1123:$O1136,1,M1123:M1134)</f>
        <v>288.39999999999998</v>
      </c>
      <c r="N1135" s="252">
        <f t="shared" ca="1" si="496"/>
        <v>611.59999999999991</v>
      </c>
      <c r="AP1135" s="242"/>
      <c r="AQ1135" s="253"/>
    </row>
    <row r="1136" spans="1:43" x14ac:dyDescent="0.2">
      <c r="B1136" s="249"/>
      <c r="C1136" s="249"/>
      <c r="D1136" s="249"/>
      <c r="E1136" s="249"/>
      <c r="F1136" s="249"/>
      <c r="G1136" s="249"/>
      <c r="H1136" s="254" t="s">
        <v>491</v>
      </c>
      <c r="I1136" s="251">
        <f ca="1">SUMIF(H1123:H1134,"стоимость",I1123:I1134)</f>
        <v>5410.71</v>
      </c>
      <c r="J1136" s="251">
        <f ca="1">SUMIF(H1123:H1134,"стоимость",J1123:J1134)</f>
        <v>1364.94</v>
      </c>
      <c r="K1136" s="251">
        <f ca="1">SUMIF(H1123:H1134,"стоимость",K1123:K1134)</f>
        <v>69.03</v>
      </c>
      <c r="L1136" s="251">
        <f ca="1">IFERROR(SUM(I1136:K1136),"")</f>
        <v>6844.6799999999994</v>
      </c>
      <c r="M1136" s="251">
        <f ca="1">SUMIF(H1123:H1134,"стоимость",M1123:M1134)</f>
        <v>164.38000000000068</v>
      </c>
      <c r="N1136" s="252">
        <f ca="1">IFERROR(SUM(L1136:M1136),"")</f>
        <v>7009.06</v>
      </c>
      <c r="AP1136" s="242">
        <f ca="1">SUMIFS('Ведомость расчета мин. платы'!$S$10:$S$209,'Ведомость расчета мин. платы'!$J$10:$J$209,"Итого",'Ведомость расчета мин. платы'!$AC$10:$AC$209,CONCATENATE(B1123,"/",D1123,"/",E1123,"/",F1123))</f>
        <v>7009.06</v>
      </c>
      <c r="AQ1136" s="253">
        <f ca="1">AP1136-N1136</f>
        <v>0</v>
      </c>
    </row>
    <row r="1137" spans="2:16" x14ac:dyDescent="0.2">
      <c r="B1137" s="255"/>
      <c r="C1137" s="255"/>
      <c r="D1137" s="255"/>
      <c r="E1137" s="255"/>
      <c r="F1137" s="255"/>
      <c r="G1137" s="256"/>
      <c r="H1137" s="257"/>
      <c r="I1137" s="258"/>
      <c r="J1137" s="258"/>
      <c r="K1137" s="258"/>
      <c r="L1137" s="258"/>
      <c r="M1137" s="258"/>
      <c r="N1137" s="258"/>
      <c r="P1137" s="230">
        <f t="shared" ref="P1137:P1155" si="518">IF(A1137&gt;0,1,0)</f>
        <v>0</v>
      </c>
    </row>
    <row r="1138" spans="2:16" x14ac:dyDescent="0.2">
      <c r="B1138" s="282" t="s">
        <v>477</v>
      </c>
      <c r="C1138" s="282"/>
      <c r="D1138" s="282"/>
      <c r="E1138" s="282"/>
      <c r="F1138" s="259"/>
      <c r="G1138" s="225"/>
      <c r="H1138" s="201"/>
      <c r="I1138" s="226"/>
      <c r="J1138" s="258"/>
      <c r="K1138" s="258"/>
      <c r="L1138" s="258"/>
      <c r="M1138" s="258"/>
      <c r="N1138" s="258"/>
      <c r="P1138" s="230">
        <f t="shared" si="518"/>
        <v>0</v>
      </c>
    </row>
    <row r="1139" spans="2:16" x14ac:dyDescent="0.2">
      <c r="B1139" s="283" t="s">
        <v>525</v>
      </c>
      <c r="C1139" s="283"/>
      <c r="D1139" s="283"/>
      <c r="E1139" s="283"/>
      <c r="F1139" s="283"/>
      <c r="G1139" s="283"/>
      <c r="H1139" s="283"/>
      <c r="I1139" s="283"/>
      <c r="J1139" s="261"/>
      <c r="K1139" s="261"/>
      <c r="L1139" s="261"/>
      <c r="M1139" s="261"/>
      <c r="N1139" s="261"/>
      <c r="P1139" s="230">
        <f t="shared" si="518"/>
        <v>0</v>
      </c>
    </row>
    <row r="1140" spans="2:16" x14ac:dyDescent="0.2">
      <c r="B1140" s="284" t="s">
        <v>478</v>
      </c>
      <c r="C1140" s="284"/>
      <c r="D1140" s="284"/>
      <c r="E1140" s="284"/>
      <c r="F1140" s="284"/>
      <c r="G1140" s="284"/>
      <c r="H1140" s="284"/>
      <c r="I1140" s="284"/>
      <c r="J1140" s="258"/>
      <c r="K1140" s="258"/>
      <c r="L1140" s="258"/>
      <c r="M1140" s="258"/>
      <c r="N1140" s="258"/>
      <c r="P1140" s="230">
        <f t="shared" si="518"/>
        <v>0</v>
      </c>
    </row>
    <row r="1141" spans="2:16" x14ac:dyDescent="0.2">
      <c r="B1141" s="284" t="s">
        <v>479</v>
      </c>
      <c r="C1141" s="284"/>
      <c r="D1141" s="284"/>
      <c r="E1141" s="284"/>
      <c r="F1141" s="284"/>
      <c r="G1141" s="284"/>
      <c r="H1141" s="284"/>
      <c r="I1141" s="284"/>
      <c r="J1141" s="258"/>
      <c r="K1141" s="258"/>
      <c r="L1141" s="258"/>
      <c r="M1141" s="258"/>
      <c r="N1141" s="258"/>
      <c r="P1141" s="230">
        <f t="shared" si="518"/>
        <v>0</v>
      </c>
    </row>
    <row r="1142" spans="2:16" x14ac:dyDescent="0.2">
      <c r="B1142" s="284" t="s">
        <v>480</v>
      </c>
      <c r="C1142" s="284"/>
      <c r="D1142" s="284"/>
      <c r="E1142" s="284"/>
      <c r="F1142" s="284"/>
      <c r="G1142" s="284"/>
      <c r="H1142" s="284"/>
      <c r="I1142" s="284"/>
      <c r="J1142" s="258"/>
      <c r="K1142" s="258"/>
      <c r="L1142" s="258"/>
      <c r="M1142" s="258"/>
      <c r="N1142" s="258"/>
      <c r="P1142" s="230">
        <f t="shared" si="518"/>
        <v>0</v>
      </c>
    </row>
    <row r="1143" spans="2:16" x14ac:dyDescent="0.2">
      <c r="B1143" s="284" t="s">
        <v>481</v>
      </c>
      <c r="C1143" s="284"/>
      <c r="D1143" s="284"/>
      <c r="E1143" s="284"/>
      <c r="F1143" s="284"/>
      <c r="G1143" s="284"/>
      <c r="H1143" s="284"/>
      <c r="I1143" s="284"/>
      <c r="J1143" s="226"/>
      <c r="K1143" s="226"/>
      <c r="L1143" s="226"/>
      <c r="M1143" s="226"/>
      <c r="N1143" s="226"/>
      <c r="P1143" s="230">
        <f t="shared" si="518"/>
        <v>0</v>
      </c>
    </row>
    <row r="1144" spans="2:16" x14ac:dyDescent="0.2">
      <c r="B1144" s="284" t="s">
        <v>482</v>
      </c>
      <c r="C1144" s="284"/>
      <c r="D1144" s="284"/>
      <c r="E1144" s="284"/>
      <c r="F1144" s="284"/>
      <c r="G1144" s="284"/>
      <c r="H1144" s="284"/>
      <c r="I1144" s="284"/>
      <c r="J1144" s="226"/>
      <c r="K1144" s="226"/>
      <c r="L1144" s="226"/>
      <c r="M1144" s="226"/>
      <c r="N1144" s="226"/>
      <c r="P1144" s="230">
        <f t="shared" si="518"/>
        <v>0</v>
      </c>
    </row>
    <row r="1145" spans="2:16" x14ac:dyDescent="0.2">
      <c r="B1145" s="284" t="s">
        <v>483</v>
      </c>
      <c r="C1145" s="284"/>
      <c r="D1145" s="284"/>
      <c r="E1145" s="284"/>
      <c r="F1145" s="284"/>
      <c r="G1145" s="284"/>
      <c r="H1145" s="284"/>
      <c r="I1145" s="284"/>
      <c r="J1145" s="226"/>
      <c r="K1145" s="226"/>
      <c r="L1145" s="226"/>
      <c r="M1145" s="226"/>
      <c r="N1145" s="226"/>
      <c r="P1145" s="230">
        <f t="shared" si="518"/>
        <v>0</v>
      </c>
    </row>
    <row r="1146" spans="2:16" x14ac:dyDescent="0.2">
      <c r="B1146" s="284" t="s">
        <v>484</v>
      </c>
      <c r="C1146" s="284"/>
      <c r="D1146" s="284"/>
      <c r="E1146" s="284"/>
      <c r="F1146" s="284"/>
      <c r="G1146" s="284"/>
      <c r="H1146" s="284"/>
      <c r="I1146" s="284"/>
      <c r="J1146" s="226"/>
      <c r="K1146" s="226"/>
      <c r="L1146" s="226"/>
      <c r="M1146" s="226"/>
      <c r="N1146" s="226"/>
      <c r="P1146" s="230">
        <f t="shared" si="518"/>
        <v>0</v>
      </c>
    </row>
    <row r="1147" spans="2:16" x14ac:dyDescent="0.2">
      <c r="B1147" s="264"/>
      <c r="C1147" s="264"/>
      <c r="D1147" s="264"/>
      <c r="E1147" s="264"/>
      <c r="F1147" s="264"/>
      <c r="G1147" s="264"/>
      <c r="H1147" s="264"/>
      <c r="I1147" s="265"/>
      <c r="J1147" s="226"/>
      <c r="K1147" s="226"/>
      <c r="L1147" s="226"/>
      <c r="M1147" s="226"/>
      <c r="N1147" s="226"/>
      <c r="P1147" s="230">
        <f t="shared" si="518"/>
        <v>0</v>
      </c>
    </row>
    <row r="1148" spans="2:16" x14ac:dyDescent="0.2">
      <c r="B1148" s="225" t="s">
        <v>485</v>
      </c>
      <c r="C1148" s="225"/>
      <c r="D1148" s="225"/>
      <c r="E1148" s="225"/>
      <c r="F1148" s="225"/>
      <c r="G1148" s="225"/>
      <c r="H1148" s="201"/>
      <c r="I1148" s="226"/>
      <c r="J1148" s="226" t="s">
        <v>486</v>
      </c>
      <c r="K1148" s="226"/>
      <c r="L1148" s="226"/>
      <c r="M1148" s="226"/>
      <c r="N1148" s="226"/>
      <c r="P1148" s="230">
        <f t="shared" si="518"/>
        <v>0</v>
      </c>
    </row>
    <row r="1149" spans="2:16" x14ac:dyDescent="0.2">
      <c r="B1149" s="266" t="s">
        <v>524</v>
      </c>
      <c r="C1149" s="266"/>
      <c r="D1149" s="225"/>
      <c r="E1149" s="225"/>
      <c r="F1149" s="225"/>
      <c r="G1149" s="225"/>
      <c r="H1149" s="201"/>
      <c r="I1149" s="226"/>
      <c r="J1149" s="267"/>
      <c r="K1149" s="267"/>
      <c r="L1149" s="267"/>
      <c r="M1149" s="226"/>
      <c r="N1149" s="226"/>
      <c r="P1149" s="230">
        <f t="shared" si="518"/>
        <v>0</v>
      </c>
    </row>
    <row r="1150" spans="2:16" x14ac:dyDescent="0.2">
      <c r="B1150" s="268" t="s">
        <v>487</v>
      </c>
      <c r="C1150" s="225"/>
      <c r="D1150" s="225"/>
      <c r="E1150" s="225"/>
      <c r="F1150" s="225"/>
      <c r="G1150" s="225"/>
      <c r="H1150" s="201"/>
      <c r="I1150" s="226"/>
      <c r="J1150" s="226" t="s">
        <v>487</v>
      </c>
      <c r="K1150" s="226"/>
      <c r="L1150" s="226"/>
      <c r="M1150" s="226"/>
      <c r="N1150" s="226"/>
      <c r="P1150" s="230">
        <f t="shared" si="518"/>
        <v>0</v>
      </c>
    </row>
    <row r="1151" spans="2:16" x14ac:dyDescent="0.2">
      <c r="B1151" s="225"/>
      <c r="C1151" s="225"/>
      <c r="D1151" s="225"/>
      <c r="E1151" s="225"/>
      <c r="F1151" s="225"/>
      <c r="G1151" s="225"/>
      <c r="H1151" s="201"/>
      <c r="I1151" s="226"/>
      <c r="J1151" s="226"/>
      <c r="K1151" s="226"/>
      <c r="L1151" s="226"/>
      <c r="M1151" s="226"/>
      <c r="N1151" s="226"/>
      <c r="P1151" s="230">
        <f t="shared" si="518"/>
        <v>0</v>
      </c>
    </row>
    <row r="1152" spans="2:16" x14ac:dyDescent="0.2">
      <c r="B1152" s="266"/>
      <c r="C1152" s="266"/>
      <c r="D1152" s="225"/>
      <c r="E1152" s="225"/>
      <c r="F1152" s="225"/>
      <c r="G1152" s="225"/>
      <c r="H1152" s="201"/>
      <c r="I1152" s="226"/>
      <c r="J1152" s="267"/>
      <c r="K1152" s="267"/>
      <c r="L1152" s="267"/>
      <c r="M1152" s="226"/>
      <c r="N1152" s="226"/>
      <c r="P1152" s="230">
        <f t="shared" si="518"/>
        <v>0</v>
      </c>
    </row>
    <row r="1153" spans="1:16" x14ac:dyDescent="0.2">
      <c r="B1153" s="269" t="s">
        <v>488</v>
      </c>
      <c r="C1153" s="225"/>
      <c r="D1153" s="225"/>
      <c r="E1153" s="225"/>
      <c r="F1153" s="225"/>
      <c r="G1153" s="225"/>
      <c r="H1153" s="201"/>
      <c r="I1153" s="226"/>
      <c r="J1153" s="285" t="s">
        <v>488</v>
      </c>
      <c r="K1153" s="285"/>
      <c r="L1153" s="285"/>
      <c r="M1153" s="226"/>
      <c r="N1153" s="226"/>
      <c r="P1153" s="230">
        <f t="shared" si="518"/>
        <v>0</v>
      </c>
    </row>
    <row r="1154" spans="1:16" x14ac:dyDescent="0.2">
      <c r="B1154" s="225"/>
      <c r="C1154" s="225"/>
      <c r="D1154" s="225"/>
      <c r="E1154" s="225"/>
      <c r="F1154" s="225"/>
      <c r="G1154" s="225"/>
      <c r="H1154" s="201"/>
      <c r="I1154" s="226"/>
      <c r="J1154" s="226"/>
      <c r="K1154" s="226"/>
      <c r="L1154" s="226"/>
      <c r="M1154" s="226"/>
      <c r="N1154" s="226"/>
      <c r="P1154" s="230">
        <f t="shared" si="518"/>
        <v>0</v>
      </c>
    </row>
    <row r="1155" spans="1:16" x14ac:dyDescent="0.2">
      <c r="B1155" s="264" t="s">
        <v>489</v>
      </c>
      <c r="C1155" s="225"/>
      <c r="D1155" s="225"/>
      <c r="E1155" s="225"/>
      <c r="F1155" s="225"/>
      <c r="G1155" s="225"/>
      <c r="H1155" s="201"/>
      <c r="I1155" s="226"/>
      <c r="J1155" s="226" t="s">
        <v>489</v>
      </c>
      <c r="K1155" s="226"/>
      <c r="L1155" s="226"/>
      <c r="M1155" s="226"/>
      <c r="N1155" s="226"/>
      <c r="P1155" s="230">
        <f t="shared" si="518"/>
        <v>0</v>
      </c>
    </row>
    <row r="1156" spans="1:16" x14ac:dyDescent="0.2">
      <c r="A1156" s="272"/>
      <c r="B1156" s="225"/>
      <c r="C1156" s="225"/>
      <c r="D1156" s="225"/>
      <c r="E1156" s="225"/>
      <c r="F1156" s="225"/>
      <c r="G1156" s="225"/>
      <c r="H1156" s="201"/>
      <c r="I1156" s="226"/>
      <c r="J1156" s="226"/>
      <c r="K1156" s="226"/>
      <c r="M1156" s="226"/>
      <c r="N1156" s="228"/>
    </row>
    <row r="1157" spans="1:16" x14ac:dyDescent="0.2">
      <c r="A1157" s="260"/>
      <c r="B1157" s="225"/>
      <c r="C1157" s="225"/>
      <c r="D1157" s="225"/>
      <c r="E1157" s="225"/>
      <c r="F1157" s="225"/>
      <c r="G1157" s="225"/>
      <c r="H1157" s="201"/>
      <c r="I1157" s="226"/>
      <c r="J1157" s="226"/>
      <c r="K1157" s="226"/>
      <c r="M1157" s="226"/>
      <c r="N1157" s="228" t="s">
        <v>455</v>
      </c>
      <c r="P1157" s="230">
        <f t="shared" ref="P1157:P1174" si="519">IF(A1157&gt;0,1,0)</f>
        <v>0</v>
      </c>
    </row>
    <row r="1158" spans="1:16" x14ac:dyDescent="0.2">
      <c r="B1158" s="225"/>
      <c r="C1158" s="225"/>
      <c r="D1158" s="225"/>
      <c r="E1158" s="225"/>
      <c r="F1158" s="225"/>
      <c r="G1158" s="225"/>
      <c r="H1158" s="201"/>
      <c r="I1158" s="226"/>
      <c r="J1158" s="226"/>
      <c r="K1158" s="226"/>
      <c r="M1158" s="226"/>
      <c r="N1158" s="228" t="s">
        <v>456</v>
      </c>
      <c r="P1158" s="230">
        <f t="shared" si="519"/>
        <v>0</v>
      </c>
    </row>
    <row r="1159" spans="1:16" x14ac:dyDescent="0.2">
      <c r="B1159" s="225"/>
      <c r="C1159" s="225"/>
      <c r="D1159" s="225"/>
      <c r="E1159" s="225"/>
      <c r="F1159" s="225"/>
      <c r="G1159" s="225"/>
      <c r="H1159" s="201"/>
      <c r="I1159" s="226"/>
      <c r="J1159" s="226"/>
      <c r="K1159" s="226"/>
      <c r="M1159" s="226"/>
      <c r="N1159" s="228" t="s">
        <v>457</v>
      </c>
      <c r="P1159" s="230">
        <f t="shared" si="519"/>
        <v>0</v>
      </c>
    </row>
    <row r="1160" spans="1:16" x14ac:dyDescent="0.2">
      <c r="B1160" s="225"/>
      <c r="C1160" s="225"/>
      <c r="D1160" s="225"/>
      <c r="E1160" s="225"/>
      <c r="F1160" s="225"/>
      <c r="G1160" s="225"/>
      <c r="H1160" s="201"/>
      <c r="I1160" s="226"/>
      <c r="J1160" s="226"/>
      <c r="K1160" s="226"/>
      <c r="L1160" s="226"/>
      <c r="M1160" s="226"/>
      <c r="N1160" s="226"/>
      <c r="P1160" s="230">
        <f t="shared" si="519"/>
        <v>0</v>
      </c>
    </row>
    <row r="1161" spans="1:16" x14ac:dyDescent="0.2">
      <c r="B1161" s="225"/>
      <c r="C1161" s="286" t="s">
        <v>458</v>
      </c>
      <c r="D1161" s="286"/>
      <c r="E1161" s="286"/>
      <c r="F1161" s="286"/>
      <c r="G1161" s="286"/>
      <c r="H1161" s="286"/>
      <c r="I1161" s="286"/>
      <c r="J1161" s="286"/>
      <c r="K1161" s="286"/>
      <c r="L1161" s="286"/>
      <c r="M1161" s="226"/>
      <c r="N1161" s="226"/>
      <c r="P1161" s="230">
        <f t="shared" si="519"/>
        <v>0</v>
      </c>
    </row>
    <row r="1162" spans="1:16" x14ac:dyDescent="0.2">
      <c r="B1162" s="225"/>
      <c r="C1162" s="286" t="s">
        <v>459</v>
      </c>
      <c r="D1162" s="286"/>
      <c r="E1162" s="286"/>
      <c r="F1162" s="286"/>
      <c r="G1162" s="286"/>
      <c r="H1162" s="286"/>
      <c r="I1162" s="286"/>
      <c r="J1162" s="286"/>
      <c r="K1162" s="286"/>
      <c r="L1162" s="286"/>
      <c r="M1162" s="226"/>
      <c r="N1162" s="226"/>
      <c r="P1162" s="230">
        <f t="shared" si="519"/>
        <v>0</v>
      </c>
    </row>
    <row r="1163" spans="1:16" x14ac:dyDescent="0.2">
      <c r="B1163" s="225" t="s">
        <v>460</v>
      </c>
      <c r="C1163" s="234"/>
      <c r="D1163" s="234"/>
      <c r="E1163" s="234"/>
      <c r="F1163" s="234"/>
      <c r="G1163" s="234"/>
      <c r="H1163" s="234"/>
      <c r="I1163" s="235"/>
      <c r="J1163" s="235"/>
      <c r="K1163" s="235"/>
      <c r="L1163" s="287" t="s">
        <v>461</v>
      </c>
      <c r="M1163" s="287"/>
      <c r="N1163" s="287"/>
      <c r="P1163" s="230">
        <f t="shared" si="519"/>
        <v>0</v>
      </c>
    </row>
    <row r="1164" spans="1:16" x14ac:dyDescent="0.2">
      <c r="B1164" s="225"/>
      <c r="C1164" s="234"/>
      <c r="D1164" s="234"/>
      <c r="E1164" s="234"/>
      <c r="F1164" s="234"/>
      <c r="G1164" s="234"/>
      <c r="H1164" s="234"/>
      <c r="I1164" s="235"/>
      <c r="J1164" s="235"/>
      <c r="K1164" s="235"/>
      <c r="L1164" s="235"/>
      <c r="M1164" s="235"/>
      <c r="N1164" s="235"/>
      <c r="P1164" s="230">
        <f t="shared" si="519"/>
        <v>0</v>
      </c>
    </row>
    <row r="1165" spans="1:16" x14ac:dyDescent="0.2">
      <c r="B1165" s="225" t="s">
        <v>2038</v>
      </c>
      <c r="C1165" s="234"/>
      <c r="D1165" s="234"/>
      <c r="E1165" s="234"/>
      <c r="F1165" s="234"/>
      <c r="G1165" s="234"/>
      <c r="H1165" s="234"/>
      <c r="I1165" s="235"/>
      <c r="J1165" s="235"/>
      <c r="K1165" s="235"/>
      <c r="L1165" s="235"/>
      <c r="M1165" s="235"/>
      <c r="N1165" s="235"/>
      <c r="P1165" s="230">
        <f t="shared" si="519"/>
        <v>0</v>
      </c>
    </row>
    <row r="1166" spans="1:16" x14ac:dyDescent="0.2">
      <c r="B1166" s="225" t="s">
        <v>462</v>
      </c>
      <c r="C1166" s="234"/>
      <c r="D1166" s="234"/>
      <c r="E1166" s="234"/>
      <c r="F1166" s="234"/>
      <c r="G1166" s="234"/>
      <c r="H1166" s="234"/>
      <c r="I1166" s="235"/>
      <c r="J1166" s="235"/>
      <c r="K1166" s="235"/>
      <c r="L1166" s="235"/>
      <c r="M1166" s="235"/>
      <c r="N1166" s="235"/>
      <c r="P1166" s="230">
        <f t="shared" si="519"/>
        <v>0</v>
      </c>
    </row>
    <row r="1167" spans="1:16" x14ac:dyDescent="0.2">
      <c r="B1167" s="225" t="s">
        <v>2037</v>
      </c>
      <c r="C1167" s="234"/>
      <c r="D1167" s="234"/>
      <c r="E1167" s="234"/>
      <c r="F1167" s="234"/>
      <c r="G1167" s="234"/>
      <c r="H1167" s="234"/>
      <c r="I1167" s="235"/>
      <c r="J1167" s="235"/>
      <c r="K1167" s="235"/>
      <c r="L1167" s="235"/>
      <c r="M1167" s="235"/>
      <c r="N1167" s="235"/>
      <c r="P1167" s="230">
        <f t="shared" si="519"/>
        <v>0</v>
      </c>
    </row>
    <row r="1168" spans="1:16" x14ac:dyDescent="0.2">
      <c r="B1168" s="225" t="s">
        <v>2052</v>
      </c>
      <c r="C1168" s="234"/>
      <c r="D1168" s="234"/>
      <c r="E1168" s="234"/>
      <c r="F1168" s="234"/>
      <c r="G1168" s="234"/>
      <c r="H1168" s="234"/>
      <c r="I1168" s="235"/>
      <c r="J1168" s="235"/>
      <c r="K1168" s="235"/>
      <c r="L1168" s="235"/>
      <c r="M1168" s="235"/>
      <c r="N1168" s="235"/>
      <c r="P1168" s="230">
        <f t="shared" si="519"/>
        <v>0</v>
      </c>
    </row>
    <row r="1169" spans="1:43" x14ac:dyDescent="0.2">
      <c r="B1169" s="225"/>
      <c r="C1169" s="225"/>
      <c r="D1169" s="225"/>
      <c r="E1169" s="225"/>
      <c r="F1169" s="225"/>
      <c r="G1169" s="225"/>
      <c r="H1169" s="201"/>
      <c r="I1169" s="226"/>
      <c r="J1169" s="226"/>
      <c r="K1169" s="226"/>
      <c r="L1169" s="226"/>
      <c r="M1169" s="226"/>
      <c r="N1169" s="226"/>
      <c r="P1169" s="230">
        <f t="shared" si="519"/>
        <v>0</v>
      </c>
    </row>
    <row r="1170" spans="1:43" x14ac:dyDescent="0.2">
      <c r="B1170" s="288" t="s">
        <v>106</v>
      </c>
      <c r="C1170" s="290" t="s">
        <v>463</v>
      </c>
      <c r="D1170" s="288" t="s">
        <v>464</v>
      </c>
      <c r="E1170" s="288" t="s">
        <v>465</v>
      </c>
      <c r="F1170" s="288" t="s">
        <v>490</v>
      </c>
      <c r="G1170" s="288" t="s">
        <v>466</v>
      </c>
      <c r="H1170" s="292" t="s">
        <v>8</v>
      </c>
      <c r="I1170" s="294" t="s">
        <v>467</v>
      </c>
      <c r="J1170" s="295"/>
      <c r="K1170" s="295"/>
      <c r="L1170" s="296"/>
      <c r="M1170" s="297" t="s">
        <v>468</v>
      </c>
      <c r="N1170" s="299" t="s">
        <v>469</v>
      </c>
      <c r="P1170" s="230">
        <f t="shared" si="519"/>
        <v>0</v>
      </c>
    </row>
    <row r="1171" spans="1:43" x14ac:dyDescent="0.2">
      <c r="B1171" s="289"/>
      <c r="C1171" s="291"/>
      <c r="D1171" s="289"/>
      <c r="E1171" s="289"/>
      <c r="F1171" s="289"/>
      <c r="G1171" s="289"/>
      <c r="H1171" s="293"/>
      <c r="I1171" s="236" t="s">
        <v>470</v>
      </c>
      <c r="J1171" s="236" t="s">
        <v>471</v>
      </c>
      <c r="K1171" s="236" t="s">
        <v>472</v>
      </c>
      <c r="L1171" s="236" t="s">
        <v>473</v>
      </c>
      <c r="M1171" s="298"/>
      <c r="N1171" s="300"/>
      <c r="P1171" s="230">
        <f t="shared" si="519"/>
        <v>0</v>
      </c>
    </row>
    <row r="1172" spans="1:43" x14ac:dyDescent="0.2">
      <c r="A1172" s="224" t="str">
        <f>CONCATENATE("Лот"," ",A1173)</f>
        <v>Лот 22</v>
      </c>
      <c r="B1172" s="273" t="s">
        <v>2087</v>
      </c>
      <c r="C1172" s="274"/>
      <c r="D1172" s="274"/>
      <c r="E1172" s="274"/>
      <c r="F1172" s="274"/>
      <c r="G1172" s="275"/>
      <c r="H1172" s="238" t="s">
        <v>17</v>
      </c>
      <c r="I1172" s="270">
        <f ca="1">ROUND(VLOOKUP($H1172,$AJ$4:$AN$13,2,0)*$Q1174*1.51,2)</f>
        <v>114.43</v>
      </c>
      <c r="J1172" s="270">
        <f ca="1">ROUND(VLOOKUP($H1172,$AJ$4:$AN$13,3,0)*$Q1174*1.51,2)</f>
        <v>81.540000000000006</v>
      </c>
      <c r="K1172" s="270">
        <f ca="1">ROUND(VLOOKUP($H1172,$AJ$4:$AN$13,4,0)*$Q1174*1.51,2)</f>
        <v>41.31</v>
      </c>
      <c r="L1172" s="270"/>
      <c r="M1172" s="270">
        <f ca="1">ROUND(VLOOKUP($H1172,$AJ$4:$AN$13,5,0)*$Q1174*1.51,2)</f>
        <v>6.52</v>
      </c>
      <c r="N1172" s="270"/>
      <c r="P1172" s="230">
        <f t="shared" si="519"/>
        <v>1</v>
      </c>
    </row>
    <row r="1173" spans="1:43" x14ac:dyDescent="0.2">
      <c r="A1173" s="224">
        <f>A1118+1</f>
        <v>22</v>
      </c>
      <c r="B1173" s="276"/>
      <c r="C1173" s="277"/>
      <c r="D1173" s="277"/>
      <c r="E1173" s="277"/>
      <c r="F1173" s="277"/>
      <c r="G1173" s="278"/>
      <c r="H1173" s="238" t="s">
        <v>25</v>
      </c>
      <c r="I1173" s="270">
        <f ca="1">ROUND(VLOOKUP($H1173,$AJ$4:$AN$13,2,0)*$Q1174*1.51,2)</f>
        <v>855.9</v>
      </c>
      <c r="J1173" s="270">
        <f ca="1">ROUND(VLOOKUP($H1173,$AJ$4:$AN$13,3,0)*$Q1174*1.51,2)</f>
        <v>611.54999999999995</v>
      </c>
      <c r="K1173" s="270">
        <f ca="1">ROUND(VLOOKUP($H1173,$AJ$4:$AN$13,4,0)*$Q1174*1.51,2)</f>
        <v>307.68</v>
      </c>
      <c r="L1173" s="270"/>
      <c r="M1173" s="270">
        <f ca="1">ROUND(VLOOKUP($H1173,$AJ$4:$AN$13,5,0)*$Q1174*1.51,2)</f>
        <v>26.64</v>
      </c>
      <c r="N1173" s="270"/>
      <c r="P1173" s="230">
        <f t="shared" si="519"/>
        <v>1</v>
      </c>
      <c r="Q1173" s="240" t="s">
        <v>2045</v>
      </c>
      <c r="R1173" s="240" t="s">
        <v>2046</v>
      </c>
    </row>
    <row r="1174" spans="1:43" x14ac:dyDescent="0.2">
      <c r="B1174" s="276"/>
      <c r="C1174" s="277"/>
      <c r="D1174" s="277"/>
      <c r="E1174" s="277"/>
      <c r="F1174" s="277"/>
      <c r="G1174" s="278"/>
      <c r="H1174" s="238" t="s">
        <v>19</v>
      </c>
      <c r="I1174" s="270">
        <f ca="1">ROUND(VLOOKUP($H1174,$AJ$4:$AN$13,2,0)*$Q1174*1.51,2)</f>
        <v>67.95</v>
      </c>
      <c r="J1174" s="270">
        <f ca="1">ROUND(VLOOKUP($H1174,$AJ$4:$AN$13,3,0)*$Q1174*1.51,2)</f>
        <v>49.47</v>
      </c>
      <c r="K1174" s="270">
        <f ca="1">ROUND(VLOOKUP($H1174,$AJ$4:$AN$13,4,0)*$Q1174*1.51,2)</f>
        <v>25.28</v>
      </c>
      <c r="L1174" s="270"/>
      <c r="M1174" s="270">
        <f ca="1">ROUND(VLOOKUP($H1174,$AJ$4:$AN$13,5,0)*$Q1174*1.51,2)</f>
        <v>1.36</v>
      </c>
      <c r="N1174" s="270"/>
      <c r="P1174" s="230">
        <f t="shared" si="519"/>
        <v>0</v>
      </c>
      <c r="Q1174" s="123">
        <f ca="1">IFERROR(IF(R1174="","",IF(OR(R1174&lt;100,R1174=100),0.9,IF(OR(AND(R1174&gt;100,R1174&lt;150),R1174=150),1,IF(R1174&gt;150,1.05,"")))),"0")</f>
        <v>1</v>
      </c>
      <c r="R1174" s="123">
        <f ca="1">N1190/G1178</f>
        <v>137</v>
      </c>
    </row>
    <row r="1175" spans="1:43" x14ac:dyDescent="0.2">
      <c r="B1175" s="276"/>
      <c r="C1175" s="277"/>
      <c r="D1175" s="277"/>
      <c r="E1175" s="277"/>
      <c r="F1175" s="277"/>
      <c r="G1175" s="278"/>
      <c r="H1175" s="238" t="s">
        <v>268</v>
      </c>
      <c r="I1175" s="270">
        <f ca="1">ROUND(VLOOKUP($H1175,$AJ$4:$AN$13,2,0)*$Q1174*1.51,2)</f>
        <v>855.9</v>
      </c>
      <c r="J1175" s="270">
        <f ca="1">ROUND(VLOOKUP($H1175,$AJ$4:$AN$13,3,0)*$Q1174*1.51,2)</f>
        <v>611.54999999999995</v>
      </c>
      <c r="K1175" s="270">
        <f ca="1">ROUND(VLOOKUP($H1175,$AJ$4:$AN$13,4,0)*$Q1174*1.51,2)</f>
        <v>307.68</v>
      </c>
      <c r="L1175" s="270"/>
      <c r="M1175" s="270">
        <f ca="1">ROUND(VLOOKUP($H1175,$AJ$4:$AN$13,5,0)*$Q1174*1.51,2)</f>
        <v>26.64</v>
      </c>
      <c r="N1175" s="270"/>
    </row>
    <row r="1176" spans="1:43" x14ac:dyDescent="0.2">
      <c r="B1176" s="276"/>
      <c r="C1176" s="277"/>
      <c r="D1176" s="277"/>
      <c r="E1176" s="277"/>
      <c r="F1176" s="277"/>
      <c r="G1176" s="278"/>
      <c r="H1176" s="238" t="s">
        <v>40</v>
      </c>
      <c r="I1176" s="270">
        <f ca="1">ROUND(VLOOKUP($H1176,$AJ$4:$AN$13,2,0)*$Q1174*1.51,2)</f>
        <v>67.95</v>
      </c>
      <c r="J1176" s="270">
        <f ca="1">ROUND(VLOOKUP($H1176,$AJ$4:$AN$13,3,0)*$Q1174*1.51,2)</f>
        <v>49.47</v>
      </c>
      <c r="K1176" s="270">
        <f ca="1">ROUND(VLOOKUP($H1176,$AJ$4:$AN$13,4,0)*$Q1174*1.51,2)</f>
        <v>25.28</v>
      </c>
      <c r="L1176" s="270"/>
      <c r="M1176" s="270">
        <f ca="1">ROUND(VLOOKUP($H1176,$AJ$4:$AN$13,5,0)*$Q1174*1.51,2)</f>
        <v>1.36</v>
      </c>
      <c r="N1176" s="270"/>
      <c r="P1176" s="230">
        <f t="shared" ref="P1176:P1189" si="520">IF(A1176&gt;0,1,0)</f>
        <v>0</v>
      </c>
    </row>
    <row r="1177" spans="1:43" x14ac:dyDescent="0.2">
      <c r="B1177" s="279"/>
      <c r="C1177" s="280"/>
      <c r="D1177" s="280"/>
      <c r="E1177" s="280"/>
      <c r="F1177" s="280"/>
      <c r="G1177" s="281"/>
      <c r="H1177" s="238" t="s">
        <v>18</v>
      </c>
      <c r="I1177" s="270">
        <f ca="1">ROUND(VLOOKUP($H1177,$AJ$4:$AN$13,2,0)*$Q1174*1.51,2)</f>
        <v>21.74</v>
      </c>
      <c r="J1177" s="270">
        <f ca="1">ROUND(VLOOKUP($H1177,$AJ$4:$AN$13,3,0)*$Q1174*1.51,2)</f>
        <v>16.579999999999998</v>
      </c>
      <c r="K1177" s="270">
        <f ca="1">ROUND(VLOOKUP($H1177,$AJ$4:$AN$13,4,0)*$Q1174*1.51,2)</f>
        <v>8.43</v>
      </c>
      <c r="L1177" s="270"/>
      <c r="M1177" s="270">
        <f ca="1">ROUND(VLOOKUP($H1177,$AJ$4:$AN$13,5,0)*$Q1174*1.51*1,2)</f>
        <v>0.54</v>
      </c>
      <c r="N1177" s="270"/>
      <c r="P1177" s="230">
        <f t="shared" si="520"/>
        <v>0</v>
      </c>
      <c r="AP1177" s="241" t="s">
        <v>2053</v>
      </c>
      <c r="AQ1177" s="242"/>
    </row>
    <row r="1178" spans="1:43" x14ac:dyDescent="0.2">
      <c r="A1178" s="224">
        <f>A1123+37</f>
        <v>777</v>
      </c>
      <c r="B1178" s="243" t="str">
        <f ca="1">OFFSET(ЛОТЫ!$L$5,A1178,0,1,1)</f>
        <v>Мамыковское</v>
      </c>
      <c r="C1178" s="244" t="s">
        <v>474</v>
      </c>
      <c r="D1178" s="243">
        <f ca="1">OFFSET(ЛОТЫ!$M$5,A1178,0,1,1)</f>
        <v>52</v>
      </c>
      <c r="E1178" s="243">
        <f ca="1">OFFSET(ЛОТЫ!$N$5,A1178,0,1,1)</f>
        <v>4</v>
      </c>
      <c r="F1178" s="243">
        <f ca="1">OFFSET(ЛОТЫ!$O$5,A1178,0,1,1)</f>
        <v>1</v>
      </c>
      <c r="G1178" s="271">
        <f ca="1">IFERROR(INDEX('Ведомость расчета мин. платы'!$G$10:$AC$214,MATCH(CONCATENATE(B1178,"/",D1178,"/",E1178,"/",F1178),'Ведомость расчета мин. платы'!$AC$10:$AC$214,0),1),"")</f>
        <v>1.8</v>
      </c>
      <c r="H1178" s="246" t="s">
        <v>17</v>
      </c>
      <c r="I1178" s="247">
        <f ca="1">IFERROR(INDEX('Ведомость расчета мин. платы'!$J$10:$AE$214,MATCH(CONCATENATE(РАСЧЕТ!B1178,"/",РАСЧЕТ!D1178,"/",РАСЧЕТ!E1178,"/",F1178,"/",H1178),'Ведомость расчета мин. платы'!$AE$10:$AE$214,0),2),"")</f>
        <v>4.95</v>
      </c>
      <c r="J1178" s="247">
        <f ca="1">IFERROR(INDEX('Ведомость расчета мин. платы'!$J$10:$AE$214,MATCH(CONCATENATE(РАСЧЕТ!B1178,"/",РАСЧЕТ!D1178,"/",РАСЧЕТ!E1178,"/",F1178,"/",H1178),'Ведомость расчета мин. платы'!$AE$10:$AE$214,0),3),"")</f>
        <v>6.45</v>
      </c>
      <c r="K1178" s="247">
        <f ca="1">IFERROR(INDEX('Ведомость расчета мин. платы'!$J$10:$AE$214,MATCH(CONCATENATE(РАСЧЕТ!B1178,"/",РАСЧЕТ!D1178,"/",РАСЧЕТ!E1178,"/",F1178,"/",H1178),'Ведомость расчета мин. платы'!$AE$10:$AE$214,0),4),"")</f>
        <v>2.34</v>
      </c>
      <c r="L1178" s="248">
        <f t="shared" ref="L1178:L1190" ca="1" si="521">IFERROR(SUM(I1178:K1178),"")</f>
        <v>13.74</v>
      </c>
      <c r="M1178" s="214">
        <f ca="1">IFERROR(INDEX('Ведомость расчета мин. платы'!$J$10:$AE$214,MATCH(CONCATENATE(РАСЧЕТ!B1178,"/",РАСЧЕТ!D1178,"/",РАСЧЕТ!E1178,"/",F1178,"/",H1178),'Ведомость расчета мин. платы'!$AE$10:$AE$214,0),6),"")</f>
        <v>10.31</v>
      </c>
      <c r="N1178" s="214">
        <f t="shared" ref="N1178:N1190" ca="1" si="522">IFERROR(SUM(L1178:M1178),"")</f>
        <v>24.05</v>
      </c>
      <c r="O1178" s="229">
        <f>IF(H1178="стоимость","",1)</f>
        <v>1</v>
      </c>
      <c r="P1178" s="230">
        <f t="shared" si="520"/>
        <v>1</v>
      </c>
      <c r="AP1178" s="242"/>
      <c r="AQ1178" s="242"/>
    </row>
    <row r="1179" spans="1:43" x14ac:dyDescent="0.2">
      <c r="B1179" s="249"/>
      <c r="C1179" s="249"/>
      <c r="D1179" s="249"/>
      <c r="E1179" s="249"/>
      <c r="F1179" s="249"/>
      <c r="G1179" s="249"/>
      <c r="H1179" s="250" t="s">
        <v>475</v>
      </c>
      <c r="I1179" s="251">
        <f ca="1">IFERROR(ROUND(I1178*I1172,2),"")</f>
        <v>566.42999999999995</v>
      </c>
      <c r="J1179" s="251">
        <f t="shared" ref="J1179" ca="1" si="523">IFERROR(ROUND(J1178*J1172,2),"")</f>
        <v>525.92999999999995</v>
      </c>
      <c r="K1179" s="251">
        <f t="shared" ref="K1179" ca="1" si="524">IFERROR(ROUND(K1178*K1172,2),"")</f>
        <v>96.67</v>
      </c>
      <c r="L1179" s="251">
        <f t="shared" ca="1" si="521"/>
        <v>1189.03</v>
      </c>
      <c r="M1179" s="251">
        <f t="shared" ref="M1179" ca="1" si="525">IFERROR(ROUND(M1178*M1172,2),"")</f>
        <v>67.22</v>
      </c>
      <c r="N1179" s="252">
        <f t="shared" ca="1" si="522"/>
        <v>1256.25</v>
      </c>
      <c r="O1179" s="229" t="str">
        <f t="shared" ref="O1179:O1189" si="526">IF(H1179="стоимость","",1)</f>
        <v/>
      </c>
      <c r="P1179" s="230">
        <f t="shared" si="520"/>
        <v>0</v>
      </c>
      <c r="AP1179" s="242">
        <f ca="1">SUMIFS('Ведомость расчета мин. платы'!$S$10:$S$209,'Ведомость расчета мин. платы'!$AE$10:$AE$209,CONCATENATE(B1178,"/",D1178,"/",E1178,"/",F1178,"/",H1178))</f>
        <v>1256.25</v>
      </c>
      <c r="AQ1179" s="253">
        <f t="shared" ref="AQ1179" ca="1" si="527">AP1179-N1179</f>
        <v>0</v>
      </c>
    </row>
    <row r="1180" spans="1:43" x14ac:dyDescent="0.2">
      <c r="B1180" s="249"/>
      <c r="C1180" s="249"/>
      <c r="D1180" s="249"/>
      <c r="E1180" s="249"/>
      <c r="F1180" s="249"/>
      <c r="G1180" s="249"/>
      <c r="H1180" s="246" t="s">
        <v>25</v>
      </c>
      <c r="I1180" s="247" t="str">
        <f ca="1">IFERROR(INDEX('Ведомость расчета мин. платы'!$J$10:$AE$214,MATCH(CONCATENATE(РАСЧЕТ!B1178,"/",РАСЧЕТ!D1178,"/",РАСЧЕТ!E1178,"/",F1178,"/",H1180),'Ведомость расчета мин. платы'!$AE$10:$AE$214,0),2),"")</f>
        <v/>
      </c>
      <c r="J1180" s="247" t="str">
        <f ca="1">IFERROR(INDEX('Ведомость расчета мин. платы'!$J$10:$AE$214,MATCH(CONCATENATE(РАСЧЕТ!B1178,"/",РАСЧЕТ!D1178,"/",РАСЧЕТ!E1178,"/",F1178,"/",H1180),'Ведомость расчета мин. платы'!$AE$10:$AE$214,0),3),"")</f>
        <v/>
      </c>
      <c r="K1180" s="247" t="str">
        <f ca="1">IFERROR(INDEX('Ведомость расчета мин. платы'!$J$10:$AE$214,MATCH(CONCATENATE(РАСЧЕТ!B1178,"/",РАСЧЕТ!D1178,"/",РАСЧЕТ!E1178,"/",F1178,"/",H1180),'Ведомость расчета мин. платы'!$AE$10:$AE$214,0),4),"")</f>
        <v/>
      </c>
      <c r="L1180" s="248">
        <f t="shared" ca="1" si="521"/>
        <v>0</v>
      </c>
      <c r="M1180" s="214" t="str">
        <f ca="1">IFERROR(INDEX('Ведомость расчета мин. платы'!$J$10:$AE$214,MATCH(CONCATENATE(РАСЧЕТ!B1178,"/",РАСЧЕТ!D1178,"/",РАСЧЕТ!E1178,"/",F1178,"/",H1180),'Ведомость расчета мин. платы'!$AE$10:$AE$214,0),6),"")</f>
        <v/>
      </c>
      <c r="N1180" s="214">
        <f t="shared" ca="1" si="522"/>
        <v>0</v>
      </c>
      <c r="O1180" s="229">
        <f t="shared" si="526"/>
        <v>1</v>
      </c>
      <c r="P1180" s="230">
        <f t="shared" si="520"/>
        <v>0</v>
      </c>
      <c r="AP1180" s="242"/>
      <c r="AQ1180" s="253"/>
    </row>
    <row r="1181" spans="1:43" x14ac:dyDescent="0.2">
      <c r="B1181" s="249"/>
      <c r="C1181" s="249"/>
      <c r="D1181" s="249"/>
      <c r="E1181" s="249"/>
      <c r="F1181" s="249"/>
      <c r="G1181" s="249"/>
      <c r="H1181" s="250" t="s">
        <v>475</v>
      </c>
      <c r="I1181" s="251" t="str">
        <f ca="1">IFERROR(ROUND(I1180*I1173,2),"")</f>
        <v/>
      </c>
      <c r="J1181" s="251" t="str">
        <f t="shared" ref="J1181" ca="1" si="528">IFERROR(ROUND(J1180*J1173,2),"")</f>
        <v/>
      </c>
      <c r="K1181" s="251" t="str">
        <f t="shared" ref="K1181" ca="1" si="529">IFERROR(ROUND(K1180*K1173,2),"")</f>
        <v/>
      </c>
      <c r="L1181" s="251">
        <f t="shared" ca="1" si="521"/>
        <v>0</v>
      </c>
      <c r="M1181" s="251" t="str">
        <f t="shared" ref="M1181" ca="1" si="530">IFERROR(ROUND(M1180*M1173,2),"")</f>
        <v/>
      </c>
      <c r="N1181" s="252">
        <f t="shared" ca="1" si="522"/>
        <v>0</v>
      </c>
      <c r="O1181" s="229" t="str">
        <f t="shared" si="526"/>
        <v/>
      </c>
      <c r="P1181" s="230">
        <f t="shared" si="520"/>
        <v>0</v>
      </c>
      <c r="AP1181" s="242">
        <f ca="1">SUMIFS('Ведомость расчета мин. платы'!$S$10:$S$209,'Ведомость расчета мин. платы'!$AE$10:$AE$209,CONCATENATE(B1178,"/",D1178,"/",E1178,"/",F1178,"/",H1180))</f>
        <v>0</v>
      </c>
      <c r="AQ1181" s="253">
        <f t="shared" ref="AQ1181" ca="1" si="531">AP1181-N1181</f>
        <v>0</v>
      </c>
    </row>
    <row r="1182" spans="1:43" x14ac:dyDescent="0.2">
      <c r="B1182" s="249"/>
      <c r="C1182" s="249"/>
      <c r="D1182" s="249"/>
      <c r="E1182" s="249"/>
      <c r="F1182" s="249"/>
      <c r="G1182" s="249"/>
      <c r="H1182" s="205" t="s">
        <v>19</v>
      </c>
      <c r="I1182" s="248">
        <f ca="1">IFERROR(INDEX('Ведомость расчета мин. платы'!$J$10:$AE$214,MATCH(CONCATENATE(РАСЧЕТ!B1178,"/",РАСЧЕТ!D1178,"/",РАСЧЕТ!E1178,"/",F1178,"/",H1182),'Ведомость расчета мин. платы'!$AE$10:$AE$214,0),2),"")</f>
        <v>1.61</v>
      </c>
      <c r="J1182" s="248">
        <f ca="1">IFERROR(INDEX('Ведомость расчета мин. платы'!$J$10:$AE$214,MATCH(CONCATENATE(РАСЧЕТ!B1178,"/",РАСЧЕТ!D1178,"/",РАСЧЕТ!E1178,"/",F1178,"/",H1182),'Ведомость расчета мин. платы'!$AE$10:$AE$214,0),3),"")</f>
        <v>4.41</v>
      </c>
      <c r="K1182" s="248">
        <f ca="1">IFERROR(INDEX('Ведомость расчета мин. платы'!$J$10:$AE$214,MATCH(CONCATENATE(РАСЧЕТ!B1178,"/",РАСЧЕТ!D1178,"/",РАСЧЕТ!E1178,"/",F1178,"/",H1182),'Ведомость расчета мин. платы'!$AE$10:$AE$214,0),4),"")</f>
        <v>0.92</v>
      </c>
      <c r="L1182" s="248">
        <f t="shared" ca="1" si="521"/>
        <v>6.94</v>
      </c>
      <c r="M1182" s="248">
        <f ca="1">IFERROR(INDEX('Ведомость расчета мин. платы'!$J$10:$AE$214,MATCH(CONCATENATE(РАСЧЕТ!B1178,"/",РАСЧЕТ!D1178,"/",РАСЧЕТ!E1178,"/",F1178,"/",H1182),'Ведомость расчета мин. платы'!$AE$10:$AE$214,0),6),"")</f>
        <v>17.420000000000002</v>
      </c>
      <c r="N1182" s="214">
        <f t="shared" ca="1" si="522"/>
        <v>24.360000000000003</v>
      </c>
      <c r="O1182" s="229">
        <f t="shared" si="526"/>
        <v>1</v>
      </c>
      <c r="P1182" s="230">
        <f t="shared" si="520"/>
        <v>0</v>
      </c>
      <c r="AP1182" s="242"/>
      <c r="AQ1182" s="253"/>
    </row>
    <row r="1183" spans="1:43" x14ac:dyDescent="0.2">
      <c r="B1183" s="249"/>
      <c r="C1183" s="249"/>
      <c r="D1183" s="249"/>
      <c r="E1183" s="249"/>
      <c r="F1183" s="249"/>
      <c r="G1183" s="249"/>
      <c r="H1183" s="250" t="s">
        <v>475</v>
      </c>
      <c r="I1183" s="251">
        <f ca="1">IFERROR(ROUND(I1182*I1174,2),"")</f>
        <v>109.4</v>
      </c>
      <c r="J1183" s="251">
        <f t="shared" ref="J1183" ca="1" si="532">IFERROR(ROUND(J1182*J1174,2),"")</f>
        <v>218.16</v>
      </c>
      <c r="K1183" s="251">
        <f t="shared" ref="K1183" ca="1" si="533">IFERROR(ROUND(K1182*K1174,2),"")</f>
        <v>23.26</v>
      </c>
      <c r="L1183" s="251">
        <f t="shared" ca="1" si="521"/>
        <v>350.82</v>
      </c>
      <c r="M1183" s="251">
        <f t="shared" ref="M1183" ca="1" si="534">IFERROR(ROUND(M1182*M1174,2),"")</f>
        <v>23.69</v>
      </c>
      <c r="N1183" s="252">
        <f t="shared" ca="1" si="522"/>
        <v>374.51</v>
      </c>
      <c r="O1183" s="229" t="str">
        <f t="shared" si="526"/>
        <v/>
      </c>
      <c r="P1183" s="230">
        <f t="shared" si="520"/>
        <v>0</v>
      </c>
      <c r="AP1183" s="242">
        <f ca="1">SUMIFS('Ведомость расчета мин. платы'!$S$10:$S$209,'Ведомость расчета мин. платы'!$AE$10:$AE$209,CONCATENATE(B1178,"/",D1178,"/",E1178,"/",F1178,"/",H1182))</f>
        <v>374.51</v>
      </c>
      <c r="AQ1183" s="253">
        <f t="shared" ref="AQ1183" ca="1" si="535">AP1183-N1183</f>
        <v>0</v>
      </c>
    </row>
    <row r="1184" spans="1:43" x14ac:dyDescent="0.2">
      <c r="B1184" s="249"/>
      <c r="C1184" s="249"/>
      <c r="D1184" s="249"/>
      <c r="E1184" s="249"/>
      <c r="F1184" s="249"/>
      <c r="G1184" s="249"/>
      <c r="H1184" s="205" t="s">
        <v>268</v>
      </c>
      <c r="I1184" s="248" t="str">
        <f ca="1">IFERROR(INDEX('Ведомость расчета мин. платы'!$J$10:$AE$214,MATCH(CONCATENATE(РАСЧЕТ!B1178,"/",РАСЧЕТ!D1178,"/",РАСЧЕТ!E1178,"/",F1178,"/",H1184),'Ведомость расчета мин. платы'!$AE$10:$AE$214,0),2),"")</f>
        <v/>
      </c>
      <c r="J1184" s="248" t="str">
        <f ca="1">IFERROR(INDEX('Ведомость расчета мин. платы'!$J$10:$AE$214,MATCH(CONCATENATE(РАСЧЕТ!B1178,"/",РАСЧЕТ!D1178,"/",РАСЧЕТ!E1178,"/",F1178,"/",H1184),'Ведомость расчета мин. платы'!$AE$10:$AE$214,0),3),"")</f>
        <v/>
      </c>
      <c r="K1184" s="248" t="str">
        <f ca="1">IFERROR(INDEX('Ведомость расчета мин. платы'!$J$10:$AE$214,MATCH(CONCATENATE(РАСЧЕТ!B1178,"/",РАСЧЕТ!D1178,"/",РАСЧЕТ!E1178,"/",F1178,"/",H1184),'Ведомость расчета мин. платы'!$AE$10:$AE$214,0),4),"")</f>
        <v/>
      </c>
      <c r="L1184" s="248">
        <f t="shared" ca="1" si="521"/>
        <v>0</v>
      </c>
      <c r="M1184" s="248" t="str">
        <f ca="1">IFERROR(INDEX('Ведомость расчета мин. платы'!$J$10:$AE$214,MATCH(CONCATENATE(РАСЧЕТ!B1178,"/",РАСЧЕТ!D1178,"/",РАСЧЕТ!E1178,"/",F1178,"/",H1184),'Ведомость расчета мин. платы'!$AE$10:$AE$214,0),6),"")</f>
        <v/>
      </c>
      <c r="N1184" s="214">
        <f t="shared" ca="1" si="522"/>
        <v>0</v>
      </c>
      <c r="O1184" s="229">
        <f t="shared" si="526"/>
        <v>1</v>
      </c>
      <c r="P1184" s="230">
        <f t="shared" si="520"/>
        <v>0</v>
      </c>
      <c r="AP1184" s="242"/>
      <c r="AQ1184" s="253"/>
    </row>
    <row r="1185" spans="2:43" x14ac:dyDescent="0.2">
      <c r="B1185" s="249"/>
      <c r="C1185" s="249"/>
      <c r="D1185" s="249"/>
      <c r="E1185" s="249"/>
      <c r="F1185" s="249"/>
      <c r="G1185" s="249"/>
      <c r="H1185" s="250" t="s">
        <v>475</v>
      </c>
      <c r="I1185" s="251" t="str">
        <f ca="1">IFERROR(ROUND(I1184*I1177,2),"")</f>
        <v/>
      </c>
      <c r="J1185" s="251" t="str">
        <f ca="1">IFERROR(ROUND(J1184*J1175,2),"")</f>
        <v/>
      </c>
      <c r="K1185" s="251" t="str">
        <f ca="1">IFERROR(ROUND(K1184*K1175,2),"")</f>
        <v/>
      </c>
      <c r="L1185" s="251">
        <f t="shared" ca="1" si="521"/>
        <v>0</v>
      </c>
      <c r="M1185" s="251" t="str">
        <f ca="1">IFERROR(ROUND(M1184*M1175,2),"")</f>
        <v/>
      </c>
      <c r="N1185" s="252">
        <f t="shared" ca="1" si="522"/>
        <v>0</v>
      </c>
      <c r="O1185" s="229" t="str">
        <f t="shared" si="526"/>
        <v/>
      </c>
      <c r="P1185" s="230">
        <f t="shared" si="520"/>
        <v>0</v>
      </c>
      <c r="AP1185" s="242">
        <f ca="1">SUMIFS('Ведомость расчета мин. платы'!$S$10:$S$209,'Ведомость расчета мин. платы'!$AE$10:$AE$209,CONCATENATE(B1178,"/",D1178,"/",E1178,"/",F1178,"/",H1184))</f>
        <v>0</v>
      </c>
      <c r="AQ1185" s="253">
        <f t="shared" ref="AQ1185" ca="1" si="536">AP1185-N1185</f>
        <v>0</v>
      </c>
    </row>
    <row r="1186" spans="2:43" x14ac:dyDescent="0.2">
      <c r="B1186" s="249"/>
      <c r="C1186" s="249"/>
      <c r="D1186" s="249"/>
      <c r="E1186" s="249"/>
      <c r="F1186" s="249"/>
      <c r="G1186" s="249"/>
      <c r="H1186" s="205" t="s">
        <v>40</v>
      </c>
      <c r="I1186" s="248" t="str">
        <f ca="1">IFERROR(INDEX('Ведомость расчета мин. платы'!$J$10:$AE$214,MATCH(CONCATENATE(РАСЧЕТ!B1178,"/",РАСЧЕТ!D1178,"/",РАСЧЕТ!E1178,"/",F1178,"/",H1186),'Ведомость расчета мин. платы'!$AE$10:$AE$214,0),2),"")</f>
        <v/>
      </c>
      <c r="J1186" s="248" t="str">
        <f ca="1">IFERROR(INDEX('Ведомость расчета мин. платы'!$J$10:$AE$214,MATCH(CONCATENATE(РАСЧЕТ!B1178,"/",РАСЧЕТ!D1178,"/",РАСЧЕТ!E1178,"/",F1178,"/",H1186),'Ведомость расчета мин. платы'!$AE$10:$AE$214,0),3),"")</f>
        <v/>
      </c>
      <c r="K1186" s="248" t="str">
        <f ca="1">IFERROR(INDEX('Ведомость расчета мин. платы'!$J$10:$AE$214,MATCH(CONCATENATE(РАСЧЕТ!B1178,"/",РАСЧЕТ!D1178,"/",РАСЧЕТ!E1178,"/",F1178,"/",H1186),'Ведомость расчета мин. платы'!$AE$10:$AE$214,0),4),"")</f>
        <v/>
      </c>
      <c r="L1186" s="248">
        <f t="shared" ca="1" si="521"/>
        <v>0</v>
      </c>
      <c r="M1186" s="248" t="str">
        <f ca="1">IFERROR(INDEX('Ведомость расчета мин. платы'!$J$10:$AE$214,MATCH(CONCATENATE(РАСЧЕТ!B1178,"/",РАСЧЕТ!D1178,"/",РАСЧЕТ!E1178,"/",F1178,"/",H1186),'Ведомость расчета мин. платы'!$AE$10:$AE$214,0),6),"")</f>
        <v/>
      </c>
      <c r="N1186" s="214">
        <f t="shared" ca="1" si="522"/>
        <v>0</v>
      </c>
      <c r="O1186" s="229">
        <f t="shared" si="526"/>
        <v>1</v>
      </c>
      <c r="P1186" s="230">
        <f t="shared" si="520"/>
        <v>0</v>
      </c>
      <c r="AP1186" s="242"/>
      <c r="AQ1186" s="253"/>
    </row>
    <row r="1187" spans="2:43" x14ac:dyDescent="0.2">
      <c r="B1187" s="249"/>
      <c r="C1187" s="249"/>
      <c r="D1187" s="249"/>
      <c r="E1187" s="249"/>
      <c r="F1187" s="249"/>
      <c r="G1187" s="249"/>
      <c r="H1187" s="250" t="s">
        <v>475</v>
      </c>
      <c r="I1187" s="251" t="str">
        <f ca="1">IFERROR(ROUND(I1186*I1176,2),"")</f>
        <v/>
      </c>
      <c r="J1187" s="251" t="str">
        <f t="shared" ref="J1187" ca="1" si="537">IFERROR(ROUND(J1186*J1176,2),"")</f>
        <v/>
      </c>
      <c r="K1187" s="251" t="str">
        <f t="shared" ref="K1187" ca="1" si="538">IFERROR(ROUND(K1186*K1176,2),"")</f>
        <v/>
      </c>
      <c r="L1187" s="251">
        <f t="shared" ca="1" si="521"/>
        <v>0</v>
      </c>
      <c r="M1187" s="251" t="str">
        <f t="shared" ref="M1187" ca="1" si="539">IFERROR(ROUND(M1186*M1176,2),"")</f>
        <v/>
      </c>
      <c r="N1187" s="252">
        <f t="shared" ca="1" si="522"/>
        <v>0</v>
      </c>
      <c r="O1187" s="229" t="str">
        <f t="shared" si="526"/>
        <v/>
      </c>
      <c r="P1187" s="230">
        <f t="shared" si="520"/>
        <v>0</v>
      </c>
      <c r="AP1187" s="242">
        <f ca="1">SUMIFS('Ведомость расчета мин. платы'!$S$10:$S$209,'Ведомость расчета мин. платы'!$AE$10:$AE$209,CONCATENATE(B1178,"/",D1178,"/",E1178,"/",F1178,"/",H1186))</f>
        <v>0</v>
      </c>
      <c r="AQ1187" s="253">
        <f t="shared" ref="AQ1187" ca="1" si="540">AP1187-N1187</f>
        <v>0</v>
      </c>
    </row>
    <row r="1188" spans="2:43" x14ac:dyDescent="0.2">
      <c r="B1188" s="249"/>
      <c r="C1188" s="249"/>
      <c r="D1188" s="249"/>
      <c r="E1188" s="249"/>
      <c r="F1188" s="249"/>
      <c r="G1188" s="249"/>
      <c r="H1188" s="205" t="s">
        <v>18</v>
      </c>
      <c r="I1188" s="248">
        <f ca="1">IFERROR(INDEX('Ведомость расчета мин. платы'!$J$10:$AE$214,MATCH(CONCATENATE(РАСЧЕТ!B1178,"/",РАСЧЕТ!D1178,"/",РАСЧЕТ!E1178,"/",F1178,"/",H1188),'Ведомость расчета мин. платы'!$AE$10:$AE$214,0),2),"")</f>
        <v>43.47</v>
      </c>
      <c r="J1188" s="248">
        <f ca="1">IFERROR(INDEX('Ведомость расчета мин. платы'!$J$10:$AE$214,MATCH(CONCATENATE(РАСЧЕТ!B1178,"/",РАСЧЕТ!D1178,"/",РАСЧЕТ!E1178,"/",F1178,"/",H1188),'Ведомость расчета мин. платы'!$AE$10:$AE$214,0),3),"")</f>
        <v>44.74</v>
      </c>
      <c r="K1188" s="248">
        <f ca="1">IFERROR(INDEX('Ведомость расчета мин. платы'!$J$10:$AE$214,MATCH(CONCATENATE(РАСЧЕТ!B1178,"/",РАСЧЕТ!D1178,"/",РАСЧЕТ!E1178,"/",F1178,"/",H1188),'Ведомость расчета мин. платы'!$AE$10:$AE$214,0),4),"")</f>
        <v>4.17</v>
      </c>
      <c r="L1188" s="248">
        <f t="shared" ca="1" si="521"/>
        <v>92.38000000000001</v>
      </c>
      <c r="M1188" s="248">
        <f ca="1">IFERROR(INDEX('Ведомость расчета мин. платы'!$J$10:$AE$214,MATCH(CONCATENATE(РАСЧЕТ!B1178,"/",РАСЧЕТ!D1178,"/",РАСЧЕТ!E1178,"/",F1178,"/",H1188),'Ведомость расчета мин. платы'!$AE$10:$AE$214,0),6),"")</f>
        <v>105.81</v>
      </c>
      <c r="N1188" s="214">
        <f t="shared" ca="1" si="522"/>
        <v>198.19</v>
      </c>
      <c r="O1188" s="229">
        <f t="shared" si="526"/>
        <v>1</v>
      </c>
      <c r="P1188" s="230">
        <f t="shared" si="520"/>
        <v>0</v>
      </c>
      <c r="AP1188" s="242"/>
      <c r="AQ1188" s="253"/>
    </row>
    <row r="1189" spans="2:43" x14ac:dyDescent="0.2">
      <c r="B1189" s="249"/>
      <c r="C1189" s="249"/>
      <c r="D1189" s="249"/>
      <c r="E1189" s="249"/>
      <c r="F1189" s="249"/>
      <c r="G1189" s="249"/>
      <c r="H1189" s="250" t="s">
        <v>475</v>
      </c>
      <c r="I1189" s="251">
        <f ca="1">IFERROR(ROUND(I1188*I1177,2),"")</f>
        <v>945.04</v>
      </c>
      <c r="J1189" s="251">
        <f t="shared" ref="J1189" ca="1" si="541">IFERROR(ROUND(J1188*J1177,2),"")</f>
        <v>741.79</v>
      </c>
      <c r="K1189" s="251">
        <f t="shared" ref="K1189" ca="1" si="542">IFERROR(ROUND(K1188*K1177,2),"")</f>
        <v>35.15</v>
      </c>
      <c r="L1189" s="251">
        <f t="shared" ca="1" si="521"/>
        <v>1721.98</v>
      </c>
      <c r="M1189" s="251">
        <v>57.129999999999782</v>
      </c>
      <c r="N1189" s="252">
        <f t="shared" ca="1" si="522"/>
        <v>1779.11</v>
      </c>
      <c r="O1189" s="229" t="str">
        <f t="shared" si="526"/>
        <v/>
      </c>
      <c r="P1189" s="230">
        <f t="shared" si="520"/>
        <v>0</v>
      </c>
      <c r="AP1189" s="242">
        <f ca="1">SUMIFS('Ведомость расчета мин. платы'!$S$10:$S$209,'Ведомость расчета мин. платы'!$AE$10:$AE$209,CONCATENATE(B1178,"/",D1178,"/",E1178,"/",F1178,"/",H1188))</f>
        <v>1779.11</v>
      </c>
      <c r="AQ1189" s="253">
        <f t="shared" ref="AQ1189" ca="1" si="543">AP1189-N1189</f>
        <v>0</v>
      </c>
    </row>
    <row r="1190" spans="2:43" x14ac:dyDescent="0.2">
      <c r="B1190" s="249"/>
      <c r="C1190" s="249"/>
      <c r="D1190" s="249"/>
      <c r="E1190" s="249"/>
      <c r="F1190" s="249"/>
      <c r="G1190" s="249"/>
      <c r="H1190" s="254" t="s">
        <v>476</v>
      </c>
      <c r="I1190" s="251">
        <f ca="1">SUMIF($O1178:$O1191,1,I1178:I1189)</f>
        <v>50.03</v>
      </c>
      <c r="J1190" s="251">
        <f ca="1">SUMIF($O1178:$O1191,1,J1178:J1189)</f>
        <v>55.6</v>
      </c>
      <c r="K1190" s="251">
        <f ca="1">SUMIF($O1178:$O1191,1,K1178:K1189)</f>
        <v>7.43</v>
      </c>
      <c r="L1190" s="251">
        <f t="shared" ca="1" si="521"/>
        <v>113.06</v>
      </c>
      <c r="M1190" s="251">
        <f ca="1">SUMIF($O1178:$O1191,1,M1178:M1189)</f>
        <v>133.54000000000002</v>
      </c>
      <c r="N1190" s="252">
        <f t="shared" ca="1" si="522"/>
        <v>246.60000000000002</v>
      </c>
      <c r="AP1190" s="242"/>
      <c r="AQ1190" s="253"/>
    </row>
    <row r="1191" spans="2:43" x14ac:dyDescent="0.2">
      <c r="B1191" s="249"/>
      <c r="C1191" s="249"/>
      <c r="D1191" s="249"/>
      <c r="E1191" s="249"/>
      <c r="F1191" s="249"/>
      <c r="G1191" s="249"/>
      <c r="H1191" s="254" t="s">
        <v>491</v>
      </c>
      <c r="I1191" s="251">
        <f ca="1">SUMIF(H1178:H1189,"стоимость",I1178:I1189)</f>
        <v>1620.87</v>
      </c>
      <c r="J1191" s="251">
        <f ca="1">SUMIF(H1178:H1189,"стоимость",J1178:J1189)</f>
        <v>1485.8799999999999</v>
      </c>
      <c r="K1191" s="251">
        <f ca="1">SUMIF(H1178:H1189,"стоимость",K1178:K1189)</f>
        <v>155.08000000000001</v>
      </c>
      <c r="L1191" s="251">
        <f ca="1">IFERROR(SUM(I1191:K1191),"")</f>
        <v>3261.83</v>
      </c>
      <c r="M1191" s="251">
        <f ca="1">SUMIF(H1178:H1189,"стоимость",M1178:M1189)</f>
        <v>148.03999999999979</v>
      </c>
      <c r="N1191" s="252">
        <f ca="1">IFERROR(SUM(L1191:M1191),"")</f>
        <v>3409.87</v>
      </c>
      <c r="AP1191" s="242">
        <f ca="1">SUMIFS('Ведомость расчета мин. платы'!$S$10:$S$209,'Ведомость расчета мин. платы'!$J$10:$J$209,"Итого",'Ведомость расчета мин. платы'!$AC$10:$AC$209,CONCATENATE(B1178,"/",D1178,"/",E1178,"/",F1178))</f>
        <v>3409.87</v>
      </c>
      <c r="AQ1191" s="253">
        <f ca="1">AP1191-N1191</f>
        <v>0</v>
      </c>
    </row>
    <row r="1192" spans="2:43" x14ac:dyDescent="0.2">
      <c r="B1192" s="255"/>
      <c r="C1192" s="255"/>
      <c r="D1192" s="255"/>
      <c r="E1192" s="255"/>
      <c r="F1192" s="255"/>
      <c r="G1192" s="256"/>
      <c r="H1192" s="257"/>
      <c r="I1192" s="258"/>
      <c r="J1192" s="258"/>
      <c r="K1192" s="258"/>
      <c r="L1192" s="258"/>
      <c r="M1192" s="258"/>
      <c r="N1192" s="258"/>
      <c r="P1192" s="230">
        <f t="shared" ref="P1192:P1210" si="544">IF(A1192&gt;0,1,0)</f>
        <v>0</v>
      </c>
    </row>
    <row r="1193" spans="2:43" x14ac:dyDescent="0.2">
      <c r="B1193" s="282" t="s">
        <v>477</v>
      </c>
      <c r="C1193" s="282"/>
      <c r="D1193" s="282"/>
      <c r="E1193" s="282"/>
      <c r="F1193" s="259"/>
      <c r="G1193" s="225"/>
      <c r="H1193" s="201"/>
      <c r="I1193" s="226"/>
      <c r="J1193" s="258"/>
      <c r="K1193" s="258"/>
      <c r="L1193" s="258"/>
      <c r="M1193" s="258"/>
      <c r="N1193" s="258"/>
      <c r="P1193" s="230">
        <f t="shared" si="544"/>
        <v>0</v>
      </c>
    </row>
    <row r="1194" spans="2:43" x14ac:dyDescent="0.2">
      <c r="B1194" s="283" t="s">
        <v>525</v>
      </c>
      <c r="C1194" s="283"/>
      <c r="D1194" s="283"/>
      <c r="E1194" s="283"/>
      <c r="F1194" s="283"/>
      <c r="G1194" s="283"/>
      <c r="H1194" s="283"/>
      <c r="I1194" s="283"/>
      <c r="J1194" s="261"/>
      <c r="K1194" s="261"/>
      <c r="L1194" s="261"/>
      <c r="M1194" s="261"/>
      <c r="N1194" s="261"/>
      <c r="P1194" s="230">
        <f t="shared" si="544"/>
        <v>0</v>
      </c>
    </row>
    <row r="1195" spans="2:43" x14ac:dyDescent="0.2">
      <c r="B1195" s="284" t="s">
        <v>478</v>
      </c>
      <c r="C1195" s="284"/>
      <c r="D1195" s="284"/>
      <c r="E1195" s="284"/>
      <c r="F1195" s="284"/>
      <c r="G1195" s="284"/>
      <c r="H1195" s="284"/>
      <c r="I1195" s="284"/>
      <c r="J1195" s="258"/>
      <c r="K1195" s="258"/>
      <c r="L1195" s="258"/>
      <c r="M1195" s="258"/>
      <c r="N1195" s="258"/>
      <c r="P1195" s="230">
        <f t="shared" si="544"/>
        <v>0</v>
      </c>
    </row>
    <row r="1196" spans="2:43" x14ac:dyDescent="0.2">
      <c r="B1196" s="284" t="s">
        <v>479</v>
      </c>
      <c r="C1196" s="284"/>
      <c r="D1196" s="284"/>
      <c r="E1196" s="284"/>
      <c r="F1196" s="284"/>
      <c r="G1196" s="284"/>
      <c r="H1196" s="284"/>
      <c r="I1196" s="284"/>
      <c r="J1196" s="258"/>
      <c r="K1196" s="258"/>
      <c r="L1196" s="258"/>
      <c r="M1196" s="258"/>
      <c r="N1196" s="258"/>
      <c r="P1196" s="230">
        <f t="shared" si="544"/>
        <v>0</v>
      </c>
    </row>
    <row r="1197" spans="2:43" x14ac:dyDescent="0.2">
      <c r="B1197" s="284" t="s">
        <v>480</v>
      </c>
      <c r="C1197" s="284"/>
      <c r="D1197" s="284"/>
      <c r="E1197" s="284"/>
      <c r="F1197" s="284"/>
      <c r="G1197" s="284"/>
      <c r="H1197" s="284"/>
      <c r="I1197" s="284"/>
      <c r="J1197" s="258"/>
      <c r="K1197" s="258"/>
      <c r="L1197" s="258"/>
      <c r="M1197" s="258"/>
      <c r="N1197" s="258"/>
      <c r="P1197" s="230">
        <f t="shared" si="544"/>
        <v>0</v>
      </c>
    </row>
    <row r="1198" spans="2:43" x14ac:dyDescent="0.2">
      <c r="B1198" s="284" t="s">
        <v>481</v>
      </c>
      <c r="C1198" s="284"/>
      <c r="D1198" s="284"/>
      <c r="E1198" s="284"/>
      <c r="F1198" s="284"/>
      <c r="G1198" s="284"/>
      <c r="H1198" s="284"/>
      <c r="I1198" s="284"/>
      <c r="J1198" s="226"/>
      <c r="K1198" s="226"/>
      <c r="L1198" s="226"/>
      <c r="M1198" s="226"/>
      <c r="N1198" s="226"/>
      <c r="P1198" s="230">
        <f t="shared" si="544"/>
        <v>0</v>
      </c>
    </row>
    <row r="1199" spans="2:43" x14ac:dyDescent="0.2">
      <c r="B1199" s="284" t="s">
        <v>482</v>
      </c>
      <c r="C1199" s="284"/>
      <c r="D1199" s="284"/>
      <c r="E1199" s="284"/>
      <c r="F1199" s="284"/>
      <c r="G1199" s="284"/>
      <c r="H1199" s="284"/>
      <c r="I1199" s="284"/>
      <c r="J1199" s="226"/>
      <c r="K1199" s="226"/>
      <c r="L1199" s="226"/>
      <c r="M1199" s="226"/>
      <c r="N1199" s="226"/>
      <c r="P1199" s="230">
        <f t="shared" si="544"/>
        <v>0</v>
      </c>
    </row>
    <row r="1200" spans="2:43" x14ac:dyDescent="0.2">
      <c r="B1200" s="284" t="s">
        <v>483</v>
      </c>
      <c r="C1200" s="284"/>
      <c r="D1200" s="284"/>
      <c r="E1200" s="284"/>
      <c r="F1200" s="284"/>
      <c r="G1200" s="284"/>
      <c r="H1200" s="284"/>
      <c r="I1200" s="284"/>
      <c r="J1200" s="226"/>
      <c r="K1200" s="226"/>
      <c r="L1200" s="226"/>
      <c r="M1200" s="226"/>
      <c r="N1200" s="226"/>
      <c r="P1200" s="230">
        <f t="shared" si="544"/>
        <v>0</v>
      </c>
    </row>
    <row r="1201" spans="1:16" x14ac:dyDescent="0.2">
      <c r="B1201" s="284" t="s">
        <v>484</v>
      </c>
      <c r="C1201" s="284"/>
      <c r="D1201" s="284"/>
      <c r="E1201" s="284"/>
      <c r="F1201" s="284"/>
      <c r="G1201" s="284"/>
      <c r="H1201" s="284"/>
      <c r="I1201" s="284"/>
      <c r="J1201" s="226"/>
      <c r="K1201" s="226"/>
      <c r="L1201" s="226"/>
      <c r="M1201" s="226"/>
      <c r="N1201" s="226"/>
      <c r="P1201" s="230">
        <f t="shared" si="544"/>
        <v>0</v>
      </c>
    </row>
    <row r="1202" spans="1:16" x14ac:dyDescent="0.2">
      <c r="B1202" s="264"/>
      <c r="C1202" s="264"/>
      <c r="D1202" s="264"/>
      <c r="E1202" s="264"/>
      <c r="F1202" s="264"/>
      <c r="G1202" s="264"/>
      <c r="H1202" s="264"/>
      <c r="I1202" s="265"/>
      <c r="J1202" s="226"/>
      <c r="K1202" s="226"/>
      <c r="L1202" s="226"/>
      <c r="M1202" s="226"/>
      <c r="N1202" s="226"/>
      <c r="P1202" s="230">
        <f t="shared" si="544"/>
        <v>0</v>
      </c>
    </row>
    <row r="1203" spans="1:16" x14ac:dyDescent="0.2">
      <c r="B1203" s="225" t="s">
        <v>485</v>
      </c>
      <c r="C1203" s="225"/>
      <c r="D1203" s="225"/>
      <c r="E1203" s="225"/>
      <c r="F1203" s="225"/>
      <c r="G1203" s="225"/>
      <c r="H1203" s="201"/>
      <c r="I1203" s="226"/>
      <c r="J1203" s="226" t="s">
        <v>486</v>
      </c>
      <c r="K1203" s="226"/>
      <c r="L1203" s="226"/>
      <c r="M1203" s="226"/>
      <c r="N1203" s="226"/>
      <c r="P1203" s="230">
        <f t="shared" si="544"/>
        <v>0</v>
      </c>
    </row>
    <row r="1204" spans="1:16" x14ac:dyDescent="0.2">
      <c r="B1204" s="266" t="s">
        <v>524</v>
      </c>
      <c r="C1204" s="266"/>
      <c r="D1204" s="225"/>
      <c r="E1204" s="225"/>
      <c r="F1204" s="225"/>
      <c r="G1204" s="225"/>
      <c r="H1204" s="201"/>
      <c r="I1204" s="226"/>
      <c r="J1204" s="267"/>
      <c r="K1204" s="267"/>
      <c r="L1204" s="267"/>
      <c r="M1204" s="226"/>
      <c r="N1204" s="226"/>
      <c r="P1204" s="230">
        <f t="shared" si="544"/>
        <v>0</v>
      </c>
    </row>
    <row r="1205" spans="1:16" x14ac:dyDescent="0.2">
      <c r="B1205" s="268" t="s">
        <v>487</v>
      </c>
      <c r="C1205" s="225"/>
      <c r="D1205" s="225"/>
      <c r="E1205" s="225"/>
      <c r="F1205" s="225"/>
      <c r="G1205" s="225"/>
      <c r="H1205" s="201"/>
      <c r="I1205" s="226"/>
      <c r="J1205" s="226" t="s">
        <v>487</v>
      </c>
      <c r="K1205" s="226"/>
      <c r="L1205" s="226"/>
      <c r="M1205" s="226"/>
      <c r="N1205" s="226"/>
      <c r="P1205" s="230">
        <f t="shared" si="544"/>
        <v>0</v>
      </c>
    </row>
    <row r="1206" spans="1:16" x14ac:dyDescent="0.2">
      <c r="B1206" s="225"/>
      <c r="C1206" s="225"/>
      <c r="D1206" s="225"/>
      <c r="E1206" s="225"/>
      <c r="F1206" s="225"/>
      <c r="G1206" s="225"/>
      <c r="H1206" s="201"/>
      <c r="I1206" s="226"/>
      <c r="J1206" s="226"/>
      <c r="K1206" s="226"/>
      <c r="L1206" s="226"/>
      <c r="M1206" s="226"/>
      <c r="N1206" s="226"/>
      <c r="P1206" s="230">
        <f t="shared" si="544"/>
        <v>0</v>
      </c>
    </row>
    <row r="1207" spans="1:16" x14ac:dyDescent="0.2">
      <c r="B1207" s="266"/>
      <c r="C1207" s="266"/>
      <c r="D1207" s="225"/>
      <c r="E1207" s="225"/>
      <c r="F1207" s="225"/>
      <c r="G1207" s="225"/>
      <c r="H1207" s="201"/>
      <c r="I1207" s="226"/>
      <c r="J1207" s="267"/>
      <c r="K1207" s="267"/>
      <c r="L1207" s="267"/>
      <c r="M1207" s="226"/>
      <c r="N1207" s="226"/>
      <c r="P1207" s="230">
        <f t="shared" si="544"/>
        <v>0</v>
      </c>
    </row>
    <row r="1208" spans="1:16" x14ac:dyDescent="0.2">
      <c r="B1208" s="269" t="s">
        <v>488</v>
      </c>
      <c r="C1208" s="225"/>
      <c r="D1208" s="225"/>
      <c r="E1208" s="225"/>
      <c r="F1208" s="225"/>
      <c r="G1208" s="225"/>
      <c r="H1208" s="201"/>
      <c r="I1208" s="226"/>
      <c r="J1208" s="285" t="s">
        <v>488</v>
      </c>
      <c r="K1208" s="285"/>
      <c r="L1208" s="285"/>
      <c r="M1208" s="226"/>
      <c r="N1208" s="226"/>
      <c r="P1208" s="230">
        <f t="shared" si="544"/>
        <v>0</v>
      </c>
    </row>
    <row r="1209" spans="1:16" x14ac:dyDescent="0.2">
      <c r="B1209" s="225"/>
      <c r="C1209" s="225"/>
      <c r="D1209" s="225"/>
      <c r="E1209" s="225"/>
      <c r="F1209" s="225"/>
      <c r="G1209" s="225"/>
      <c r="H1209" s="201"/>
      <c r="I1209" s="226"/>
      <c r="J1209" s="226"/>
      <c r="K1209" s="226"/>
      <c r="L1209" s="226"/>
      <c r="M1209" s="226"/>
      <c r="N1209" s="226"/>
      <c r="P1209" s="230">
        <f t="shared" si="544"/>
        <v>0</v>
      </c>
    </row>
    <row r="1210" spans="1:16" x14ac:dyDescent="0.2">
      <c r="B1210" s="264" t="s">
        <v>489</v>
      </c>
      <c r="C1210" s="225"/>
      <c r="D1210" s="225"/>
      <c r="E1210" s="225"/>
      <c r="F1210" s="225"/>
      <c r="G1210" s="225"/>
      <c r="H1210" s="201"/>
      <c r="I1210" s="226"/>
      <c r="J1210" s="226" t="s">
        <v>489</v>
      </c>
      <c r="K1210" s="226"/>
      <c r="L1210" s="226"/>
      <c r="M1210" s="226"/>
      <c r="N1210" s="226"/>
      <c r="P1210" s="230">
        <f t="shared" si="544"/>
        <v>0</v>
      </c>
    </row>
    <row r="1211" spans="1:16" x14ac:dyDescent="0.2">
      <c r="A1211" s="272"/>
      <c r="B1211" s="225"/>
      <c r="C1211" s="225"/>
      <c r="D1211" s="225"/>
      <c r="E1211" s="225"/>
      <c r="F1211" s="225"/>
      <c r="G1211" s="225"/>
      <c r="H1211" s="201"/>
      <c r="I1211" s="226"/>
      <c r="J1211" s="226"/>
      <c r="K1211" s="226"/>
      <c r="M1211" s="226"/>
      <c r="N1211" s="228"/>
    </row>
    <row r="1212" spans="1:16" x14ac:dyDescent="0.2">
      <c r="A1212" s="260"/>
      <c r="B1212" s="225"/>
      <c r="C1212" s="225"/>
      <c r="D1212" s="225"/>
      <c r="E1212" s="225"/>
      <c r="F1212" s="225"/>
      <c r="G1212" s="225"/>
      <c r="H1212" s="201"/>
      <c r="I1212" s="226"/>
      <c r="J1212" s="226"/>
      <c r="K1212" s="226"/>
      <c r="M1212" s="226"/>
      <c r="N1212" s="228" t="s">
        <v>455</v>
      </c>
      <c r="P1212" s="230">
        <f t="shared" ref="P1212:P1229" si="545">IF(A1212&gt;0,1,0)</f>
        <v>0</v>
      </c>
    </row>
    <row r="1213" spans="1:16" x14ac:dyDescent="0.2">
      <c r="B1213" s="225"/>
      <c r="C1213" s="225"/>
      <c r="D1213" s="225"/>
      <c r="E1213" s="225"/>
      <c r="F1213" s="225"/>
      <c r="G1213" s="225"/>
      <c r="H1213" s="201"/>
      <c r="I1213" s="226"/>
      <c r="J1213" s="226"/>
      <c r="K1213" s="226"/>
      <c r="M1213" s="226"/>
      <c r="N1213" s="228" t="s">
        <v>456</v>
      </c>
      <c r="P1213" s="230">
        <f t="shared" si="545"/>
        <v>0</v>
      </c>
    </row>
    <row r="1214" spans="1:16" x14ac:dyDescent="0.2">
      <c r="B1214" s="225"/>
      <c r="C1214" s="225"/>
      <c r="D1214" s="225"/>
      <c r="E1214" s="225"/>
      <c r="F1214" s="225"/>
      <c r="G1214" s="225"/>
      <c r="H1214" s="201"/>
      <c r="I1214" s="226"/>
      <c r="J1214" s="226"/>
      <c r="K1214" s="226"/>
      <c r="M1214" s="226"/>
      <c r="N1214" s="228" t="s">
        <v>457</v>
      </c>
      <c r="P1214" s="230">
        <f t="shared" si="545"/>
        <v>0</v>
      </c>
    </row>
    <row r="1215" spans="1:16" x14ac:dyDescent="0.2">
      <c r="B1215" s="225"/>
      <c r="C1215" s="225"/>
      <c r="D1215" s="225"/>
      <c r="E1215" s="225"/>
      <c r="F1215" s="225"/>
      <c r="G1215" s="225"/>
      <c r="H1215" s="201"/>
      <c r="I1215" s="226"/>
      <c r="J1215" s="226"/>
      <c r="K1215" s="226"/>
      <c r="L1215" s="226"/>
      <c r="M1215" s="226"/>
      <c r="N1215" s="226"/>
      <c r="P1215" s="230">
        <f t="shared" si="545"/>
        <v>0</v>
      </c>
    </row>
    <row r="1216" spans="1:16" x14ac:dyDescent="0.2">
      <c r="B1216" s="225"/>
      <c r="C1216" s="286" t="s">
        <v>458</v>
      </c>
      <c r="D1216" s="286"/>
      <c r="E1216" s="286"/>
      <c r="F1216" s="286"/>
      <c r="G1216" s="286"/>
      <c r="H1216" s="286"/>
      <c r="I1216" s="286"/>
      <c r="J1216" s="286"/>
      <c r="K1216" s="286"/>
      <c r="L1216" s="286"/>
      <c r="M1216" s="226"/>
      <c r="N1216" s="226"/>
      <c r="P1216" s="230">
        <f t="shared" si="545"/>
        <v>0</v>
      </c>
    </row>
    <row r="1217" spans="1:43" x14ac:dyDescent="0.2">
      <c r="B1217" s="225"/>
      <c r="C1217" s="286" t="s">
        <v>459</v>
      </c>
      <c r="D1217" s="286"/>
      <c r="E1217" s="286"/>
      <c r="F1217" s="286"/>
      <c r="G1217" s="286"/>
      <c r="H1217" s="286"/>
      <c r="I1217" s="286"/>
      <c r="J1217" s="286"/>
      <c r="K1217" s="286"/>
      <c r="L1217" s="286"/>
      <c r="M1217" s="226"/>
      <c r="N1217" s="226"/>
      <c r="P1217" s="230">
        <f t="shared" si="545"/>
        <v>0</v>
      </c>
    </row>
    <row r="1218" spans="1:43" x14ac:dyDescent="0.2">
      <c r="B1218" s="225" t="s">
        <v>460</v>
      </c>
      <c r="C1218" s="234"/>
      <c r="D1218" s="234"/>
      <c r="E1218" s="234"/>
      <c r="F1218" s="234"/>
      <c r="G1218" s="234"/>
      <c r="H1218" s="234"/>
      <c r="I1218" s="235"/>
      <c r="J1218" s="235"/>
      <c r="K1218" s="235"/>
      <c r="L1218" s="287" t="s">
        <v>461</v>
      </c>
      <c r="M1218" s="287"/>
      <c r="N1218" s="287"/>
      <c r="P1218" s="230">
        <f t="shared" si="545"/>
        <v>0</v>
      </c>
    </row>
    <row r="1219" spans="1:43" x14ac:dyDescent="0.2">
      <c r="B1219" s="225"/>
      <c r="C1219" s="234"/>
      <c r="D1219" s="234"/>
      <c r="E1219" s="234"/>
      <c r="F1219" s="234"/>
      <c r="G1219" s="234"/>
      <c r="H1219" s="234"/>
      <c r="I1219" s="235"/>
      <c r="J1219" s="235"/>
      <c r="K1219" s="235"/>
      <c r="L1219" s="235"/>
      <c r="M1219" s="235"/>
      <c r="N1219" s="235"/>
      <c r="P1219" s="230">
        <f t="shared" si="545"/>
        <v>0</v>
      </c>
    </row>
    <row r="1220" spans="1:43" x14ac:dyDescent="0.2">
      <c r="B1220" s="225" t="s">
        <v>2038</v>
      </c>
      <c r="C1220" s="234"/>
      <c r="D1220" s="234"/>
      <c r="E1220" s="234"/>
      <c r="F1220" s="234"/>
      <c r="G1220" s="234"/>
      <c r="H1220" s="234"/>
      <c r="I1220" s="235"/>
      <c r="J1220" s="235"/>
      <c r="K1220" s="235"/>
      <c r="L1220" s="235"/>
      <c r="M1220" s="235"/>
      <c r="N1220" s="235"/>
      <c r="P1220" s="230">
        <f t="shared" si="545"/>
        <v>0</v>
      </c>
    </row>
    <row r="1221" spans="1:43" x14ac:dyDescent="0.2">
      <c r="B1221" s="225" t="s">
        <v>462</v>
      </c>
      <c r="C1221" s="234"/>
      <c r="D1221" s="234"/>
      <c r="E1221" s="234"/>
      <c r="F1221" s="234"/>
      <c r="G1221" s="234"/>
      <c r="H1221" s="234"/>
      <c r="I1221" s="235"/>
      <c r="J1221" s="235"/>
      <c r="K1221" s="235"/>
      <c r="L1221" s="235"/>
      <c r="M1221" s="235"/>
      <c r="N1221" s="235"/>
      <c r="P1221" s="230">
        <f t="shared" si="545"/>
        <v>0</v>
      </c>
    </row>
    <row r="1222" spans="1:43" x14ac:dyDescent="0.2">
      <c r="B1222" s="225" t="s">
        <v>2037</v>
      </c>
      <c r="C1222" s="234"/>
      <c r="D1222" s="234"/>
      <c r="E1222" s="234"/>
      <c r="F1222" s="234"/>
      <c r="G1222" s="234"/>
      <c r="H1222" s="234"/>
      <c r="I1222" s="235"/>
      <c r="J1222" s="235"/>
      <c r="K1222" s="235"/>
      <c r="L1222" s="235"/>
      <c r="M1222" s="235"/>
      <c r="N1222" s="235"/>
      <c r="P1222" s="230">
        <f t="shared" si="545"/>
        <v>0</v>
      </c>
    </row>
    <row r="1223" spans="1:43" x14ac:dyDescent="0.2">
      <c r="B1223" s="225" t="s">
        <v>2052</v>
      </c>
      <c r="C1223" s="234"/>
      <c r="D1223" s="234"/>
      <c r="E1223" s="234"/>
      <c r="F1223" s="234"/>
      <c r="G1223" s="234"/>
      <c r="H1223" s="234"/>
      <c r="I1223" s="235"/>
      <c r="J1223" s="235"/>
      <c r="K1223" s="235"/>
      <c r="L1223" s="235"/>
      <c r="M1223" s="235"/>
      <c r="N1223" s="235"/>
      <c r="P1223" s="230">
        <f t="shared" si="545"/>
        <v>0</v>
      </c>
    </row>
    <row r="1224" spans="1:43" x14ac:dyDescent="0.2">
      <c r="B1224" s="225"/>
      <c r="C1224" s="225"/>
      <c r="D1224" s="225"/>
      <c r="E1224" s="225"/>
      <c r="F1224" s="225"/>
      <c r="G1224" s="225"/>
      <c r="H1224" s="201"/>
      <c r="I1224" s="226"/>
      <c r="J1224" s="226"/>
      <c r="K1224" s="226"/>
      <c r="L1224" s="226"/>
      <c r="M1224" s="226"/>
      <c r="N1224" s="226"/>
      <c r="P1224" s="230">
        <f t="shared" si="545"/>
        <v>0</v>
      </c>
    </row>
    <row r="1225" spans="1:43" x14ac:dyDescent="0.2">
      <c r="B1225" s="288" t="s">
        <v>106</v>
      </c>
      <c r="C1225" s="290" t="s">
        <v>463</v>
      </c>
      <c r="D1225" s="288" t="s">
        <v>464</v>
      </c>
      <c r="E1225" s="288" t="s">
        <v>465</v>
      </c>
      <c r="F1225" s="288" t="s">
        <v>490</v>
      </c>
      <c r="G1225" s="288" t="s">
        <v>466</v>
      </c>
      <c r="H1225" s="292" t="s">
        <v>8</v>
      </c>
      <c r="I1225" s="294" t="s">
        <v>467</v>
      </c>
      <c r="J1225" s="295"/>
      <c r="K1225" s="295"/>
      <c r="L1225" s="296"/>
      <c r="M1225" s="297" t="s">
        <v>468</v>
      </c>
      <c r="N1225" s="299" t="s">
        <v>469</v>
      </c>
      <c r="P1225" s="230">
        <f t="shared" si="545"/>
        <v>0</v>
      </c>
    </row>
    <row r="1226" spans="1:43" x14ac:dyDescent="0.2">
      <c r="B1226" s="289"/>
      <c r="C1226" s="291"/>
      <c r="D1226" s="289"/>
      <c r="E1226" s="289"/>
      <c r="F1226" s="289"/>
      <c r="G1226" s="289"/>
      <c r="H1226" s="293"/>
      <c r="I1226" s="236" t="s">
        <v>470</v>
      </c>
      <c r="J1226" s="236" t="s">
        <v>471</v>
      </c>
      <c r="K1226" s="236" t="s">
        <v>472</v>
      </c>
      <c r="L1226" s="236" t="s">
        <v>473</v>
      </c>
      <c r="M1226" s="298"/>
      <c r="N1226" s="300"/>
      <c r="P1226" s="230">
        <f t="shared" si="545"/>
        <v>0</v>
      </c>
    </row>
    <row r="1227" spans="1:43" x14ac:dyDescent="0.2">
      <c r="A1227" s="224" t="str">
        <f>CONCATENATE("Лот"," ",A1228)</f>
        <v>Лот 23</v>
      </c>
      <c r="B1227" s="273" t="s">
        <v>2087</v>
      </c>
      <c r="C1227" s="274"/>
      <c r="D1227" s="274"/>
      <c r="E1227" s="274"/>
      <c r="F1227" s="274"/>
      <c r="G1227" s="275"/>
      <c r="H1227" s="238" t="s">
        <v>17</v>
      </c>
      <c r="I1227" s="270">
        <f ca="1">ROUND(VLOOKUP($H1227,$AJ$4:$AN$13,2,0)*$Q1229*1.51,2)</f>
        <v>114.43</v>
      </c>
      <c r="J1227" s="270">
        <f ca="1">ROUND(VLOOKUP($H1227,$AJ$4:$AN$13,3,0)*$Q1229*1.51,2)</f>
        <v>81.540000000000006</v>
      </c>
      <c r="K1227" s="270">
        <f ca="1">ROUND(VLOOKUP($H1227,$AJ$4:$AN$13,4,0)*$Q1229*1.51,2)</f>
        <v>41.31</v>
      </c>
      <c r="L1227" s="270"/>
      <c r="M1227" s="270">
        <f ca="1">ROUND(VLOOKUP($H1227,$AJ$4:$AN$13,5,0)*$Q1229*1.51,2)</f>
        <v>6.52</v>
      </c>
      <c r="N1227" s="270"/>
      <c r="P1227" s="230">
        <f t="shared" si="545"/>
        <v>1</v>
      </c>
    </row>
    <row r="1228" spans="1:43" x14ac:dyDescent="0.2">
      <c r="A1228" s="224">
        <f>A1173+1</f>
        <v>23</v>
      </c>
      <c r="B1228" s="276"/>
      <c r="C1228" s="277"/>
      <c r="D1228" s="277"/>
      <c r="E1228" s="277"/>
      <c r="F1228" s="277"/>
      <c r="G1228" s="278"/>
      <c r="H1228" s="238" t="s">
        <v>25</v>
      </c>
      <c r="I1228" s="270">
        <f ca="1">ROUND(VLOOKUP($H1228,$AJ$4:$AN$13,2,0)*$Q1229*1.51,2)</f>
        <v>855.9</v>
      </c>
      <c r="J1228" s="270">
        <f ca="1">ROUND(VLOOKUP($H1228,$AJ$4:$AN$13,3,0)*$Q1229*1.51,2)</f>
        <v>611.54999999999995</v>
      </c>
      <c r="K1228" s="270">
        <f ca="1">ROUND(VLOOKUP($H1228,$AJ$4:$AN$13,4,0)*$Q1229*1.51,2)</f>
        <v>307.68</v>
      </c>
      <c r="L1228" s="270"/>
      <c r="M1228" s="270">
        <f ca="1">ROUND(VLOOKUP($H1228,$AJ$4:$AN$13,5,0)*$Q1229*1.51,2)</f>
        <v>26.64</v>
      </c>
      <c r="N1228" s="270"/>
      <c r="P1228" s="230">
        <f t="shared" si="545"/>
        <v>1</v>
      </c>
      <c r="Q1228" s="240" t="s">
        <v>2045</v>
      </c>
      <c r="R1228" s="240" t="s">
        <v>2046</v>
      </c>
    </row>
    <row r="1229" spans="1:43" x14ac:dyDescent="0.2">
      <c r="B1229" s="276"/>
      <c r="C1229" s="277"/>
      <c r="D1229" s="277"/>
      <c r="E1229" s="277"/>
      <c r="F1229" s="277"/>
      <c r="G1229" s="278"/>
      <c r="H1229" s="238" t="s">
        <v>19</v>
      </c>
      <c r="I1229" s="270">
        <f ca="1">ROUND(VLOOKUP($H1229,$AJ$4:$AN$13,2,0)*$Q1229*1.51,2)</f>
        <v>67.95</v>
      </c>
      <c r="J1229" s="270">
        <f ca="1">ROUND(VLOOKUP($H1229,$AJ$4:$AN$13,3,0)*$Q1229*1.51,2)</f>
        <v>49.47</v>
      </c>
      <c r="K1229" s="270">
        <f ca="1">ROUND(VLOOKUP($H1229,$AJ$4:$AN$13,4,0)*$Q1229*1.51,2)</f>
        <v>25.28</v>
      </c>
      <c r="L1229" s="270"/>
      <c r="M1229" s="270">
        <f ca="1">ROUND(VLOOKUP($H1229,$AJ$4:$AN$13,5,0)*$Q1229*1.51,2)</f>
        <v>1.36</v>
      </c>
      <c r="N1229" s="270"/>
      <c r="P1229" s="230">
        <f t="shared" si="545"/>
        <v>0</v>
      </c>
      <c r="Q1229" s="123">
        <f ca="1">IFERROR(IF(R1229="","",IF(OR(R1229&lt;100,R1229=100),0.9,IF(OR(AND(R1229&gt;100,R1229&lt;150),R1229=150),1,IF(R1229&gt;150,1.05,"")))),"0")</f>
        <v>1</v>
      </c>
      <c r="R1229" s="123">
        <f ca="1">N1245/G1233</f>
        <v>142.59714285714284</v>
      </c>
    </row>
    <row r="1230" spans="1:43" x14ac:dyDescent="0.2">
      <c r="B1230" s="276"/>
      <c r="C1230" s="277"/>
      <c r="D1230" s="277"/>
      <c r="E1230" s="277"/>
      <c r="F1230" s="277"/>
      <c r="G1230" s="278"/>
      <c r="H1230" s="238" t="s">
        <v>268</v>
      </c>
      <c r="I1230" s="270">
        <f ca="1">ROUND(VLOOKUP($H1230,$AJ$4:$AN$13,2,0)*$Q1229*1.51,2)</f>
        <v>855.9</v>
      </c>
      <c r="J1230" s="270">
        <f ca="1">ROUND(VLOOKUP($H1230,$AJ$4:$AN$13,3,0)*$Q1229*1.51,2)</f>
        <v>611.54999999999995</v>
      </c>
      <c r="K1230" s="270">
        <f ca="1">ROUND(VLOOKUP($H1230,$AJ$4:$AN$13,4,0)*$Q1229*1.51,2)</f>
        <v>307.68</v>
      </c>
      <c r="L1230" s="270"/>
      <c r="M1230" s="270">
        <f ca="1">ROUND(VLOOKUP($H1230,$AJ$4:$AN$13,5,0)*$Q1229*1.51,2)</f>
        <v>26.64</v>
      </c>
      <c r="N1230" s="270"/>
    </row>
    <row r="1231" spans="1:43" x14ac:dyDescent="0.2">
      <c r="B1231" s="276"/>
      <c r="C1231" s="277"/>
      <c r="D1231" s="277"/>
      <c r="E1231" s="277"/>
      <c r="F1231" s="277"/>
      <c r="G1231" s="278"/>
      <c r="H1231" s="238" t="s">
        <v>40</v>
      </c>
      <c r="I1231" s="270">
        <f ca="1">ROUND(VLOOKUP($H1231,$AJ$4:$AN$13,2,0)*$Q1229*1.51,2)</f>
        <v>67.95</v>
      </c>
      <c r="J1231" s="270">
        <f ca="1">ROUND(VLOOKUP($H1231,$AJ$4:$AN$13,3,0)*$Q1229*1.51,2)</f>
        <v>49.47</v>
      </c>
      <c r="K1231" s="270">
        <f ca="1">ROUND(VLOOKUP($H1231,$AJ$4:$AN$13,4,0)*$Q1229*1.51,2)</f>
        <v>25.28</v>
      </c>
      <c r="L1231" s="270"/>
      <c r="M1231" s="270">
        <f ca="1">ROUND(VLOOKUP($H1231,$AJ$4:$AN$13,5,0)*$Q1229*1.51,2)</f>
        <v>1.36</v>
      </c>
      <c r="N1231" s="270"/>
      <c r="P1231" s="230">
        <f t="shared" ref="P1231:P1244" si="546">IF(A1231&gt;0,1,0)</f>
        <v>0</v>
      </c>
    </row>
    <row r="1232" spans="1:43" x14ac:dyDescent="0.2">
      <c r="B1232" s="279"/>
      <c r="C1232" s="280"/>
      <c r="D1232" s="280"/>
      <c r="E1232" s="280"/>
      <c r="F1232" s="280"/>
      <c r="G1232" s="281"/>
      <c r="H1232" s="238" t="s">
        <v>18</v>
      </c>
      <c r="I1232" s="270">
        <f ca="1">ROUND(VLOOKUP($H1232,$AJ$4:$AN$13,2,0)*$Q1229*1.51,2)</f>
        <v>21.74</v>
      </c>
      <c r="J1232" s="270">
        <f ca="1">ROUND(VLOOKUP($H1232,$AJ$4:$AN$13,3,0)*$Q1229*1.51,2)</f>
        <v>16.579999999999998</v>
      </c>
      <c r="K1232" s="270">
        <f ca="1">ROUND(VLOOKUP($H1232,$AJ$4:$AN$13,4,0)*$Q1229*1.51,2)</f>
        <v>8.43</v>
      </c>
      <c r="L1232" s="270"/>
      <c r="M1232" s="270">
        <f ca="1">ROUND(VLOOKUP($H1232,$AJ$4:$AN$13,5,0)*$Q1229*1.51*1,2)</f>
        <v>0.54</v>
      </c>
      <c r="N1232" s="270"/>
      <c r="P1232" s="230">
        <f t="shared" si="546"/>
        <v>0</v>
      </c>
      <c r="AP1232" s="241" t="s">
        <v>2053</v>
      </c>
      <c r="AQ1232" s="242"/>
    </row>
    <row r="1233" spans="1:43" x14ac:dyDescent="0.2">
      <c r="A1233" s="224">
        <f>A1178+37</f>
        <v>814</v>
      </c>
      <c r="B1233" s="243" t="str">
        <f ca="1">OFFSET(ЛОТЫ!$L$5,A1233,0,1,1)</f>
        <v>Мамыковское</v>
      </c>
      <c r="C1233" s="244" t="s">
        <v>474</v>
      </c>
      <c r="D1233" s="243">
        <f ca="1">OFFSET(ЛОТЫ!$M$5,A1233,0,1,1)</f>
        <v>52</v>
      </c>
      <c r="E1233" s="243">
        <f ca="1">OFFSET(ЛОТЫ!$N$5,A1233,0,1,1)</f>
        <v>22</v>
      </c>
      <c r="F1233" s="243">
        <f ca="1">OFFSET(ЛОТЫ!$O$5,A1233,0,1,1)</f>
        <v>2</v>
      </c>
      <c r="G1233" s="271">
        <f ca="1">IFERROR(INDEX('Ведомость расчета мин. платы'!$G$10:$AC$214,MATCH(CONCATENATE(B1233,"/",D1233,"/",E1233,"/",F1233),'Ведомость расчета мин. платы'!$AC$10:$AC$214,0),1),"")</f>
        <v>7</v>
      </c>
      <c r="H1233" s="246" t="s">
        <v>17</v>
      </c>
      <c r="I1233" s="247">
        <f ca="1">IFERROR(INDEX('Ведомость расчета мин. платы'!$J$10:$AE$214,MATCH(CONCATENATE(РАСЧЕТ!B1233,"/",РАСЧЕТ!D1233,"/",РАСЧЕТ!E1233,"/",F1233,"/",H1233),'Ведомость расчета мин. платы'!$AE$10:$AE$214,0),2),"")</f>
        <v>25</v>
      </c>
      <c r="J1233" s="247">
        <f ca="1">IFERROR(INDEX('Ведомость расчета мин. платы'!$J$10:$AE$214,MATCH(CONCATENATE(РАСЧЕТ!B1233,"/",РАСЧЕТ!D1233,"/",РАСЧЕТ!E1233,"/",F1233,"/",H1233),'Ведомость расчета мин. платы'!$AE$10:$AE$214,0),3),"")</f>
        <v>28.2</v>
      </c>
      <c r="K1233" s="247">
        <f ca="1">IFERROR(INDEX('Ведомость расчета мин. платы'!$J$10:$AE$214,MATCH(CONCATENATE(РАСЧЕТ!B1233,"/",РАСЧЕТ!D1233,"/",РАСЧЕТ!E1233,"/",F1233,"/",H1233),'Ведомость расчета мин. платы'!$AE$10:$AE$214,0),4),"")</f>
        <v>6</v>
      </c>
      <c r="L1233" s="248">
        <f t="shared" ref="L1233:L1245" ca="1" si="547">IFERROR(SUM(I1233:K1233),"")</f>
        <v>59.2</v>
      </c>
      <c r="M1233" s="214">
        <f ca="1">IFERROR(INDEX('Ведомость расчета мин. платы'!$J$10:$AE$214,MATCH(CONCATENATE(РАСЧЕТ!B1233,"/",РАСЧЕТ!D1233,"/",РАСЧЕТ!E1233,"/",F1233,"/",H1233),'Ведомость расчета мин. платы'!$AE$10:$AE$214,0),6),"")</f>
        <v>57.7</v>
      </c>
      <c r="N1233" s="214">
        <f t="shared" ref="N1233:N1245" ca="1" si="548">IFERROR(SUM(L1233:M1233),"")</f>
        <v>116.9</v>
      </c>
      <c r="O1233" s="229">
        <f>IF(H1233="стоимость","",1)</f>
        <v>1</v>
      </c>
      <c r="P1233" s="230">
        <f t="shared" si="546"/>
        <v>1</v>
      </c>
      <c r="AP1233" s="242"/>
      <c r="AQ1233" s="242"/>
    </row>
    <row r="1234" spans="1:43" x14ac:dyDescent="0.2">
      <c r="B1234" s="249"/>
      <c r="C1234" s="249"/>
      <c r="D1234" s="249"/>
      <c r="E1234" s="249"/>
      <c r="F1234" s="249"/>
      <c r="G1234" s="249"/>
      <c r="H1234" s="250" t="s">
        <v>475</v>
      </c>
      <c r="I1234" s="251">
        <f ca="1">IFERROR(ROUND(I1233*I1227,2),"")</f>
        <v>2860.75</v>
      </c>
      <c r="J1234" s="251">
        <f t="shared" ref="J1234" ca="1" si="549">IFERROR(ROUND(J1233*J1227,2),"")</f>
        <v>2299.4299999999998</v>
      </c>
      <c r="K1234" s="251">
        <f t="shared" ref="K1234" ca="1" si="550">IFERROR(ROUND(K1233*K1227,2),"")</f>
        <v>247.86</v>
      </c>
      <c r="L1234" s="251">
        <f t="shared" ca="1" si="547"/>
        <v>5408.04</v>
      </c>
      <c r="M1234" s="251">
        <f t="shared" ref="M1234" ca="1" si="551">IFERROR(ROUND(M1233*M1227,2),"")</f>
        <v>376.2</v>
      </c>
      <c r="N1234" s="252">
        <f t="shared" ca="1" si="548"/>
        <v>5784.24</v>
      </c>
      <c r="O1234" s="229" t="str">
        <f t="shared" ref="O1234:O1244" si="552">IF(H1234="стоимость","",1)</f>
        <v/>
      </c>
      <c r="P1234" s="230">
        <f t="shared" si="546"/>
        <v>0</v>
      </c>
      <c r="AP1234" s="242">
        <f ca="1">SUMIFS('Ведомость расчета мин. платы'!$S$10:$S$209,'Ведомость расчета мин. платы'!$AE$10:$AE$209,CONCATENATE(B1233,"/",D1233,"/",E1233,"/",F1233,"/",H1233))</f>
        <v>5784.24</v>
      </c>
      <c r="AQ1234" s="253">
        <f t="shared" ref="AQ1234" ca="1" si="553">AP1234-N1234</f>
        <v>0</v>
      </c>
    </row>
    <row r="1235" spans="1:43" x14ac:dyDescent="0.2">
      <c r="B1235" s="249"/>
      <c r="C1235" s="249"/>
      <c r="D1235" s="249"/>
      <c r="E1235" s="249"/>
      <c r="F1235" s="249"/>
      <c r="G1235" s="249"/>
      <c r="H1235" s="246" t="s">
        <v>25</v>
      </c>
      <c r="I1235" s="247" t="str">
        <f ca="1">IFERROR(INDEX('Ведомость расчета мин. платы'!$J$10:$AE$214,MATCH(CONCATENATE(РАСЧЕТ!B1233,"/",РАСЧЕТ!D1233,"/",РАСЧЕТ!E1233,"/",F1233,"/",H1235),'Ведомость расчета мин. платы'!$AE$10:$AE$214,0),2),"")</f>
        <v/>
      </c>
      <c r="J1235" s="247" t="str">
        <f ca="1">IFERROR(INDEX('Ведомость расчета мин. платы'!$J$10:$AE$214,MATCH(CONCATENATE(РАСЧЕТ!B1233,"/",РАСЧЕТ!D1233,"/",РАСЧЕТ!E1233,"/",F1233,"/",H1235),'Ведомость расчета мин. платы'!$AE$10:$AE$214,0),3),"")</f>
        <v/>
      </c>
      <c r="K1235" s="247" t="str">
        <f ca="1">IFERROR(INDEX('Ведомость расчета мин. платы'!$J$10:$AE$214,MATCH(CONCATENATE(РАСЧЕТ!B1233,"/",РАСЧЕТ!D1233,"/",РАСЧЕТ!E1233,"/",F1233,"/",H1235),'Ведомость расчета мин. платы'!$AE$10:$AE$214,0),4),"")</f>
        <v/>
      </c>
      <c r="L1235" s="248">
        <f t="shared" ca="1" si="547"/>
        <v>0</v>
      </c>
      <c r="M1235" s="214" t="str">
        <f ca="1">IFERROR(INDEX('Ведомость расчета мин. платы'!$J$10:$AE$214,MATCH(CONCATENATE(РАСЧЕТ!B1233,"/",РАСЧЕТ!D1233,"/",РАСЧЕТ!E1233,"/",F1233,"/",H1235),'Ведомость расчета мин. платы'!$AE$10:$AE$214,0),6),"")</f>
        <v/>
      </c>
      <c r="N1235" s="214">
        <f t="shared" ca="1" si="548"/>
        <v>0</v>
      </c>
      <c r="O1235" s="229">
        <f t="shared" si="552"/>
        <v>1</v>
      </c>
      <c r="P1235" s="230">
        <f t="shared" si="546"/>
        <v>0</v>
      </c>
      <c r="AP1235" s="242"/>
      <c r="AQ1235" s="253"/>
    </row>
    <row r="1236" spans="1:43" x14ac:dyDescent="0.2">
      <c r="B1236" s="249"/>
      <c r="C1236" s="249"/>
      <c r="D1236" s="249"/>
      <c r="E1236" s="249"/>
      <c r="F1236" s="249"/>
      <c r="G1236" s="249"/>
      <c r="H1236" s="250" t="s">
        <v>475</v>
      </c>
      <c r="I1236" s="251" t="str">
        <f ca="1">IFERROR(ROUND(I1235*I1228,2),"")</f>
        <v/>
      </c>
      <c r="J1236" s="251" t="str">
        <f t="shared" ref="J1236" ca="1" si="554">IFERROR(ROUND(J1235*J1228,2),"")</f>
        <v/>
      </c>
      <c r="K1236" s="251" t="str">
        <f t="shared" ref="K1236" ca="1" si="555">IFERROR(ROUND(K1235*K1228,2),"")</f>
        <v/>
      </c>
      <c r="L1236" s="251">
        <f t="shared" ca="1" si="547"/>
        <v>0</v>
      </c>
      <c r="M1236" s="251" t="str">
        <f t="shared" ref="M1236" ca="1" si="556">IFERROR(ROUND(M1235*M1228,2),"")</f>
        <v/>
      </c>
      <c r="N1236" s="252">
        <f t="shared" ca="1" si="548"/>
        <v>0</v>
      </c>
      <c r="O1236" s="229" t="str">
        <f t="shared" si="552"/>
        <v/>
      </c>
      <c r="P1236" s="230">
        <f t="shared" si="546"/>
        <v>0</v>
      </c>
      <c r="AP1236" s="242">
        <f ca="1">SUMIFS('Ведомость расчета мин. платы'!$S$10:$S$209,'Ведомость расчета мин. платы'!$AE$10:$AE$209,CONCATENATE(B1233,"/",D1233,"/",E1233,"/",F1233,"/",H1235))</f>
        <v>0</v>
      </c>
      <c r="AQ1236" s="253">
        <f t="shared" ref="AQ1236" ca="1" si="557">AP1236-N1236</f>
        <v>0</v>
      </c>
    </row>
    <row r="1237" spans="1:43" x14ac:dyDescent="0.2">
      <c r="B1237" s="249"/>
      <c r="C1237" s="249"/>
      <c r="D1237" s="249"/>
      <c r="E1237" s="249"/>
      <c r="F1237" s="249"/>
      <c r="G1237" s="249"/>
      <c r="H1237" s="205" t="s">
        <v>19</v>
      </c>
      <c r="I1237" s="248">
        <f ca="1">IFERROR(INDEX('Ведомость расчета мин. платы'!$J$10:$AE$214,MATCH(CONCATENATE(РАСЧЕТ!B1233,"/",РАСЧЕТ!D1233,"/",РАСЧЕТ!E1233,"/",F1233,"/",H1237),'Ведомость расчета мин. платы'!$AE$10:$AE$214,0),2),"")</f>
        <v>0</v>
      </c>
      <c r="J1237" s="248">
        <f ca="1">IFERROR(INDEX('Ведомость расчета мин. платы'!$J$10:$AE$214,MATCH(CONCATENATE(РАСЧЕТ!B1233,"/",РАСЧЕТ!D1233,"/",РАСЧЕТ!E1233,"/",F1233,"/",H1237),'Ведомость расчета мин. платы'!$AE$10:$AE$214,0),3),"")</f>
        <v>23.8</v>
      </c>
      <c r="K1237" s="248">
        <f ca="1">IFERROR(INDEX('Ведомость расчета мин. платы'!$J$10:$AE$214,MATCH(CONCATENATE(РАСЧЕТ!B1233,"/",РАСЧЕТ!D1233,"/",РАСЧЕТ!E1233,"/",F1233,"/",H1237),'Ведомость расчета мин. платы'!$AE$10:$AE$214,0),4),"")</f>
        <v>12.53</v>
      </c>
      <c r="L1237" s="248">
        <f t="shared" ca="1" si="547"/>
        <v>36.33</v>
      </c>
      <c r="M1237" s="248">
        <f ca="1">IFERROR(INDEX('Ведомость расчета мин. платы'!$J$10:$AE$214,MATCH(CONCATENATE(РАСЧЕТ!B1233,"/",РАСЧЕТ!D1233,"/",РАСЧЕТ!E1233,"/",F1233,"/",H1237),'Ведомость расчета мин. платы'!$AE$10:$AE$214,0),6),"")</f>
        <v>59.45</v>
      </c>
      <c r="N1237" s="214">
        <f t="shared" ca="1" si="548"/>
        <v>95.78</v>
      </c>
      <c r="O1237" s="229">
        <f t="shared" si="552"/>
        <v>1</v>
      </c>
      <c r="P1237" s="230">
        <f t="shared" si="546"/>
        <v>0</v>
      </c>
      <c r="AP1237" s="242"/>
      <c r="AQ1237" s="253"/>
    </row>
    <row r="1238" spans="1:43" x14ac:dyDescent="0.2">
      <c r="B1238" s="249"/>
      <c r="C1238" s="249"/>
      <c r="D1238" s="249"/>
      <c r="E1238" s="249"/>
      <c r="F1238" s="249"/>
      <c r="G1238" s="249"/>
      <c r="H1238" s="250" t="s">
        <v>475</v>
      </c>
      <c r="I1238" s="251">
        <f ca="1">IFERROR(ROUND(I1237*I1229,2),"")</f>
        <v>0</v>
      </c>
      <c r="J1238" s="251">
        <f t="shared" ref="J1238" ca="1" si="558">IFERROR(ROUND(J1237*J1229,2),"")</f>
        <v>1177.3900000000001</v>
      </c>
      <c r="K1238" s="251">
        <f t="shared" ref="K1238" ca="1" si="559">IFERROR(ROUND(K1237*K1229,2),"")</f>
        <v>316.76</v>
      </c>
      <c r="L1238" s="251">
        <f t="shared" ca="1" si="547"/>
        <v>1494.15</v>
      </c>
      <c r="M1238" s="251">
        <f t="shared" ref="M1238" ca="1" si="560">IFERROR(ROUND(M1237*M1229,2),"")</f>
        <v>80.849999999999994</v>
      </c>
      <c r="N1238" s="252">
        <f t="shared" ca="1" si="548"/>
        <v>1575</v>
      </c>
      <c r="O1238" s="229" t="str">
        <f t="shared" si="552"/>
        <v/>
      </c>
      <c r="P1238" s="230">
        <f t="shared" si="546"/>
        <v>0</v>
      </c>
      <c r="AP1238" s="242">
        <f ca="1">SUMIFS('Ведомость расчета мин. платы'!$S$10:$S$209,'Ведомость расчета мин. платы'!$AE$10:$AE$209,CONCATENATE(B1233,"/",D1233,"/",E1233,"/",F1233,"/",H1237))</f>
        <v>1575</v>
      </c>
      <c r="AQ1238" s="253">
        <f t="shared" ref="AQ1238" ca="1" si="561">AP1238-N1238</f>
        <v>0</v>
      </c>
    </row>
    <row r="1239" spans="1:43" x14ac:dyDescent="0.2">
      <c r="B1239" s="249"/>
      <c r="C1239" s="249"/>
      <c r="D1239" s="249"/>
      <c r="E1239" s="249"/>
      <c r="F1239" s="249"/>
      <c r="G1239" s="249"/>
      <c r="H1239" s="205" t="s">
        <v>268</v>
      </c>
      <c r="I1239" s="248" t="str">
        <f ca="1">IFERROR(INDEX('Ведомость расчета мин. платы'!$J$10:$AE$214,MATCH(CONCATENATE(РАСЧЕТ!B1233,"/",РАСЧЕТ!D1233,"/",РАСЧЕТ!E1233,"/",F1233,"/",H1239),'Ведомость расчета мин. платы'!$AE$10:$AE$214,0),2),"")</f>
        <v/>
      </c>
      <c r="J1239" s="248" t="str">
        <f ca="1">IFERROR(INDEX('Ведомость расчета мин. платы'!$J$10:$AE$214,MATCH(CONCATENATE(РАСЧЕТ!B1233,"/",РАСЧЕТ!D1233,"/",РАСЧЕТ!E1233,"/",F1233,"/",H1239),'Ведомость расчета мин. платы'!$AE$10:$AE$214,0),3),"")</f>
        <v/>
      </c>
      <c r="K1239" s="248" t="str">
        <f ca="1">IFERROR(INDEX('Ведомость расчета мин. платы'!$J$10:$AE$214,MATCH(CONCATENATE(РАСЧЕТ!B1233,"/",РАСЧЕТ!D1233,"/",РАСЧЕТ!E1233,"/",F1233,"/",H1239),'Ведомость расчета мин. платы'!$AE$10:$AE$214,0),4),"")</f>
        <v/>
      </c>
      <c r="L1239" s="248">
        <f t="shared" ca="1" si="547"/>
        <v>0</v>
      </c>
      <c r="M1239" s="248" t="str">
        <f ca="1">IFERROR(INDEX('Ведомость расчета мин. платы'!$J$10:$AE$214,MATCH(CONCATENATE(РАСЧЕТ!B1233,"/",РАСЧЕТ!D1233,"/",РАСЧЕТ!E1233,"/",F1233,"/",H1239),'Ведомость расчета мин. платы'!$AE$10:$AE$214,0),6),"")</f>
        <v/>
      </c>
      <c r="N1239" s="214">
        <f t="shared" ca="1" si="548"/>
        <v>0</v>
      </c>
      <c r="O1239" s="229">
        <f t="shared" si="552"/>
        <v>1</v>
      </c>
      <c r="P1239" s="230">
        <f t="shared" si="546"/>
        <v>0</v>
      </c>
      <c r="AP1239" s="242"/>
      <c r="AQ1239" s="253"/>
    </row>
    <row r="1240" spans="1:43" x14ac:dyDescent="0.2">
      <c r="B1240" s="249"/>
      <c r="C1240" s="249"/>
      <c r="D1240" s="249"/>
      <c r="E1240" s="249"/>
      <c r="F1240" s="249"/>
      <c r="G1240" s="249"/>
      <c r="H1240" s="250" t="s">
        <v>475</v>
      </c>
      <c r="I1240" s="251" t="str">
        <f ca="1">IFERROR(ROUND(I1239*I1232,2),"")</f>
        <v/>
      </c>
      <c r="J1240" s="251" t="str">
        <f ca="1">IFERROR(ROUND(J1239*J1230,2),"")</f>
        <v/>
      </c>
      <c r="K1240" s="251" t="str">
        <f ca="1">IFERROR(ROUND(K1239*K1230,2),"")</f>
        <v/>
      </c>
      <c r="L1240" s="251">
        <f t="shared" ca="1" si="547"/>
        <v>0</v>
      </c>
      <c r="M1240" s="251" t="str">
        <f ca="1">IFERROR(ROUND(M1239*M1230,2),"")</f>
        <v/>
      </c>
      <c r="N1240" s="252">
        <f t="shared" ca="1" si="548"/>
        <v>0</v>
      </c>
      <c r="O1240" s="229" t="str">
        <f t="shared" si="552"/>
        <v/>
      </c>
      <c r="P1240" s="230">
        <f t="shared" si="546"/>
        <v>0</v>
      </c>
      <c r="AP1240" s="242">
        <f ca="1">SUMIFS('Ведомость расчета мин. платы'!$S$10:$S$209,'Ведомость расчета мин. платы'!$AE$10:$AE$209,CONCATENATE(B1233,"/",D1233,"/",E1233,"/",F1233,"/",H1239))</f>
        <v>0</v>
      </c>
      <c r="AQ1240" s="253">
        <f t="shared" ref="AQ1240" ca="1" si="562">AP1240-N1240</f>
        <v>0</v>
      </c>
    </row>
    <row r="1241" spans="1:43" x14ac:dyDescent="0.2">
      <c r="B1241" s="249"/>
      <c r="C1241" s="249"/>
      <c r="D1241" s="249"/>
      <c r="E1241" s="249"/>
      <c r="F1241" s="249"/>
      <c r="G1241" s="249"/>
      <c r="H1241" s="205" t="s">
        <v>40</v>
      </c>
      <c r="I1241" s="248" t="str">
        <f ca="1">IFERROR(INDEX('Ведомость расчета мин. платы'!$J$10:$AE$214,MATCH(CONCATENATE(РАСЧЕТ!B1233,"/",РАСЧЕТ!D1233,"/",РАСЧЕТ!E1233,"/",F1233,"/",H1241),'Ведомость расчета мин. платы'!$AE$10:$AE$214,0),2),"")</f>
        <v/>
      </c>
      <c r="J1241" s="248" t="str">
        <f ca="1">IFERROR(INDEX('Ведомость расчета мин. платы'!$J$10:$AE$214,MATCH(CONCATENATE(РАСЧЕТ!B1233,"/",РАСЧЕТ!D1233,"/",РАСЧЕТ!E1233,"/",F1233,"/",H1241),'Ведомость расчета мин. платы'!$AE$10:$AE$214,0),3),"")</f>
        <v/>
      </c>
      <c r="K1241" s="248" t="str">
        <f ca="1">IFERROR(INDEX('Ведомость расчета мин. платы'!$J$10:$AE$214,MATCH(CONCATENATE(РАСЧЕТ!B1233,"/",РАСЧЕТ!D1233,"/",РАСЧЕТ!E1233,"/",F1233,"/",H1241),'Ведомость расчета мин. платы'!$AE$10:$AE$214,0),4),"")</f>
        <v/>
      </c>
      <c r="L1241" s="248">
        <f t="shared" ca="1" si="547"/>
        <v>0</v>
      </c>
      <c r="M1241" s="248" t="str">
        <f ca="1">IFERROR(INDEX('Ведомость расчета мин. платы'!$J$10:$AE$214,MATCH(CONCATENATE(РАСЧЕТ!B1233,"/",РАСЧЕТ!D1233,"/",РАСЧЕТ!E1233,"/",F1233,"/",H1241),'Ведомость расчета мин. платы'!$AE$10:$AE$214,0),6),"")</f>
        <v/>
      </c>
      <c r="N1241" s="214">
        <f t="shared" ca="1" si="548"/>
        <v>0</v>
      </c>
      <c r="O1241" s="229">
        <f t="shared" si="552"/>
        <v>1</v>
      </c>
      <c r="P1241" s="230">
        <f t="shared" si="546"/>
        <v>0</v>
      </c>
      <c r="AP1241" s="242"/>
      <c r="AQ1241" s="253"/>
    </row>
    <row r="1242" spans="1:43" x14ac:dyDescent="0.2">
      <c r="B1242" s="249"/>
      <c r="C1242" s="249"/>
      <c r="D1242" s="249"/>
      <c r="E1242" s="249"/>
      <c r="F1242" s="249"/>
      <c r="G1242" s="249"/>
      <c r="H1242" s="250" t="s">
        <v>475</v>
      </c>
      <c r="I1242" s="251" t="str">
        <f ca="1">IFERROR(ROUND(I1241*I1231,2),"")</f>
        <v/>
      </c>
      <c r="J1242" s="251" t="str">
        <f t="shared" ref="J1242" ca="1" si="563">IFERROR(ROUND(J1241*J1231,2),"")</f>
        <v/>
      </c>
      <c r="K1242" s="251" t="str">
        <f t="shared" ref="K1242" ca="1" si="564">IFERROR(ROUND(K1241*K1231,2),"")</f>
        <v/>
      </c>
      <c r="L1242" s="251">
        <f t="shared" ca="1" si="547"/>
        <v>0</v>
      </c>
      <c r="M1242" s="251" t="str">
        <f t="shared" ref="M1242" ca="1" si="565">IFERROR(ROUND(M1241*M1231,2),"")</f>
        <v/>
      </c>
      <c r="N1242" s="252">
        <f t="shared" ca="1" si="548"/>
        <v>0</v>
      </c>
      <c r="O1242" s="229" t="str">
        <f t="shared" si="552"/>
        <v/>
      </c>
      <c r="P1242" s="230">
        <f t="shared" si="546"/>
        <v>0</v>
      </c>
      <c r="AP1242" s="242">
        <f ca="1">SUMIFS('Ведомость расчета мин. платы'!$S$10:$S$209,'Ведомость расчета мин. платы'!$AE$10:$AE$209,CONCATENATE(B1233,"/",D1233,"/",E1233,"/",F1233,"/",H1241))</f>
        <v>0</v>
      </c>
      <c r="AQ1242" s="253">
        <f t="shared" ref="AQ1242" ca="1" si="566">AP1242-N1242</f>
        <v>0</v>
      </c>
    </row>
    <row r="1243" spans="1:43" x14ac:dyDescent="0.2">
      <c r="B1243" s="249"/>
      <c r="C1243" s="249"/>
      <c r="D1243" s="249"/>
      <c r="E1243" s="249"/>
      <c r="F1243" s="249"/>
      <c r="G1243" s="249"/>
      <c r="H1243" s="205" t="s">
        <v>18</v>
      </c>
      <c r="I1243" s="248">
        <f ca="1">IFERROR(INDEX('Ведомость расчета мин. платы'!$J$10:$AE$214,MATCH(CONCATENATE(РАСЧЕТ!B1233,"/",РАСЧЕТ!D1233,"/",РАСЧЕТ!E1233,"/",F1233,"/",H1243),'Ведомость расчета мин. платы'!$AE$10:$AE$214,0),2),"")</f>
        <v>358.6</v>
      </c>
      <c r="J1243" s="248">
        <f ca="1">IFERROR(INDEX('Ведомость расчета мин. платы'!$J$10:$AE$214,MATCH(CONCATENATE(РАСЧЕТ!B1233,"/",РАСЧЕТ!D1233,"/",РАСЧЕТ!E1233,"/",F1233,"/",H1243),'Ведомость расчета мин. платы'!$AE$10:$AE$214,0),3),"")</f>
        <v>66.900000000000006</v>
      </c>
      <c r="K1243" s="248">
        <f ca="1">IFERROR(INDEX('Ведомость расчета мин. платы'!$J$10:$AE$214,MATCH(CONCATENATE(РАСЧЕТ!B1233,"/",РАСЧЕТ!D1233,"/",РАСЧЕТ!E1233,"/",F1233,"/",H1243),'Ведомость расчета мин. платы'!$AE$10:$AE$214,0),4),"")</f>
        <v>3.9</v>
      </c>
      <c r="L1243" s="248">
        <f t="shared" ca="1" si="547"/>
        <v>429.4</v>
      </c>
      <c r="M1243" s="248">
        <f ca="1">IFERROR(INDEX('Ведомость расчета мин. платы'!$J$10:$AE$214,MATCH(CONCATENATE(РАСЧЕТ!B1233,"/",РАСЧЕТ!D1233,"/",РАСЧЕТ!E1233,"/",F1233,"/",H1243),'Ведомость расчета мин. платы'!$AE$10:$AE$214,0),6),"")</f>
        <v>356.1</v>
      </c>
      <c r="N1243" s="214">
        <f t="shared" ca="1" si="548"/>
        <v>785.5</v>
      </c>
      <c r="O1243" s="229">
        <f t="shared" si="552"/>
        <v>1</v>
      </c>
      <c r="P1243" s="230">
        <f t="shared" si="546"/>
        <v>0</v>
      </c>
      <c r="AP1243" s="242"/>
      <c r="AQ1243" s="253"/>
    </row>
    <row r="1244" spans="1:43" x14ac:dyDescent="0.2">
      <c r="B1244" s="249"/>
      <c r="C1244" s="249"/>
      <c r="D1244" s="249"/>
      <c r="E1244" s="249"/>
      <c r="F1244" s="249"/>
      <c r="G1244" s="249"/>
      <c r="H1244" s="250" t="s">
        <v>475</v>
      </c>
      <c r="I1244" s="251">
        <f ca="1">IFERROR(ROUND(I1243*I1232,2),"")</f>
        <v>7795.96</v>
      </c>
      <c r="J1244" s="251">
        <f t="shared" ref="J1244" ca="1" si="567">IFERROR(ROUND(J1243*J1232,2),"")</f>
        <v>1109.2</v>
      </c>
      <c r="K1244" s="251">
        <f t="shared" ref="K1244" ca="1" si="568">IFERROR(ROUND(K1243*K1232,2),"")</f>
        <v>32.880000000000003</v>
      </c>
      <c r="L1244" s="251">
        <f t="shared" ca="1" si="547"/>
        <v>8938.0399999999991</v>
      </c>
      <c r="M1244" s="251">
        <v>192.30000000000021</v>
      </c>
      <c r="N1244" s="252">
        <f t="shared" ca="1" si="548"/>
        <v>9130.34</v>
      </c>
      <c r="O1244" s="229" t="str">
        <f t="shared" si="552"/>
        <v/>
      </c>
      <c r="P1244" s="230">
        <f t="shared" si="546"/>
        <v>0</v>
      </c>
      <c r="AP1244" s="242">
        <f ca="1">SUMIFS('Ведомость расчета мин. платы'!$S$10:$S$209,'Ведомость расчета мин. платы'!$AE$10:$AE$209,CONCATENATE(B1233,"/",D1233,"/",E1233,"/",F1233,"/",H1243))</f>
        <v>9130.34</v>
      </c>
      <c r="AQ1244" s="253">
        <f t="shared" ref="AQ1244" ca="1" si="569">AP1244-N1244</f>
        <v>0</v>
      </c>
    </row>
    <row r="1245" spans="1:43" x14ac:dyDescent="0.2">
      <c r="B1245" s="249"/>
      <c r="C1245" s="249"/>
      <c r="D1245" s="249"/>
      <c r="E1245" s="249"/>
      <c r="F1245" s="249"/>
      <c r="G1245" s="249"/>
      <c r="H1245" s="254" t="s">
        <v>476</v>
      </c>
      <c r="I1245" s="251">
        <f ca="1">SUMIF($O1233:$O1246,1,I1233:I1244)</f>
        <v>383.6</v>
      </c>
      <c r="J1245" s="251">
        <f ca="1">SUMIF($O1233:$O1246,1,J1233:J1244)</f>
        <v>118.9</v>
      </c>
      <c r="K1245" s="251">
        <f ca="1">SUMIF($O1233:$O1246,1,K1233:K1244)</f>
        <v>22.43</v>
      </c>
      <c r="L1245" s="251">
        <f t="shared" ca="1" si="547"/>
        <v>524.92999999999995</v>
      </c>
      <c r="M1245" s="251">
        <f ca="1">SUMIF($O1233:$O1246,1,M1233:M1244)</f>
        <v>473.25</v>
      </c>
      <c r="N1245" s="252">
        <f t="shared" ca="1" si="548"/>
        <v>998.18</v>
      </c>
      <c r="AP1245" s="242"/>
      <c r="AQ1245" s="253"/>
    </row>
    <row r="1246" spans="1:43" x14ac:dyDescent="0.2">
      <c r="B1246" s="249"/>
      <c r="C1246" s="249"/>
      <c r="D1246" s="249"/>
      <c r="E1246" s="249"/>
      <c r="F1246" s="249"/>
      <c r="G1246" s="249"/>
      <c r="H1246" s="254" t="s">
        <v>491</v>
      </c>
      <c r="I1246" s="251">
        <f ca="1">SUMIF(H1233:H1244,"стоимость",I1233:I1244)</f>
        <v>10656.71</v>
      </c>
      <c r="J1246" s="251">
        <f ca="1">SUMIF(H1233:H1244,"стоимость",J1233:J1244)</f>
        <v>4586.0199999999995</v>
      </c>
      <c r="K1246" s="251">
        <f ca="1">SUMIF(H1233:H1244,"стоимость",K1233:K1244)</f>
        <v>597.5</v>
      </c>
      <c r="L1246" s="251">
        <f ca="1">IFERROR(SUM(I1246:K1246),"")</f>
        <v>15840.23</v>
      </c>
      <c r="M1246" s="251">
        <f ca="1">SUMIF(H1233:H1244,"стоимость",M1233:M1244)</f>
        <v>649.35000000000014</v>
      </c>
      <c r="N1246" s="252">
        <f ca="1">IFERROR(SUM(L1246:M1246),"")</f>
        <v>16489.579999999998</v>
      </c>
      <c r="AP1246" s="242">
        <f ca="1">SUMIFS('Ведомость расчета мин. платы'!$S$10:$S$209,'Ведомость расчета мин. платы'!$J$10:$J$209,"Итого",'Ведомость расчета мин. платы'!$AC$10:$AC$209,CONCATENATE(B1233,"/",D1233,"/",E1233,"/",F1233))</f>
        <v>16489.580000000002</v>
      </c>
      <c r="AQ1246" s="253">
        <f ca="1">AP1246-N1246</f>
        <v>0</v>
      </c>
    </row>
    <row r="1247" spans="1:43" x14ac:dyDescent="0.2">
      <c r="B1247" s="255"/>
      <c r="C1247" s="255"/>
      <c r="D1247" s="255"/>
      <c r="E1247" s="255"/>
      <c r="F1247" s="255"/>
      <c r="G1247" s="256"/>
      <c r="H1247" s="257"/>
      <c r="I1247" s="258"/>
      <c r="J1247" s="258"/>
      <c r="K1247" s="258"/>
      <c r="L1247" s="258"/>
      <c r="M1247" s="258"/>
      <c r="N1247" s="258"/>
      <c r="P1247" s="230">
        <f t="shared" ref="P1247:P1265" si="570">IF(A1247&gt;0,1,0)</f>
        <v>0</v>
      </c>
    </row>
    <row r="1248" spans="1:43" x14ac:dyDescent="0.2">
      <c r="B1248" s="282" t="s">
        <v>477</v>
      </c>
      <c r="C1248" s="282"/>
      <c r="D1248" s="282"/>
      <c r="E1248" s="282"/>
      <c r="F1248" s="259"/>
      <c r="G1248" s="225"/>
      <c r="H1248" s="201"/>
      <c r="I1248" s="226"/>
      <c r="J1248" s="258"/>
      <c r="K1248" s="258"/>
      <c r="L1248" s="258"/>
      <c r="M1248" s="258"/>
      <c r="N1248" s="258"/>
      <c r="P1248" s="230">
        <f t="shared" si="570"/>
        <v>0</v>
      </c>
    </row>
    <row r="1249" spans="2:16" x14ac:dyDescent="0.2">
      <c r="B1249" s="283" t="s">
        <v>525</v>
      </c>
      <c r="C1249" s="283"/>
      <c r="D1249" s="283"/>
      <c r="E1249" s="283"/>
      <c r="F1249" s="283"/>
      <c r="G1249" s="283"/>
      <c r="H1249" s="283"/>
      <c r="I1249" s="283"/>
      <c r="J1249" s="261"/>
      <c r="K1249" s="261"/>
      <c r="L1249" s="261"/>
      <c r="M1249" s="261"/>
      <c r="N1249" s="261"/>
      <c r="P1249" s="230">
        <f t="shared" si="570"/>
        <v>0</v>
      </c>
    </row>
    <row r="1250" spans="2:16" x14ac:dyDescent="0.2">
      <c r="B1250" s="284" t="s">
        <v>478</v>
      </c>
      <c r="C1250" s="284"/>
      <c r="D1250" s="284"/>
      <c r="E1250" s="284"/>
      <c r="F1250" s="284"/>
      <c r="G1250" s="284"/>
      <c r="H1250" s="284"/>
      <c r="I1250" s="284"/>
      <c r="J1250" s="258"/>
      <c r="K1250" s="258"/>
      <c r="L1250" s="258"/>
      <c r="M1250" s="258"/>
      <c r="N1250" s="258"/>
      <c r="P1250" s="230">
        <f t="shared" si="570"/>
        <v>0</v>
      </c>
    </row>
    <row r="1251" spans="2:16" x14ac:dyDescent="0.2">
      <c r="B1251" s="284" t="s">
        <v>479</v>
      </c>
      <c r="C1251" s="284"/>
      <c r="D1251" s="284"/>
      <c r="E1251" s="284"/>
      <c r="F1251" s="284"/>
      <c r="G1251" s="284"/>
      <c r="H1251" s="284"/>
      <c r="I1251" s="284"/>
      <c r="J1251" s="258"/>
      <c r="K1251" s="258"/>
      <c r="L1251" s="258"/>
      <c r="M1251" s="258"/>
      <c r="N1251" s="258"/>
      <c r="P1251" s="230">
        <f t="shared" si="570"/>
        <v>0</v>
      </c>
    </row>
    <row r="1252" spans="2:16" x14ac:dyDescent="0.2">
      <c r="B1252" s="284" t="s">
        <v>480</v>
      </c>
      <c r="C1252" s="284"/>
      <c r="D1252" s="284"/>
      <c r="E1252" s="284"/>
      <c r="F1252" s="284"/>
      <c r="G1252" s="284"/>
      <c r="H1252" s="284"/>
      <c r="I1252" s="284"/>
      <c r="J1252" s="258"/>
      <c r="K1252" s="258"/>
      <c r="L1252" s="258"/>
      <c r="M1252" s="258"/>
      <c r="N1252" s="258"/>
      <c r="P1252" s="230">
        <f t="shared" si="570"/>
        <v>0</v>
      </c>
    </row>
    <row r="1253" spans="2:16" x14ac:dyDescent="0.2">
      <c r="B1253" s="284" t="s">
        <v>481</v>
      </c>
      <c r="C1253" s="284"/>
      <c r="D1253" s="284"/>
      <c r="E1253" s="284"/>
      <c r="F1253" s="284"/>
      <c r="G1253" s="284"/>
      <c r="H1253" s="284"/>
      <c r="I1253" s="284"/>
      <c r="J1253" s="226"/>
      <c r="K1253" s="226"/>
      <c r="L1253" s="226"/>
      <c r="M1253" s="226"/>
      <c r="N1253" s="226"/>
      <c r="P1253" s="230">
        <f t="shared" si="570"/>
        <v>0</v>
      </c>
    </row>
    <row r="1254" spans="2:16" x14ac:dyDescent="0.2">
      <c r="B1254" s="284" t="s">
        <v>482</v>
      </c>
      <c r="C1254" s="284"/>
      <c r="D1254" s="284"/>
      <c r="E1254" s="284"/>
      <c r="F1254" s="284"/>
      <c r="G1254" s="284"/>
      <c r="H1254" s="284"/>
      <c r="I1254" s="284"/>
      <c r="J1254" s="226"/>
      <c r="K1254" s="226"/>
      <c r="L1254" s="226"/>
      <c r="M1254" s="226"/>
      <c r="N1254" s="226"/>
      <c r="P1254" s="230">
        <f t="shared" si="570"/>
        <v>0</v>
      </c>
    </row>
    <row r="1255" spans="2:16" x14ac:dyDescent="0.2">
      <c r="B1255" s="284" t="s">
        <v>483</v>
      </c>
      <c r="C1255" s="284"/>
      <c r="D1255" s="284"/>
      <c r="E1255" s="284"/>
      <c r="F1255" s="284"/>
      <c r="G1255" s="284"/>
      <c r="H1255" s="284"/>
      <c r="I1255" s="284"/>
      <c r="J1255" s="226"/>
      <c r="K1255" s="226"/>
      <c r="L1255" s="226"/>
      <c r="M1255" s="226"/>
      <c r="N1255" s="226"/>
      <c r="P1255" s="230">
        <f t="shared" si="570"/>
        <v>0</v>
      </c>
    </row>
    <row r="1256" spans="2:16" x14ac:dyDescent="0.2">
      <c r="B1256" s="284" t="s">
        <v>484</v>
      </c>
      <c r="C1256" s="284"/>
      <c r="D1256" s="284"/>
      <c r="E1256" s="284"/>
      <c r="F1256" s="284"/>
      <c r="G1256" s="284"/>
      <c r="H1256" s="284"/>
      <c r="I1256" s="284"/>
      <c r="J1256" s="226"/>
      <c r="K1256" s="226"/>
      <c r="L1256" s="226"/>
      <c r="M1256" s="226"/>
      <c r="N1256" s="226"/>
      <c r="P1256" s="230">
        <f t="shared" si="570"/>
        <v>0</v>
      </c>
    </row>
    <row r="1257" spans="2:16" x14ac:dyDescent="0.2">
      <c r="B1257" s="264"/>
      <c r="C1257" s="264"/>
      <c r="D1257" s="264"/>
      <c r="E1257" s="264"/>
      <c r="F1257" s="264"/>
      <c r="G1257" s="264"/>
      <c r="H1257" s="264"/>
      <c r="I1257" s="265"/>
      <c r="J1257" s="226"/>
      <c r="K1257" s="226"/>
      <c r="L1257" s="226"/>
      <c r="M1257" s="226"/>
      <c r="N1257" s="226"/>
      <c r="P1257" s="230">
        <f t="shared" si="570"/>
        <v>0</v>
      </c>
    </row>
    <row r="1258" spans="2:16" x14ac:dyDescent="0.2">
      <c r="B1258" s="225" t="s">
        <v>485</v>
      </c>
      <c r="C1258" s="225"/>
      <c r="D1258" s="225"/>
      <c r="E1258" s="225"/>
      <c r="F1258" s="225"/>
      <c r="G1258" s="225"/>
      <c r="H1258" s="201"/>
      <c r="I1258" s="226"/>
      <c r="J1258" s="226" t="s">
        <v>486</v>
      </c>
      <c r="K1258" s="226"/>
      <c r="L1258" s="226"/>
      <c r="M1258" s="226"/>
      <c r="N1258" s="226"/>
      <c r="P1258" s="230">
        <f t="shared" si="570"/>
        <v>0</v>
      </c>
    </row>
    <row r="1259" spans="2:16" x14ac:dyDescent="0.2">
      <c r="B1259" s="266" t="s">
        <v>524</v>
      </c>
      <c r="C1259" s="266"/>
      <c r="D1259" s="225"/>
      <c r="E1259" s="225"/>
      <c r="F1259" s="225"/>
      <c r="G1259" s="225"/>
      <c r="H1259" s="201"/>
      <c r="I1259" s="226"/>
      <c r="J1259" s="267"/>
      <c r="K1259" s="267"/>
      <c r="L1259" s="267"/>
      <c r="M1259" s="226"/>
      <c r="N1259" s="226"/>
      <c r="P1259" s="230">
        <f t="shared" si="570"/>
        <v>0</v>
      </c>
    </row>
    <row r="1260" spans="2:16" x14ac:dyDescent="0.2">
      <c r="B1260" s="268" t="s">
        <v>487</v>
      </c>
      <c r="C1260" s="225"/>
      <c r="D1260" s="225"/>
      <c r="E1260" s="225"/>
      <c r="F1260" s="225"/>
      <c r="G1260" s="225"/>
      <c r="H1260" s="201"/>
      <c r="I1260" s="226"/>
      <c r="J1260" s="226" t="s">
        <v>487</v>
      </c>
      <c r="K1260" s="226"/>
      <c r="L1260" s="226"/>
      <c r="M1260" s="226"/>
      <c r="N1260" s="226"/>
      <c r="P1260" s="230">
        <f t="shared" si="570"/>
        <v>0</v>
      </c>
    </row>
    <row r="1261" spans="2:16" x14ac:dyDescent="0.2">
      <c r="B1261" s="225"/>
      <c r="C1261" s="225"/>
      <c r="D1261" s="225"/>
      <c r="E1261" s="225"/>
      <c r="F1261" s="225"/>
      <c r="G1261" s="225"/>
      <c r="H1261" s="201"/>
      <c r="I1261" s="226"/>
      <c r="J1261" s="226"/>
      <c r="K1261" s="226"/>
      <c r="L1261" s="226"/>
      <c r="M1261" s="226"/>
      <c r="N1261" s="226"/>
      <c r="P1261" s="230">
        <f t="shared" si="570"/>
        <v>0</v>
      </c>
    </row>
    <row r="1262" spans="2:16" x14ac:dyDescent="0.2">
      <c r="B1262" s="266"/>
      <c r="C1262" s="266"/>
      <c r="D1262" s="225"/>
      <c r="E1262" s="225"/>
      <c r="F1262" s="225"/>
      <c r="G1262" s="225"/>
      <c r="H1262" s="201"/>
      <c r="I1262" s="226"/>
      <c r="J1262" s="267"/>
      <c r="K1262" s="267"/>
      <c r="L1262" s="267"/>
      <c r="M1262" s="226"/>
      <c r="N1262" s="226"/>
      <c r="P1262" s="230">
        <f t="shared" si="570"/>
        <v>0</v>
      </c>
    </row>
    <row r="1263" spans="2:16" x14ac:dyDescent="0.2">
      <c r="B1263" s="269" t="s">
        <v>488</v>
      </c>
      <c r="C1263" s="225"/>
      <c r="D1263" s="225"/>
      <c r="E1263" s="225"/>
      <c r="F1263" s="225"/>
      <c r="G1263" s="225"/>
      <c r="H1263" s="201"/>
      <c r="I1263" s="226"/>
      <c r="J1263" s="285" t="s">
        <v>488</v>
      </c>
      <c r="K1263" s="285"/>
      <c r="L1263" s="285"/>
      <c r="M1263" s="226"/>
      <c r="N1263" s="226"/>
      <c r="P1263" s="230">
        <f t="shared" si="570"/>
        <v>0</v>
      </c>
    </row>
    <row r="1264" spans="2:16" x14ac:dyDescent="0.2">
      <c r="B1264" s="225"/>
      <c r="C1264" s="225"/>
      <c r="D1264" s="225"/>
      <c r="E1264" s="225"/>
      <c r="F1264" s="225"/>
      <c r="G1264" s="225"/>
      <c r="H1264" s="201"/>
      <c r="I1264" s="226"/>
      <c r="J1264" s="226"/>
      <c r="K1264" s="226"/>
      <c r="L1264" s="226"/>
      <c r="M1264" s="226"/>
      <c r="N1264" s="226"/>
      <c r="P1264" s="230">
        <f t="shared" si="570"/>
        <v>0</v>
      </c>
    </row>
    <row r="1265" spans="1:16" x14ac:dyDescent="0.2">
      <c r="B1265" s="264" t="s">
        <v>489</v>
      </c>
      <c r="C1265" s="225"/>
      <c r="D1265" s="225"/>
      <c r="E1265" s="225"/>
      <c r="F1265" s="225"/>
      <c r="G1265" s="225"/>
      <c r="H1265" s="201"/>
      <c r="I1265" s="226"/>
      <c r="J1265" s="226" t="s">
        <v>489</v>
      </c>
      <c r="K1265" s="226"/>
      <c r="L1265" s="226"/>
      <c r="M1265" s="226"/>
      <c r="N1265" s="226"/>
      <c r="P1265" s="230">
        <f t="shared" si="570"/>
        <v>0</v>
      </c>
    </row>
    <row r="1266" spans="1:16" x14ac:dyDescent="0.2">
      <c r="A1266" s="272"/>
      <c r="B1266" s="225"/>
      <c r="C1266" s="225"/>
      <c r="D1266" s="225"/>
      <c r="E1266" s="225"/>
      <c r="F1266" s="225"/>
      <c r="G1266" s="225"/>
      <c r="H1266" s="201"/>
      <c r="I1266" s="226"/>
      <c r="J1266" s="226"/>
      <c r="K1266" s="226"/>
      <c r="M1266" s="226"/>
      <c r="N1266" s="228"/>
    </row>
    <row r="1267" spans="1:16" x14ac:dyDescent="0.2">
      <c r="A1267" s="260"/>
      <c r="B1267" s="225"/>
      <c r="C1267" s="225"/>
      <c r="D1267" s="225"/>
      <c r="E1267" s="225"/>
      <c r="F1267" s="225"/>
      <c r="G1267" s="225"/>
      <c r="H1267" s="201"/>
      <c r="I1267" s="226"/>
      <c r="J1267" s="226"/>
      <c r="K1267" s="226"/>
      <c r="M1267" s="226"/>
      <c r="N1267" s="228" t="s">
        <v>455</v>
      </c>
      <c r="P1267" s="230">
        <f t="shared" ref="P1267:P1284" si="571">IF(A1267&gt;0,1,0)</f>
        <v>0</v>
      </c>
    </row>
    <row r="1268" spans="1:16" x14ac:dyDescent="0.2">
      <c r="B1268" s="225"/>
      <c r="C1268" s="225"/>
      <c r="D1268" s="225"/>
      <c r="E1268" s="225"/>
      <c r="F1268" s="225"/>
      <c r="G1268" s="225"/>
      <c r="H1268" s="201"/>
      <c r="I1268" s="226"/>
      <c r="J1268" s="226"/>
      <c r="K1268" s="226"/>
      <c r="M1268" s="226"/>
      <c r="N1268" s="228" t="s">
        <v>456</v>
      </c>
      <c r="P1268" s="230">
        <f t="shared" si="571"/>
        <v>0</v>
      </c>
    </row>
    <row r="1269" spans="1:16" x14ac:dyDescent="0.2">
      <c r="B1269" s="225"/>
      <c r="C1269" s="225"/>
      <c r="D1269" s="225"/>
      <c r="E1269" s="225"/>
      <c r="F1269" s="225"/>
      <c r="G1269" s="225"/>
      <c r="H1269" s="201"/>
      <c r="I1269" s="226"/>
      <c r="J1269" s="226"/>
      <c r="K1269" s="226"/>
      <c r="M1269" s="226"/>
      <c r="N1269" s="228" t="s">
        <v>457</v>
      </c>
      <c r="P1269" s="230">
        <f t="shared" si="571"/>
        <v>0</v>
      </c>
    </row>
    <row r="1270" spans="1:16" x14ac:dyDescent="0.2">
      <c r="B1270" s="225"/>
      <c r="C1270" s="225"/>
      <c r="D1270" s="225"/>
      <c r="E1270" s="225"/>
      <c r="F1270" s="225"/>
      <c r="G1270" s="225"/>
      <c r="H1270" s="201"/>
      <c r="I1270" s="226"/>
      <c r="J1270" s="226"/>
      <c r="K1270" s="226"/>
      <c r="L1270" s="226"/>
      <c r="M1270" s="226"/>
      <c r="N1270" s="226"/>
      <c r="P1270" s="230">
        <f t="shared" si="571"/>
        <v>0</v>
      </c>
    </row>
    <row r="1271" spans="1:16" x14ac:dyDescent="0.2">
      <c r="B1271" s="225"/>
      <c r="C1271" s="286" t="s">
        <v>458</v>
      </c>
      <c r="D1271" s="286"/>
      <c r="E1271" s="286"/>
      <c r="F1271" s="286"/>
      <c r="G1271" s="286"/>
      <c r="H1271" s="286"/>
      <c r="I1271" s="286"/>
      <c r="J1271" s="286"/>
      <c r="K1271" s="286"/>
      <c r="L1271" s="286"/>
      <c r="M1271" s="226"/>
      <c r="N1271" s="226"/>
      <c r="P1271" s="230">
        <f t="shared" si="571"/>
        <v>0</v>
      </c>
    </row>
    <row r="1272" spans="1:16" x14ac:dyDescent="0.2">
      <c r="B1272" s="225"/>
      <c r="C1272" s="286" t="s">
        <v>459</v>
      </c>
      <c r="D1272" s="286"/>
      <c r="E1272" s="286"/>
      <c r="F1272" s="286"/>
      <c r="G1272" s="286"/>
      <c r="H1272" s="286"/>
      <c r="I1272" s="286"/>
      <c r="J1272" s="286"/>
      <c r="K1272" s="286"/>
      <c r="L1272" s="286"/>
      <c r="M1272" s="226"/>
      <c r="N1272" s="226"/>
      <c r="P1272" s="230">
        <f t="shared" si="571"/>
        <v>0</v>
      </c>
    </row>
    <row r="1273" spans="1:16" x14ac:dyDescent="0.2">
      <c r="B1273" s="225" t="s">
        <v>460</v>
      </c>
      <c r="C1273" s="234"/>
      <c r="D1273" s="234"/>
      <c r="E1273" s="234"/>
      <c r="F1273" s="234"/>
      <c r="G1273" s="234"/>
      <c r="H1273" s="234"/>
      <c r="I1273" s="235"/>
      <c r="J1273" s="235"/>
      <c r="K1273" s="235"/>
      <c r="L1273" s="287" t="s">
        <v>461</v>
      </c>
      <c r="M1273" s="287"/>
      <c r="N1273" s="287"/>
      <c r="P1273" s="230">
        <f t="shared" si="571"/>
        <v>0</v>
      </c>
    </row>
    <row r="1274" spans="1:16" x14ac:dyDescent="0.2">
      <c r="B1274" s="225"/>
      <c r="C1274" s="234"/>
      <c r="D1274" s="234"/>
      <c r="E1274" s="234"/>
      <c r="F1274" s="234"/>
      <c r="G1274" s="234"/>
      <c r="H1274" s="234"/>
      <c r="I1274" s="235"/>
      <c r="J1274" s="235"/>
      <c r="K1274" s="235"/>
      <c r="L1274" s="235"/>
      <c r="M1274" s="235"/>
      <c r="N1274" s="235"/>
      <c r="P1274" s="230">
        <f t="shared" si="571"/>
        <v>0</v>
      </c>
    </row>
    <row r="1275" spans="1:16" x14ac:dyDescent="0.2">
      <c r="B1275" s="225" t="s">
        <v>2038</v>
      </c>
      <c r="C1275" s="234"/>
      <c r="D1275" s="234"/>
      <c r="E1275" s="234"/>
      <c r="F1275" s="234"/>
      <c r="G1275" s="234"/>
      <c r="H1275" s="234"/>
      <c r="I1275" s="235"/>
      <c r="J1275" s="235"/>
      <c r="K1275" s="235"/>
      <c r="L1275" s="235"/>
      <c r="M1275" s="235"/>
      <c r="N1275" s="235"/>
      <c r="P1275" s="230">
        <f t="shared" si="571"/>
        <v>0</v>
      </c>
    </row>
    <row r="1276" spans="1:16" x14ac:dyDescent="0.2">
      <c r="B1276" s="225" t="s">
        <v>462</v>
      </c>
      <c r="C1276" s="234"/>
      <c r="D1276" s="234"/>
      <c r="E1276" s="234"/>
      <c r="F1276" s="234"/>
      <c r="G1276" s="234"/>
      <c r="H1276" s="234"/>
      <c r="I1276" s="235"/>
      <c r="J1276" s="235"/>
      <c r="K1276" s="235"/>
      <c r="L1276" s="235"/>
      <c r="M1276" s="235"/>
      <c r="N1276" s="235"/>
      <c r="P1276" s="230">
        <f t="shared" si="571"/>
        <v>0</v>
      </c>
    </row>
    <row r="1277" spans="1:16" x14ac:dyDescent="0.2">
      <c r="B1277" s="225" t="s">
        <v>2037</v>
      </c>
      <c r="C1277" s="234"/>
      <c r="D1277" s="234"/>
      <c r="E1277" s="234"/>
      <c r="F1277" s="234"/>
      <c r="G1277" s="234"/>
      <c r="H1277" s="234"/>
      <c r="I1277" s="235"/>
      <c r="J1277" s="235"/>
      <c r="K1277" s="235"/>
      <c r="L1277" s="235"/>
      <c r="M1277" s="235"/>
      <c r="N1277" s="235"/>
      <c r="P1277" s="230">
        <f t="shared" si="571"/>
        <v>0</v>
      </c>
    </row>
    <row r="1278" spans="1:16" x14ac:dyDescent="0.2">
      <c r="B1278" s="225" t="s">
        <v>2052</v>
      </c>
      <c r="C1278" s="234"/>
      <c r="D1278" s="234"/>
      <c r="E1278" s="234"/>
      <c r="F1278" s="234"/>
      <c r="G1278" s="234"/>
      <c r="H1278" s="234"/>
      <c r="I1278" s="235"/>
      <c r="J1278" s="235"/>
      <c r="K1278" s="235"/>
      <c r="L1278" s="235"/>
      <c r="M1278" s="235"/>
      <c r="N1278" s="235"/>
      <c r="P1278" s="230">
        <f t="shared" si="571"/>
        <v>0</v>
      </c>
    </row>
    <row r="1279" spans="1:16" x14ac:dyDescent="0.2">
      <c r="B1279" s="225"/>
      <c r="C1279" s="225"/>
      <c r="D1279" s="225"/>
      <c r="E1279" s="225"/>
      <c r="F1279" s="225"/>
      <c r="G1279" s="225"/>
      <c r="H1279" s="201"/>
      <c r="I1279" s="226"/>
      <c r="J1279" s="226"/>
      <c r="K1279" s="226"/>
      <c r="L1279" s="226"/>
      <c r="M1279" s="226"/>
      <c r="N1279" s="226"/>
      <c r="P1279" s="230">
        <f t="shared" si="571"/>
        <v>0</v>
      </c>
    </row>
    <row r="1280" spans="1:16" x14ac:dyDescent="0.2">
      <c r="B1280" s="288" t="s">
        <v>106</v>
      </c>
      <c r="C1280" s="290" t="s">
        <v>463</v>
      </c>
      <c r="D1280" s="288" t="s">
        <v>464</v>
      </c>
      <c r="E1280" s="288" t="s">
        <v>465</v>
      </c>
      <c r="F1280" s="288" t="s">
        <v>490</v>
      </c>
      <c r="G1280" s="288" t="s">
        <v>466</v>
      </c>
      <c r="H1280" s="292" t="s">
        <v>8</v>
      </c>
      <c r="I1280" s="294" t="s">
        <v>467</v>
      </c>
      <c r="J1280" s="295"/>
      <c r="K1280" s="295"/>
      <c r="L1280" s="296"/>
      <c r="M1280" s="297" t="s">
        <v>468</v>
      </c>
      <c r="N1280" s="299" t="s">
        <v>469</v>
      </c>
      <c r="P1280" s="230">
        <f t="shared" si="571"/>
        <v>0</v>
      </c>
    </row>
    <row r="1281" spans="1:43" x14ac:dyDescent="0.2">
      <c r="B1281" s="289"/>
      <c r="C1281" s="291"/>
      <c r="D1281" s="289"/>
      <c r="E1281" s="289"/>
      <c r="F1281" s="289"/>
      <c r="G1281" s="289"/>
      <c r="H1281" s="293"/>
      <c r="I1281" s="236" t="s">
        <v>470</v>
      </c>
      <c r="J1281" s="236" t="s">
        <v>471</v>
      </c>
      <c r="K1281" s="236" t="s">
        <v>472</v>
      </c>
      <c r="L1281" s="236" t="s">
        <v>473</v>
      </c>
      <c r="M1281" s="298"/>
      <c r="N1281" s="300"/>
      <c r="P1281" s="230">
        <f t="shared" si="571"/>
        <v>0</v>
      </c>
    </row>
    <row r="1282" spans="1:43" x14ac:dyDescent="0.2">
      <c r="A1282" s="224" t="str">
        <f>CONCATENATE("Лот"," ",A1283)</f>
        <v>Лот 24</v>
      </c>
      <c r="B1282" s="273" t="s">
        <v>2087</v>
      </c>
      <c r="C1282" s="274"/>
      <c r="D1282" s="274"/>
      <c r="E1282" s="274"/>
      <c r="F1282" s="274"/>
      <c r="G1282" s="275"/>
      <c r="H1282" s="238" t="s">
        <v>17</v>
      </c>
      <c r="I1282" s="270">
        <f ca="1">ROUND(VLOOKUP($H1282,$AJ$4:$AN$13,2,0)*$Q1284*1.51,2)</f>
        <v>114.43</v>
      </c>
      <c r="J1282" s="270">
        <f ca="1">ROUND(VLOOKUP($H1282,$AJ$4:$AN$13,3,0)*$Q1284*1.51,2)</f>
        <v>81.540000000000006</v>
      </c>
      <c r="K1282" s="270">
        <f ca="1">ROUND(VLOOKUP($H1282,$AJ$4:$AN$13,4,0)*$Q1284*1.51,2)</f>
        <v>41.31</v>
      </c>
      <c r="L1282" s="270"/>
      <c r="M1282" s="270">
        <f ca="1">ROUND(VLOOKUP($H1282,$AJ$4:$AN$13,5,0)*$Q1284*1.51,2)</f>
        <v>6.52</v>
      </c>
      <c r="N1282" s="270"/>
      <c r="P1282" s="230">
        <f t="shared" si="571"/>
        <v>1</v>
      </c>
    </row>
    <row r="1283" spans="1:43" x14ac:dyDescent="0.2">
      <c r="A1283" s="224">
        <f>A1228+1</f>
        <v>24</v>
      </c>
      <c r="B1283" s="276"/>
      <c r="C1283" s="277"/>
      <c r="D1283" s="277"/>
      <c r="E1283" s="277"/>
      <c r="F1283" s="277"/>
      <c r="G1283" s="278"/>
      <c r="H1283" s="238" t="s">
        <v>25</v>
      </c>
      <c r="I1283" s="270">
        <f ca="1">ROUND(VLOOKUP($H1283,$AJ$4:$AN$13,2,0)*$Q1284*1.51,2)</f>
        <v>855.9</v>
      </c>
      <c r="J1283" s="270">
        <f ca="1">ROUND(VLOOKUP($H1283,$AJ$4:$AN$13,3,0)*$Q1284*1.51,2)</f>
        <v>611.54999999999995</v>
      </c>
      <c r="K1283" s="270">
        <f ca="1">ROUND(VLOOKUP($H1283,$AJ$4:$AN$13,4,0)*$Q1284*1.51,2)</f>
        <v>307.68</v>
      </c>
      <c r="L1283" s="270"/>
      <c r="M1283" s="270">
        <f ca="1">ROUND(VLOOKUP($H1283,$AJ$4:$AN$13,5,0)*$Q1284*1.51,2)</f>
        <v>26.64</v>
      </c>
      <c r="N1283" s="270"/>
      <c r="P1283" s="230">
        <f t="shared" si="571"/>
        <v>1</v>
      </c>
      <c r="Q1283" s="240" t="s">
        <v>2045</v>
      </c>
      <c r="R1283" s="240" t="s">
        <v>2046</v>
      </c>
    </row>
    <row r="1284" spans="1:43" x14ac:dyDescent="0.2">
      <c r="B1284" s="276"/>
      <c r="C1284" s="277"/>
      <c r="D1284" s="277"/>
      <c r="E1284" s="277"/>
      <c r="F1284" s="277"/>
      <c r="G1284" s="278"/>
      <c r="H1284" s="238" t="s">
        <v>19</v>
      </c>
      <c r="I1284" s="270">
        <f ca="1">ROUND(VLOOKUP($H1284,$AJ$4:$AN$13,2,0)*$Q1284*1.51,2)</f>
        <v>67.95</v>
      </c>
      <c r="J1284" s="270">
        <f ca="1">ROUND(VLOOKUP($H1284,$AJ$4:$AN$13,3,0)*$Q1284*1.51,2)</f>
        <v>49.47</v>
      </c>
      <c r="K1284" s="270">
        <f ca="1">ROUND(VLOOKUP($H1284,$AJ$4:$AN$13,4,0)*$Q1284*1.51,2)</f>
        <v>25.28</v>
      </c>
      <c r="L1284" s="270"/>
      <c r="M1284" s="270">
        <f ca="1">ROUND(VLOOKUP($H1284,$AJ$4:$AN$13,5,0)*$Q1284*1.51,2)</f>
        <v>1.36</v>
      </c>
      <c r="N1284" s="270"/>
      <c r="P1284" s="230">
        <f t="shared" si="571"/>
        <v>0</v>
      </c>
      <c r="Q1284" s="123">
        <f ca="1">IFERROR(IF(R1284="","",IF(OR(R1284&lt;100,R1284=100),0.9,IF(OR(AND(R1284&gt;100,R1284&lt;150),R1284=150),1,IF(R1284&gt;150,1.05,"")))),"0")</f>
        <v>1</v>
      </c>
      <c r="R1284" s="123">
        <f ca="1">N1300/G1288</f>
        <v>132.30555555555554</v>
      </c>
    </row>
    <row r="1285" spans="1:43" x14ac:dyDescent="0.2">
      <c r="B1285" s="276"/>
      <c r="C1285" s="277"/>
      <c r="D1285" s="277"/>
      <c r="E1285" s="277"/>
      <c r="F1285" s="277"/>
      <c r="G1285" s="278"/>
      <c r="H1285" s="238" t="s">
        <v>268</v>
      </c>
      <c r="I1285" s="270">
        <f ca="1">ROUND(VLOOKUP($H1285,$AJ$4:$AN$13,2,0)*$Q1284*1.51,2)</f>
        <v>855.9</v>
      </c>
      <c r="J1285" s="270">
        <f ca="1">ROUND(VLOOKUP($H1285,$AJ$4:$AN$13,3,0)*$Q1284*1.51,2)</f>
        <v>611.54999999999995</v>
      </c>
      <c r="K1285" s="270">
        <f ca="1">ROUND(VLOOKUP($H1285,$AJ$4:$AN$13,4,0)*$Q1284*1.51,2)</f>
        <v>307.68</v>
      </c>
      <c r="L1285" s="270"/>
      <c r="M1285" s="270">
        <f ca="1">ROUND(VLOOKUP($H1285,$AJ$4:$AN$13,5,0)*$Q1284*1.51,2)</f>
        <v>26.64</v>
      </c>
      <c r="N1285" s="270"/>
    </row>
    <row r="1286" spans="1:43" x14ac:dyDescent="0.2">
      <c r="B1286" s="276"/>
      <c r="C1286" s="277"/>
      <c r="D1286" s="277"/>
      <c r="E1286" s="277"/>
      <c r="F1286" s="277"/>
      <c r="G1286" s="278"/>
      <c r="H1286" s="238" t="s">
        <v>40</v>
      </c>
      <c r="I1286" s="270">
        <f ca="1">ROUND(VLOOKUP($H1286,$AJ$4:$AN$13,2,0)*$Q1284*1.51,2)</f>
        <v>67.95</v>
      </c>
      <c r="J1286" s="270">
        <f ca="1">ROUND(VLOOKUP($H1286,$AJ$4:$AN$13,3,0)*$Q1284*1.51,2)</f>
        <v>49.47</v>
      </c>
      <c r="K1286" s="270">
        <f ca="1">ROUND(VLOOKUP($H1286,$AJ$4:$AN$13,4,0)*$Q1284*1.51,2)</f>
        <v>25.28</v>
      </c>
      <c r="L1286" s="270"/>
      <c r="M1286" s="270">
        <f ca="1">ROUND(VLOOKUP($H1286,$AJ$4:$AN$13,5,0)*$Q1284*1.51,2)</f>
        <v>1.36</v>
      </c>
      <c r="N1286" s="270"/>
      <c r="P1286" s="230">
        <f t="shared" ref="P1286:P1299" si="572">IF(A1286&gt;0,1,0)</f>
        <v>0</v>
      </c>
    </row>
    <row r="1287" spans="1:43" x14ac:dyDescent="0.2">
      <c r="B1287" s="279"/>
      <c r="C1287" s="280"/>
      <c r="D1287" s="280"/>
      <c r="E1287" s="280"/>
      <c r="F1287" s="280"/>
      <c r="G1287" s="281"/>
      <c r="H1287" s="238" t="s">
        <v>18</v>
      </c>
      <c r="I1287" s="270">
        <f ca="1">ROUND(VLOOKUP($H1287,$AJ$4:$AN$13,2,0)*$Q1284*1.51,2)</f>
        <v>21.74</v>
      </c>
      <c r="J1287" s="270">
        <f ca="1">ROUND(VLOOKUP($H1287,$AJ$4:$AN$13,3,0)*$Q1284*1.51,2)</f>
        <v>16.579999999999998</v>
      </c>
      <c r="K1287" s="270">
        <f ca="1">ROUND(VLOOKUP($H1287,$AJ$4:$AN$13,4,0)*$Q1284*1.51,2)</f>
        <v>8.43</v>
      </c>
      <c r="L1287" s="270"/>
      <c r="M1287" s="270">
        <f ca="1">ROUND(VLOOKUP($H1287,$AJ$4:$AN$13,5,0)*$Q1284*1.51*1,2)</f>
        <v>0.54</v>
      </c>
      <c r="N1287" s="270"/>
      <c r="P1287" s="230">
        <f t="shared" si="572"/>
        <v>0</v>
      </c>
      <c r="AP1287" s="241" t="s">
        <v>2053</v>
      </c>
      <c r="AQ1287" s="242"/>
    </row>
    <row r="1288" spans="1:43" x14ac:dyDescent="0.2">
      <c r="A1288" s="224">
        <f>A1233+37</f>
        <v>851</v>
      </c>
      <c r="B1288" s="243" t="str">
        <f ca="1">OFFSET(ЛОТЫ!$L$5,A1288,0,1,1)</f>
        <v>Мамыковское</v>
      </c>
      <c r="C1288" s="244" t="s">
        <v>474</v>
      </c>
      <c r="D1288" s="243">
        <f ca="1">OFFSET(ЛОТЫ!$M$5,A1288,0,1,1)</f>
        <v>52</v>
      </c>
      <c r="E1288" s="243">
        <f ca="1">OFFSET(ЛОТЫ!$N$5,A1288,0,1,1)</f>
        <v>35</v>
      </c>
      <c r="F1288" s="243">
        <f ca="1">OFFSET(ЛОТЫ!$O$5,A1288,0,1,1)</f>
        <v>4</v>
      </c>
      <c r="G1288" s="271">
        <f ca="1">IFERROR(INDEX('Ведомость расчета мин. платы'!$G$10:$AC$214,MATCH(CONCATENATE(B1288,"/",D1288,"/",E1288,"/",F1288),'Ведомость расчета мин. платы'!$AC$10:$AC$214,0),1),"")</f>
        <v>3.6</v>
      </c>
      <c r="H1288" s="246" t="s">
        <v>17</v>
      </c>
      <c r="I1288" s="247">
        <f ca="1">IFERROR(INDEX('Ведомость расчета мин. платы'!$J$10:$AE$214,MATCH(CONCATENATE(РАСЧЕТ!B1288,"/",РАСЧЕТ!D1288,"/",РАСЧЕТ!E1288,"/",F1288,"/",H1288),'Ведомость расчета мин. платы'!$AE$10:$AE$214,0),2),"")</f>
        <v>14</v>
      </c>
      <c r="J1288" s="247">
        <f ca="1">IFERROR(INDEX('Ведомость расчета мин. платы'!$J$10:$AE$214,MATCH(CONCATENATE(РАСЧЕТ!B1288,"/",РАСЧЕТ!D1288,"/",РАСЧЕТ!E1288,"/",F1288,"/",H1288),'Ведомость расчета мин. платы'!$AE$10:$AE$214,0),3),"")</f>
        <v>23.6</v>
      </c>
      <c r="K1288" s="247">
        <f ca="1">IFERROR(INDEX('Ведомость расчета мин. платы'!$J$10:$AE$214,MATCH(CONCATENATE(РАСЧЕТ!B1288,"/",РАСЧЕТ!D1288,"/",РАСЧЕТ!E1288,"/",F1288,"/",H1288),'Ведомость расчета мин. платы'!$AE$10:$AE$214,0),4),"")</f>
        <v>6</v>
      </c>
      <c r="L1288" s="248">
        <f t="shared" ref="L1288:L1300" ca="1" si="573">IFERROR(SUM(I1288:K1288),"")</f>
        <v>43.6</v>
      </c>
      <c r="M1288" s="214">
        <f ca="1">IFERROR(INDEX('Ведомость расчета мин. платы'!$J$10:$AE$214,MATCH(CONCATENATE(РАСЧЕТ!B1288,"/",РАСЧЕТ!D1288,"/",РАСЧЕТ!E1288,"/",F1288,"/",H1288),'Ведомость расчета мин. платы'!$AE$10:$AE$214,0),6),"")</f>
        <v>34.299999999999997</v>
      </c>
      <c r="N1288" s="214">
        <f t="shared" ref="N1288:N1300" ca="1" si="574">IFERROR(SUM(L1288:M1288),"")</f>
        <v>77.900000000000006</v>
      </c>
      <c r="O1288" s="229">
        <f>IF(H1288="стоимость","",1)</f>
        <v>1</v>
      </c>
      <c r="P1288" s="230">
        <f t="shared" si="572"/>
        <v>1</v>
      </c>
      <c r="AP1288" s="242"/>
      <c r="AQ1288" s="242"/>
    </row>
    <row r="1289" spans="1:43" x14ac:dyDescent="0.2">
      <c r="B1289" s="249"/>
      <c r="C1289" s="249"/>
      <c r="D1289" s="249"/>
      <c r="E1289" s="249"/>
      <c r="F1289" s="249"/>
      <c r="G1289" s="249"/>
      <c r="H1289" s="250" t="s">
        <v>475</v>
      </c>
      <c r="I1289" s="251">
        <f ca="1">IFERROR(ROUND(I1288*I1282,2),"")</f>
        <v>1602.02</v>
      </c>
      <c r="J1289" s="251">
        <f t="shared" ref="J1289" ca="1" si="575">IFERROR(ROUND(J1288*J1282,2),"")</f>
        <v>1924.34</v>
      </c>
      <c r="K1289" s="251">
        <f t="shared" ref="K1289" ca="1" si="576">IFERROR(ROUND(K1288*K1282,2),"")</f>
        <v>247.86</v>
      </c>
      <c r="L1289" s="251">
        <f t="shared" ca="1" si="573"/>
        <v>3774.22</v>
      </c>
      <c r="M1289" s="251">
        <f t="shared" ref="M1289" ca="1" si="577">IFERROR(ROUND(M1288*M1282,2),"")</f>
        <v>223.64</v>
      </c>
      <c r="N1289" s="252">
        <f t="shared" ca="1" si="574"/>
        <v>3997.8599999999997</v>
      </c>
      <c r="O1289" s="229" t="str">
        <f t="shared" ref="O1289:O1299" si="578">IF(H1289="стоимость","",1)</f>
        <v/>
      </c>
      <c r="P1289" s="230">
        <f t="shared" si="572"/>
        <v>0</v>
      </c>
      <c r="AP1289" s="242">
        <f ca="1">SUMIFS('Ведомость расчета мин. платы'!$S$10:$S$209,'Ведомость расчета мин. платы'!$AE$10:$AE$209,CONCATENATE(B1288,"/",D1288,"/",E1288,"/",F1288,"/",H1288))</f>
        <v>3997.86</v>
      </c>
      <c r="AQ1289" s="253">
        <f t="shared" ref="AQ1289" ca="1" si="579">AP1289-N1289</f>
        <v>0</v>
      </c>
    </row>
    <row r="1290" spans="1:43" x14ac:dyDescent="0.2">
      <c r="B1290" s="249"/>
      <c r="C1290" s="249"/>
      <c r="D1290" s="249"/>
      <c r="E1290" s="249"/>
      <c r="F1290" s="249"/>
      <c r="G1290" s="249"/>
      <c r="H1290" s="246" t="s">
        <v>25</v>
      </c>
      <c r="I1290" s="247" t="str">
        <f ca="1">IFERROR(INDEX('Ведомость расчета мин. платы'!$J$10:$AE$214,MATCH(CONCATENATE(РАСЧЕТ!B1288,"/",РАСЧЕТ!D1288,"/",РАСЧЕТ!E1288,"/",F1288,"/",H1290),'Ведомость расчета мин. платы'!$AE$10:$AE$214,0),2),"")</f>
        <v/>
      </c>
      <c r="J1290" s="247" t="str">
        <f ca="1">IFERROR(INDEX('Ведомость расчета мин. платы'!$J$10:$AE$214,MATCH(CONCATENATE(РАСЧЕТ!B1288,"/",РАСЧЕТ!D1288,"/",РАСЧЕТ!E1288,"/",F1288,"/",H1290),'Ведомость расчета мин. платы'!$AE$10:$AE$214,0),3),"")</f>
        <v/>
      </c>
      <c r="K1290" s="247" t="str">
        <f ca="1">IFERROR(INDEX('Ведомость расчета мин. платы'!$J$10:$AE$214,MATCH(CONCATENATE(РАСЧЕТ!B1288,"/",РАСЧЕТ!D1288,"/",РАСЧЕТ!E1288,"/",F1288,"/",H1290),'Ведомость расчета мин. платы'!$AE$10:$AE$214,0),4),"")</f>
        <v/>
      </c>
      <c r="L1290" s="248">
        <f t="shared" ca="1" si="573"/>
        <v>0</v>
      </c>
      <c r="M1290" s="214" t="str">
        <f ca="1">IFERROR(INDEX('Ведомость расчета мин. платы'!$J$10:$AE$214,MATCH(CONCATENATE(РАСЧЕТ!B1288,"/",РАСЧЕТ!D1288,"/",РАСЧЕТ!E1288,"/",F1288,"/",H1290),'Ведомость расчета мин. платы'!$AE$10:$AE$214,0),6),"")</f>
        <v/>
      </c>
      <c r="N1290" s="214">
        <f t="shared" ca="1" si="574"/>
        <v>0</v>
      </c>
      <c r="O1290" s="229">
        <f t="shared" si="578"/>
        <v>1</v>
      </c>
      <c r="P1290" s="230">
        <f t="shared" si="572"/>
        <v>0</v>
      </c>
      <c r="AP1290" s="242"/>
      <c r="AQ1290" s="253"/>
    </row>
    <row r="1291" spans="1:43" x14ac:dyDescent="0.2">
      <c r="B1291" s="249"/>
      <c r="C1291" s="249"/>
      <c r="D1291" s="249"/>
      <c r="E1291" s="249"/>
      <c r="F1291" s="249"/>
      <c r="G1291" s="249"/>
      <c r="H1291" s="250" t="s">
        <v>475</v>
      </c>
      <c r="I1291" s="251" t="str">
        <f ca="1">IFERROR(ROUND(I1290*I1283,2),"")</f>
        <v/>
      </c>
      <c r="J1291" s="251" t="str">
        <f t="shared" ref="J1291" ca="1" si="580">IFERROR(ROUND(J1290*J1283,2),"")</f>
        <v/>
      </c>
      <c r="K1291" s="251" t="str">
        <f t="shared" ref="K1291" ca="1" si="581">IFERROR(ROUND(K1290*K1283,2),"")</f>
        <v/>
      </c>
      <c r="L1291" s="251">
        <f t="shared" ca="1" si="573"/>
        <v>0</v>
      </c>
      <c r="M1291" s="251" t="str">
        <f t="shared" ref="M1291" ca="1" si="582">IFERROR(ROUND(M1290*M1283,2),"")</f>
        <v/>
      </c>
      <c r="N1291" s="252">
        <f t="shared" ca="1" si="574"/>
        <v>0</v>
      </c>
      <c r="O1291" s="229" t="str">
        <f t="shared" si="578"/>
        <v/>
      </c>
      <c r="P1291" s="230">
        <f t="shared" si="572"/>
        <v>0</v>
      </c>
      <c r="AP1291" s="242">
        <f ca="1">SUMIFS('Ведомость расчета мин. платы'!$S$10:$S$209,'Ведомость расчета мин. платы'!$AE$10:$AE$209,CONCATENATE(B1288,"/",D1288,"/",E1288,"/",F1288,"/",H1290))</f>
        <v>0</v>
      </c>
      <c r="AQ1291" s="253">
        <f t="shared" ref="AQ1291" ca="1" si="583">AP1291-N1291</f>
        <v>0</v>
      </c>
    </row>
    <row r="1292" spans="1:43" x14ac:dyDescent="0.2">
      <c r="B1292" s="249"/>
      <c r="C1292" s="249"/>
      <c r="D1292" s="249"/>
      <c r="E1292" s="249"/>
      <c r="F1292" s="249"/>
      <c r="G1292" s="249"/>
      <c r="H1292" s="205" t="s">
        <v>19</v>
      </c>
      <c r="I1292" s="248" t="str">
        <f ca="1">IFERROR(INDEX('Ведомость расчета мин. платы'!$J$10:$AE$214,MATCH(CONCATENATE(РАСЧЕТ!B1288,"/",РАСЧЕТ!D1288,"/",РАСЧЕТ!E1288,"/",F1288,"/",H1292),'Ведомость расчета мин. платы'!$AE$10:$AE$214,0),2),"")</f>
        <v/>
      </c>
      <c r="J1292" s="248" t="str">
        <f ca="1">IFERROR(INDEX('Ведомость расчета мин. платы'!$J$10:$AE$214,MATCH(CONCATENATE(РАСЧЕТ!B1288,"/",РАСЧЕТ!D1288,"/",РАСЧЕТ!E1288,"/",F1288,"/",H1292),'Ведомость расчета мин. платы'!$AE$10:$AE$214,0),3),"")</f>
        <v/>
      </c>
      <c r="K1292" s="248" t="str">
        <f ca="1">IFERROR(INDEX('Ведомость расчета мин. платы'!$J$10:$AE$214,MATCH(CONCATENATE(РАСЧЕТ!B1288,"/",РАСЧЕТ!D1288,"/",РАСЧЕТ!E1288,"/",F1288,"/",H1292),'Ведомость расчета мин. платы'!$AE$10:$AE$214,0),4),"")</f>
        <v/>
      </c>
      <c r="L1292" s="248">
        <f t="shared" ca="1" si="573"/>
        <v>0</v>
      </c>
      <c r="M1292" s="248" t="str">
        <f ca="1">IFERROR(INDEX('Ведомость расчета мин. платы'!$J$10:$AE$214,MATCH(CONCATENATE(РАСЧЕТ!B1288,"/",РАСЧЕТ!D1288,"/",РАСЧЕТ!E1288,"/",F1288,"/",H1292),'Ведомость расчета мин. платы'!$AE$10:$AE$214,0),6),"")</f>
        <v/>
      </c>
      <c r="N1292" s="214">
        <f t="shared" ca="1" si="574"/>
        <v>0</v>
      </c>
      <c r="O1292" s="229">
        <f t="shared" si="578"/>
        <v>1</v>
      </c>
      <c r="P1292" s="230">
        <f t="shared" si="572"/>
        <v>0</v>
      </c>
      <c r="AP1292" s="242"/>
      <c r="AQ1292" s="253"/>
    </row>
    <row r="1293" spans="1:43" x14ac:dyDescent="0.2">
      <c r="B1293" s="249"/>
      <c r="C1293" s="249"/>
      <c r="D1293" s="249"/>
      <c r="E1293" s="249"/>
      <c r="F1293" s="249"/>
      <c r="G1293" s="249"/>
      <c r="H1293" s="250" t="s">
        <v>475</v>
      </c>
      <c r="I1293" s="251" t="str">
        <f ca="1">IFERROR(ROUND(I1292*I1284,2),"")</f>
        <v/>
      </c>
      <c r="J1293" s="251" t="str">
        <f t="shared" ref="J1293" ca="1" si="584">IFERROR(ROUND(J1292*J1284,2),"")</f>
        <v/>
      </c>
      <c r="K1293" s="251" t="str">
        <f t="shared" ref="K1293" ca="1" si="585">IFERROR(ROUND(K1292*K1284,2),"")</f>
        <v/>
      </c>
      <c r="L1293" s="251">
        <f t="shared" ca="1" si="573"/>
        <v>0</v>
      </c>
      <c r="M1293" s="251" t="str">
        <f t="shared" ref="M1293" ca="1" si="586">IFERROR(ROUND(M1292*M1284,2),"")</f>
        <v/>
      </c>
      <c r="N1293" s="252">
        <f t="shared" ca="1" si="574"/>
        <v>0</v>
      </c>
      <c r="O1293" s="229" t="str">
        <f t="shared" si="578"/>
        <v/>
      </c>
      <c r="P1293" s="230">
        <f t="shared" si="572"/>
        <v>0</v>
      </c>
      <c r="AP1293" s="242">
        <f ca="1">SUMIFS('Ведомость расчета мин. платы'!$S$10:$S$209,'Ведомость расчета мин. платы'!$AE$10:$AE$209,CONCATENATE(B1288,"/",D1288,"/",E1288,"/",F1288,"/",H1292))</f>
        <v>0</v>
      </c>
      <c r="AQ1293" s="253">
        <f t="shared" ref="AQ1293" ca="1" si="587">AP1293-N1293</f>
        <v>0</v>
      </c>
    </row>
    <row r="1294" spans="1:43" x14ac:dyDescent="0.2">
      <c r="B1294" s="249"/>
      <c r="C1294" s="249"/>
      <c r="D1294" s="249"/>
      <c r="E1294" s="249"/>
      <c r="F1294" s="249"/>
      <c r="G1294" s="249"/>
      <c r="H1294" s="205" t="s">
        <v>268</v>
      </c>
      <c r="I1294" s="248" t="str">
        <f ca="1">IFERROR(INDEX('Ведомость расчета мин. платы'!$J$10:$AE$214,MATCH(CONCATENATE(РАСЧЕТ!B1288,"/",РАСЧЕТ!D1288,"/",РАСЧЕТ!E1288,"/",F1288,"/",H1294),'Ведомость расчета мин. платы'!$AE$10:$AE$214,0),2),"")</f>
        <v/>
      </c>
      <c r="J1294" s="248" t="str">
        <f ca="1">IFERROR(INDEX('Ведомость расчета мин. платы'!$J$10:$AE$214,MATCH(CONCATENATE(РАСЧЕТ!B1288,"/",РАСЧЕТ!D1288,"/",РАСЧЕТ!E1288,"/",F1288,"/",H1294),'Ведомость расчета мин. платы'!$AE$10:$AE$214,0),3),"")</f>
        <v/>
      </c>
      <c r="K1294" s="248" t="str">
        <f ca="1">IFERROR(INDEX('Ведомость расчета мин. платы'!$J$10:$AE$214,MATCH(CONCATENATE(РАСЧЕТ!B1288,"/",РАСЧЕТ!D1288,"/",РАСЧЕТ!E1288,"/",F1288,"/",H1294),'Ведомость расчета мин. платы'!$AE$10:$AE$214,0),4),"")</f>
        <v/>
      </c>
      <c r="L1294" s="248">
        <f t="shared" ca="1" si="573"/>
        <v>0</v>
      </c>
      <c r="M1294" s="248" t="str">
        <f ca="1">IFERROR(INDEX('Ведомость расчета мин. платы'!$J$10:$AE$214,MATCH(CONCATENATE(РАСЧЕТ!B1288,"/",РАСЧЕТ!D1288,"/",РАСЧЕТ!E1288,"/",F1288,"/",H1294),'Ведомость расчета мин. платы'!$AE$10:$AE$214,0),6),"")</f>
        <v/>
      </c>
      <c r="N1294" s="214">
        <f t="shared" ca="1" si="574"/>
        <v>0</v>
      </c>
      <c r="O1294" s="229">
        <f t="shared" si="578"/>
        <v>1</v>
      </c>
      <c r="P1294" s="230">
        <f t="shared" si="572"/>
        <v>0</v>
      </c>
      <c r="AP1294" s="242"/>
      <c r="AQ1294" s="253"/>
    </row>
    <row r="1295" spans="1:43" x14ac:dyDescent="0.2">
      <c r="B1295" s="249"/>
      <c r="C1295" s="249"/>
      <c r="D1295" s="249"/>
      <c r="E1295" s="249"/>
      <c r="F1295" s="249"/>
      <c r="G1295" s="249"/>
      <c r="H1295" s="250" t="s">
        <v>475</v>
      </c>
      <c r="I1295" s="251" t="str">
        <f ca="1">IFERROR(ROUND(I1294*I1287,2),"")</f>
        <v/>
      </c>
      <c r="J1295" s="251" t="str">
        <f ca="1">IFERROR(ROUND(J1294*J1285,2),"")</f>
        <v/>
      </c>
      <c r="K1295" s="251" t="str">
        <f ca="1">IFERROR(ROUND(K1294*K1285,2),"")</f>
        <v/>
      </c>
      <c r="L1295" s="251">
        <f t="shared" ca="1" si="573"/>
        <v>0</v>
      </c>
      <c r="M1295" s="251" t="str">
        <f ca="1">IFERROR(ROUND(M1294*M1285,2),"")</f>
        <v/>
      </c>
      <c r="N1295" s="252">
        <f t="shared" ca="1" si="574"/>
        <v>0</v>
      </c>
      <c r="O1295" s="229" t="str">
        <f t="shared" si="578"/>
        <v/>
      </c>
      <c r="P1295" s="230">
        <f t="shared" si="572"/>
        <v>0</v>
      </c>
      <c r="AP1295" s="242">
        <f ca="1">SUMIFS('Ведомость расчета мин. платы'!$S$10:$S$209,'Ведомость расчета мин. платы'!$AE$10:$AE$209,CONCATENATE(B1288,"/",D1288,"/",E1288,"/",F1288,"/",H1294))</f>
        <v>0</v>
      </c>
      <c r="AQ1295" s="253">
        <f t="shared" ref="AQ1295" ca="1" si="588">AP1295-N1295</f>
        <v>0</v>
      </c>
    </row>
    <row r="1296" spans="1:43" x14ac:dyDescent="0.2">
      <c r="B1296" s="249"/>
      <c r="C1296" s="249"/>
      <c r="D1296" s="249"/>
      <c r="E1296" s="249"/>
      <c r="F1296" s="249"/>
      <c r="G1296" s="249"/>
      <c r="H1296" s="205" t="s">
        <v>40</v>
      </c>
      <c r="I1296" s="248" t="str">
        <f ca="1">IFERROR(INDEX('Ведомость расчета мин. платы'!$J$10:$AE$214,MATCH(CONCATENATE(РАСЧЕТ!B1288,"/",РАСЧЕТ!D1288,"/",РАСЧЕТ!E1288,"/",F1288,"/",H1296),'Ведомость расчета мин. платы'!$AE$10:$AE$214,0),2),"")</f>
        <v/>
      </c>
      <c r="J1296" s="248" t="str">
        <f ca="1">IFERROR(INDEX('Ведомость расчета мин. платы'!$J$10:$AE$214,MATCH(CONCATENATE(РАСЧЕТ!B1288,"/",РАСЧЕТ!D1288,"/",РАСЧЕТ!E1288,"/",F1288,"/",H1296),'Ведомость расчета мин. платы'!$AE$10:$AE$214,0),3),"")</f>
        <v/>
      </c>
      <c r="K1296" s="248" t="str">
        <f ca="1">IFERROR(INDEX('Ведомость расчета мин. платы'!$J$10:$AE$214,MATCH(CONCATENATE(РАСЧЕТ!B1288,"/",РАСЧЕТ!D1288,"/",РАСЧЕТ!E1288,"/",F1288,"/",H1296),'Ведомость расчета мин. платы'!$AE$10:$AE$214,0),4),"")</f>
        <v/>
      </c>
      <c r="L1296" s="248">
        <f t="shared" ca="1" si="573"/>
        <v>0</v>
      </c>
      <c r="M1296" s="248" t="str">
        <f ca="1">IFERROR(INDEX('Ведомость расчета мин. платы'!$J$10:$AE$214,MATCH(CONCATENATE(РАСЧЕТ!B1288,"/",РАСЧЕТ!D1288,"/",РАСЧЕТ!E1288,"/",F1288,"/",H1296),'Ведомость расчета мин. платы'!$AE$10:$AE$214,0),6),"")</f>
        <v/>
      </c>
      <c r="N1296" s="214">
        <f t="shared" ca="1" si="574"/>
        <v>0</v>
      </c>
      <c r="O1296" s="229">
        <f t="shared" si="578"/>
        <v>1</v>
      </c>
      <c r="P1296" s="230">
        <f t="shared" si="572"/>
        <v>0</v>
      </c>
      <c r="AP1296" s="242"/>
      <c r="AQ1296" s="253"/>
    </row>
    <row r="1297" spans="2:43" x14ac:dyDescent="0.2">
      <c r="B1297" s="249"/>
      <c r="C1297" s="249"/>
      <c r="D1297" s="249"/>
      <c r="E1297" s="249"/>
      <c r="F1297" s="249"/>
      <c r="G1297" s="249"/>
      <c r="H1297" s="250" t="s">
        <v>475</v>
      </c>
      <c r="I1297" s="251" t="str">
        <f ca="1">IFERROR(ROUND(I1296*I1286,2),"")</f>
        <v/>
      </c>
      <c r="J1297" s="251" t="str">
        <f t="shared" ref="J1297" ca="1" si="589">IFERROR(ROUND(J1296*J1286,2),"")</f>
        <v/>
      </c>
      <c r="K1297" s="251" t="str">
        <f t="shared" ref="K1297" ca="1" si="590">IFERROR(ROUND(K1296*K1286,2),"")</f>
        <v/>
      </c>
      <c r="L1297" s="251">
        <f t="shared" ca="1" si="573"/>
        <v>0</v>
      </c>
      <c r="M1297" s="251" t="str">
        <f t="shared" ref="M1297" ca="1" si="591">IFERROR(ROUND(M1296*M1286,2),"")</f>
        <v/>
      </c>
      <c r="N1297" s="252">
        <f t="shared" ca="1" si="574"/>
        <v>0</v>
      </c>
      <c r="O1297" s="229" t="str">
        <f t="shared" si="578"/>
        <v/>
      </c>
      <c r="P1297" s="230">
        <f t="shared" si="572"/>
        <v>0</v>
      </c>
      <c r="AP1297" s="242">
        <f ca="1">SUMIFS('Ведомость расчета мин. платы'!$S$10:$S$209,'Ведомость расчета мин. платы'!$AE$10:$AE$209,CONCATENATE(B1288,"/",D1288,"/",E1288,"/",F1288,"/",H1296))</f>
        <v>0</v>
      </c>
      <c r="AQ1297" s="253">
        <f t="shared" ref="AQ1297" ca="1" si="592">AP1297-N1297</f>
        <v>0</v>
      </c>
    </row>
    <row r="1298" spans="2:43" x14ac:dyDescent="0.2">
      <c r="B1298" s="249"/>
      <c r="C1298" s="249"/>
      <c r="D1298" s="249"/>
      <c r="E1298" s="249"/>
      <c r="F1298" s="249"/>
      <c r="G1298" s="249"/>
      <c r="H1298" s="205" t="s">
        <v>18</v>
      </c>
      <c r="I1298" s="248">
        <f ca="1">IFERROR(INDEX('Ведомость расчета мин. платы'!$J$10:$AE$214,MATCH(CONCATENATE(РАСЧЕТ!B1288,"/",РАСЧЕТ!D1288,"/",РАСЧЕТ!E1288,"/",F1288,"/",H1298),'Ведомость расчета мин. платы'!$AE$10:$AE$214,0),2),"")</f>
        <v>131.80000000000001</v>
      </c>
      <c r="J1298" s="248">
        <f ca="1">IFERROR(INDEX('Ведомость расчета мин. платы'!$J$10:$AE$214,MATCH(CONCATENATE(РАСЧЕТ!B1288,"/",РАСЧЕТ!D1288,"/",РАСЧЕТ!E1288,"/",F1288,"/",H1298),'Ведомость расчета мин. платы'!$AE$10:$AE$214,0),3),"")</f>
        <v>42</v>
      </c>
      <c r="K1298" s="248">
        <f ca="1">IFERROR(INDEX('Ведомость расчета мин. платы'!$J$10:$AE$214,MATCH(CONCATENATE(РАСЧЕТ!B1288,"/",РАСЧЕТ!D1288,"/",РАСЧЕТ!E1288,"/",F1288,"/",H1298),'Ведомость расчета мин. платы'!$AE$10:$AE$214,0),4),"")</f>
        <v>3.9</v>
      </c>
      <c r="L1298" s="248">
        <f t="shared" ca="1" si="573"/>
        <v>177.70000000000002</v>
      </c>
      <c r="M1298" s="248">
        <f ca="1">IFERROR(INDEX('Ведомость расчета мин. платы'!$J$10:$AE$214,MATCH(CONCATENATE(РАСЧЕТ!B1288,"/",РАСЧЕТ!D1288,"/",РАСЧЕТ!E1288,"/",F1288,"/",H1298),'Ведомость расчета мин. платы'!$AE$10:$AE$214,0),6),"")</f>
        <v>220.7</v>
      </c>
      <c r="N1298" s="214">
        <f t="shared" ca="1" si="574"/>
        <v>398.4</v>
      </c>
      <c r="O1298" s="229">
        <f t="shared" si="578"/>
        <v>1</v>
      </c>
      <c r="P1298" s="230">
        <f t="shared" si="572"/>
        <v>0</v>
      </c>
      <c r="AP1298" s="242"/>
      <c r="AQ1298" s="253"/>
    </row>
    <row r="1299" spans="2:43" x14ac:dyDescent="0.2">
      <c r="B1299" s="249"/>
      <c r="C1299" s="249"/>
      <c r="D1299" s="249"/>
      <c r="E1299" s="249"/>
      <c r="F1299" s="249"/>
      <c r="G1299" s="249"/>
      <c r="H1299" s="250" t="s">
        <v>475</v>
      </c>
      <c r="I1299" s="251">
        <f ca="1">IFERROR(ROUND(I1298*I1287,2),"")</f>
        <v>2865.33</v>
      </c>
      <c r="J1299" s="251">
        <f t="shared" ref="J1299" ca="1" si="593">IFERROR(ROUND(J1298*J1287,2),"")</f>
        <v>696.36</v>
      </c>
      <c r="K1299" s="251">
        <f t="shared" ref="K1299" ca="1" si="594">IFERROR(ROUND(K1298*K1287,2),"")</f>
        <v>32.880000000000003</v>
      </c>
      <c r="L1299" s="251">
        <f t="shared" ca="1" si="573"/>
        <v>3594.57</v>
      </c>
      <c r="M1299" s="251">
        <f t="shared" ref="M1299" ca="1" si="595">IFERROR(ROUND(M1298*M1287,2),"")</f>
        <v>119.18</v>
      </c>
      <c r="N1299" s="252">
        <f t="shared" ca="1" si="574"/>
        <v>3713.75</v>
      </c>
      <c r="O1299" s="229" t="str">
        <f t="shared" si="578"/>
        <v/>
      </c>
      <c r="P1299" s="230">
        <f t="shared" si="572"/>
        <v>0</v>
      </c>
      <c r="AP1299" s="242">
        <f ca="1">SUMIFS('Ведомость расчета мин. платы'!$S$10:$S$209,'Ведомость расчета мин. платы'!$AE$10:$AE$209,CONCATENATE(B1288,"/",D1288,"/",E1288,"/",F1288,"/",H1298))</f>
        <v>3713.75</v>
      </c>
      <c r="AQ1299" s="253">
        <f t="shared" ref="AQ1299" ca="1" si="596">AP1299-N1299</f>
        <v>0</v>
      </c>
    </row>
    <row r="1300" spans="2:43" x14ac:dyDescent="0.2">
      <c r="B1300" s="249"/>
      <c r="C1300" s="249"/>
      <c r="D1300" s="249"/>
      <c r="E1300" s="249"/>
      <c r="F1300" s="249"/>
      <c r="G1300" s="249"/>
      <c r="H1300" s="254" t="s">
        <v>476</v>
      </c>
      <c r="I1300" s="251">
        <f ca="1">SUMIF($O1288:$O1301,1,I1288:I1299)</f>
        <v>145.80000000000001</v>
      </c>
      <c r="J1300" s="251">
        <f ca="1">SUMIF($O1288:$O1301,1,J1288:J1299)</f>
        <v>65.599999999999994</v>
      </c>
      <c r="K1300" s="251">
        <f ca="1">SUMIF($O1288:$O1301,1,K1288:K1299)</f>
        <v>9.9</v>
      </c>
      <c r="L1300" s="251">
        <f t="shared" ca="1" si="573"/>
        <v>221.3</v>
      </c>
      <c r="M1300" s="251">
        <f ca="1">SUMIF($O1288:$O1301,1,M1288:M1299)</f>
        <v>255</v>
      </c>
      <c r="N1300" s="252">
        <f t="shared" ca="1" si="574"/>
        <v>476.3</v>
      </c>
      <c r="AP1300" s="242"/>
      <c r="AQ1300" s="253"/>
    </row>
    <row r="1301" spans="2:43" x14ac:dyDescent="0.2">
      <c r="B1301" s="249"/>
      <c r="C1301" s="249"/>
      <c r="D1301" s="249"/>
      <c r="E1301" s="249"/>
      <c r="F1301" s="249"/>
      <c r="G1301" s="249"/>
      <c r="H1301" s="254" t="s">
        <v>491</v>
      </c>
      <c r="I1301" s="251">
        <f ca="1">SUMIF(H1288:H1299,"стоимость",I1288:I1299)</f>
        <v>4467.3500000000004</v>
      </c>
      <c r="J1301" s="251">
        <f ca="1">SUMIF(H1288:H1299,"стоимость",J1288:J1299)</f>
        <v>2620.6999999999998</v>
      </c>
      <c r="K1301" s="251">
        <f ca="1">SUMIF(H1288:H1299,"стоимость",K1288:K1299)</f>
        <v>280.74</v>
      </c>
      <c r="L1301" s="251">
        <f ca="1">IFERROR(SUM(I1301:K1301),"")</f>
        <v>7368.79</v>
      </c>
      <c r="M1301" s="251">
        <f ca="1">SUMIF(H1288:H1299,"стоимость",M1288:M1299)</f>
        <v>342.82</v>
      </c>
      <c r="N1301" s="252">
        <f ca="1">IFERROR(SUM(L1301:M1301),"")</f>
        <v>7711.61</v>
      </c>
      <c r="AP1301" s="242">
        <f ca="1">SUMIFS('Ведомость расчета мин. платы'!$S$10:$S$209,'Ведомость расчета мин. платы'!$J$10:$J$209,"Итого",'Ведомость расчета мин. платы'!$AC$10:$AC$209,CONCATENATE(B1288,"/",D1288,"/",E1288,"/",F1288))</f>
        <v>7711.6100000000006</v>
      </c>
      <c r="AQ1301" s="253">
        <f ca="1">AP1301-N1301</f>
        <v>0</v>
      </c>
    </row>
    <row r="1302" spans="2:43" x14ac:dyDescent="0.2">
      <c r="B1302" s="255"/>
      <c r="C1302" s="255"/>
      <c r="D1302" s="255"/>
      <c r="E1302" s="255"/>
      <c r="F1302" s="255"/>
      <c r="G1302" s="256"/>
      <c r="H1302" s="257"/>
      <c r="I1302" s="258"/>
      <c r="J1302" s="258"/>
      <c r="K1302" s="258"/>
      <c r="L1302" s="258"/>
      <c r="M1302" s="258"/>
      <c r="N1302" s="258"/>
      <c r="P1302" s="230">
        <f t="shared" ref="P1302:P1320" si="597">IF(A1302&gt;0,1,0)</f>
        <v>0</v>
      </c>
    </row>
    <row r="1303" spans="2:43" x14ac:dyDescent="0.2">
      <c r="B1303" s="282" t="s">
        <v>477</v>
      </c>
      <c r="C1303" s="282"/>
      <c r="D1303" s="282"/>
      <c r="E1303" s="282"/>
      <c r="F1303" s="259"/>
      <c r="G1303" s="225"/>
      <c r="H1303" s="201"/>
      <c r="I1303" s="226"/>
      <c r="J1303" s="258"/>
      <c r="K1303" s="258"/>
      <c r="L1303" s="258"/>
      <c r="M1303" s="258"/>
      <c r="N1303" s="258"/>
      <c r="P1303" s="230">
        <f t="shared" si="597"/>
        <v>0</v>
      </c>
    </row>
    <row r="1304" spans="2:43" x14ac:dyDescent="0.2">
      <c r="B1304" s="283" t="s">
        <v>525</v>
      </c>
      <c r="C1304" s="283"/>
      <c r="D1304" s="283"/>
      <c r="E1304" s="283"/>
      <c r="F1304" s="283"/>
      <c r="G1304" s="283"/>
      <c r="H1304" s="283"/>
      <c r="I1304" s="283"/>
      <c r="J1304" s="261"/>
      <c r="K1304" s="261"/>
      <c r="L1304" s="261"/>
      <c r="M1304" s="261"/>
      <c r="N1304" s="261"/>
      <c r="P1304" s="230">
        <f t="shared" si="597"/>
        <v>0</v>
      </c>
    </row>
    <row r="1305" spans="2:43" x14ac:dyDescent="0.2">
      <c r="B1305" s="284" t="s">
        <v>478</v>
      </c>
      <c r="C1305" s="284"/>
      <c r="D1305" s="284"/>
      <c r="E1305" s="284"/>
      <c r="F1305" s="284"/>
      <c r="G1305" s="284"/>
      <c r="H1305" s="284"/>
      <c r="I1305" s="284"/>
      <c r="J1305" s="258"/>
      <c r="K1305" s="258"/>
      <c r="L1305" s="258"/>
      <c r="M1305" s="258"/>
      <c r="N1305" s="258"/>
      <c r="P1305" s="230">
        <f t="shared" si="597"/>
        <v>0</v>
      </c>
    </row>
    <row r="1306" spans="2:43" x14ac:dyDescent="0.2">
      <c r="B1306" s="284" t="s">
        <v>479</v>
      </c>
      <c r="C1306" s="284"/>
      <c r="D1306" s="284"/>
      <c r="E1306" s="284"/>
      <c r="F1306" s="284"/>
      <c r="G1306" s="284"/>
      <c r="H1306" s="284"/>
      <c r="I1306" s="284"/>
      <c r="J1306" s="258"/>
      <c r="K1306" s="258"/>
      <c r="L1306" s="258"/>
      <c r="M1306" s="258"/>
      <c r="N1306" s="258"/>
      <c r="P1306" s="230">
        <f t="shared" si="597"/>
        <v>0</v>
      </c>
    </row>
    <row r="1307" spans="2:43" x14ac:dyDescent="0.2">
      <c r="B1307" s="284" t="s">
        <v>480</v>
      </c>
      <c r="C1307" s="284"/>
      <c r="D1307" s="284"/>
      <c r="E1307" s="284"/>
      <c r="F1307" s="284"/>
      <c r="G1307" s="284"/>
      <c r="H1307" s="284"/>
      <c r="I1307" s="284"/>
      <c r="J1307" s="258"/>
      <c r="K1307" s="258"/>
      <c r="L1307" s="258"/>
      <c r="M1307" s="258"/>
      <c r="N1307" s="258"/>
      <c r="P1307" s="230">
        <f t="shared" si="597"/>
        <v>0</v>
      </c>
    </row>
    <row r="1308" spans="2:43" x14ac:dyDescent="0.2">
      <c r="B1308" s="284" t="s">
        <v>481</v>
      </c>
      <c r="C1308" s="284"/>
      <c r="D1308" s="284"/>
      <c r="E1308" s="284"/>
      <c r="F1308" s="284"/>
      <c r="G1308" s="284"/>
      <c r="H1308" s="284"/>
      <c r="I1308" s="284"/>
      <c r="J1308" s="226"/>
      <c r="K1308" s="226"/>
      <c r="L1308" s="226"/>
      <c r="M1308" s="226"/>
      <c r="N1308" s="226"/>
      <c r="P1308" s="230">
        <f t="shared" si="597"/>
        <v>0</v>
      </c>
    </row>
    <row r="1309" spans="2:43" x14ac:dyDescent="0.2">
      <c r="B1309" s="284" t="s">
        <v>482</v>
      </c>
      <c r="C1309" s="284"/>
      <c r="D1309" s="284"/>
      <c r="E1309" s="284"/>
      <c r="F1309" s="284"/>
      <c r="G1309" s="284"/>
      <c r="H1309" s="284"/>
      <c r="I1309" s="284"/>
      <c r="J1309" s="226"/>
      <c r="K1309" s="226"/>
      <c r="L1309" s="226"/>
      <c r="M1309" s="226"/>
      <c r="N1309" s="226"/>
      <c r="P1309" s="230">
        <f t="shared" si="597"/>
        <v>0</v>
      </c>
    </row>
    <row r="1310" spans="2:43" x14ac:dyDescent="0.2">
      <c r="B1310" s="284" t="s">
        <v>483</v>
      </c>
      <c r="C1310" s="284"/>
      <c r="D1310" s="284"/>
      <c r="E1310" s="284"/>
      <c r="F1310" s="284"/>
      <c r="G1310" s="284"/>
      <c r="H1310" s="284"/>
      <c r="I1310" s="284"/>
      <c r="J1310" s="226"/>
      <c r="K1310" s="226"/>
      <c r="L1310" s="226"/>
      <c r="M1310" s="226"/>
      <c r="N1310" s="226"/>
      <c r="P1310" s="230">
        <f t="shared" si="597"/>
        <v>0</v>
      </c>
    </row>
    <row r="1311" spans="2:43" x14ac:dyDescent="0.2">
      <c r="B1311" s="284" t="s">
        <v>484</v>
      </c>
      <c r="C1311" s="284"/>
      <c r="D1311" s="284"/>
      <c r="E1311" s="284"/>
      <c r="F1311" s="284"/>
      <c r="G1311" s="284"/>
      <c r="H1311" s="284"/>
      <c r="I1311" s="284"/>
      <c r="J1311" s="226"/>
      <c r="K1311" s="226"/>
      <c r="L1311" s="226"/>
      <c r="M1311" s="226"/>
      <c r="N1311" s="226"/>
      <c r="P1311" s="230">
        <f t="shared" si="597"/>
        <v>0</v>
      </c>
    </row>
    <row r="1312" spans="2:43" x14ac:dyDescent="0.2">
      <c r="B1312" s="264"/>
      <c r="C1312" s="264"/>
      <c r="D1312" s="264"/>
      <c r="E1312" s="264"/>
      <c r="F1312" s="264"/>
      <c r="G1312" s="264"/>
      <c r="H1312" s="264"/>
      <c r="I1312" s="265"/>
      <c r="J1312" s="226"/>
      <c r="K1312" s="226"/>
      <c r="L1312" s="226"/>
      <c r="M1312" s="226"/>
      <c r="N1312" s="226"/>
      <c r="P1312" s="230">
        <f t="shared" si="597"/>
        <v>0</v>
      </c>
    </row>
    <row r="1313" spans="1:16" x14ac:dyDescent="0.2">
      <c r="B1313" s="225" t="s">
        <v>485</v>
      </c>
      <c r="C1313" s="225"/>
      <c r="D1313" s="225"/>
      <c r="E1313" s="225"/>
      <c r="F1313" s="225"/>
      <c r="G1313" s="225"/>
      <c r="H1313" s="201"/>
      <c r="I1313" s="226"/>
      <c r="J1313" s="226" t="s">
        <v>486</v>
      </c>
      <c r="K1313" s="226"/>
      <c r="L1313" s="226"/>
      <c r="M1313" s="226"/>
      <c r="N1313" s="226"/>
      <c r="P1313" s="230">
        <f t="shared" si="597"/>
        <v>0</v>
      </c>
    </row>
    <row r="1314" spans="1:16" x14ac:dyDescent="0.2">
      <c r="B1314" s="266" t="s">
        <v>524</v>
      </c>
      <c r="C1314" s="266"/>
      <c r="D1314" s="225"/>
      <c r="E1314" s="225"/>
      <c r="F1314" s="225"/>
      <c r="G1314" s="225"/>
      <c r="H1314" s="201"/>
      <c r="I1314" s="226"/>
      <c r="J1314" s="267"/>
      <c r="K1314" s="267"/>
      <c r="L1314" s="267"/>
      <c r="M1314" s="226"/>
      <c r="N1314" s="226"/>
      <c r="P1314" s="230">
        <f t="shared" si="597"/>
        <v>0</v>
      </c>
    </row>
    <row r="1315" spans="1:16" x14ac:dyDescent="0.2">
      <c r="B1315" s="268" t="s">
        <v>487</v>
      </c>
      <c r="C1315" s="225"/>
      <c r="D1315" s="225"/>
      <c r="E1315" s="225"/>
      <c r="F1315" s="225"/>
      <c r="G1315" s="225"/>
      <c r="H1315" s="201"/>
      <c r="I1315" s="226"/>
      <c r="J1315" s="226" t="s">
        <v>487</v>
      </c>
      <c r="K1315" s="226"/>
      <c r="L1315" s="226"/>
      <c r="M1315" s="226"/>
      <c r="N1315" s="226"/>
      <c r="P1315" s="230">
        <f t="shared" si="597"/>
        <v>0</v>
      </c>
    </row>
    <row r="1316" spans="1:16" x14ac:dyDescent="0.2">
      <c r="B1316" s="225"/>
      <c r="C1316" s="225"/>
      <c r="D1316" s="225"/>
      <c r="E1316" s="225"/>
      <c r="F1316" s="225"/>
      <c r="G1316" s="225"/>
      <c r="H1316" s="201"/>
      <c r="I1316" s="226"/>
      <c r="J1316" s="226"/>
      <c r="K1316" s="226"/>
      <c r="L1316" s="226"/>
      <c r="M1316" s="226"/>
      <c r="N1316" s="226"/>
      <c r="P1316" s="230">
        <f t="shared" si="597"/>
        <v>0</v>
      </c>
    </row>
    <row r="1317" spans="1:16" x14ac:dyDescent="0.2">
      <c r="B1317" s="266"/>
      <c r="C1317" s="266"/>
      <c r="D1317" s="225"/>
      <c r="E1317" s="225"/>
      <c r="F1317" s="225"/>
      <c r="G1317" s="225"/>
      <c r="H1317" s="201"/>
      <c r="I1317" s="226"/>
      <c r="J1317" s="267"/>
      <c r="K1317" s="267"/>
      <c r="L1317" s="267"/>
      <c r="M1317" s="226"/>
      <c r="N1317" s="226"/>
      <c r="P1317" s="230">
        <f t="shared" si="597"/>
        <v>0</v>
      </c>
    </row>
    <row r="1318" spans="1:16" x14ac:dyDescent="0.2">
      <c r="B1318" s="269" t="s">
        <v>488</v>
      </c>
      <c r="C1318" s="225"/>
      <c r="D1318" s="225"/>
      <c r="E1318" s="225"/>
      <c r="F1318" s="225"/>
      <c r="G1318" s="225"/>
      <c r="H1318" s="201"/>
      <c r="I1318" s="226"/>
      <c r="J1318" s="285" t="s">
        <v>488</v>
      </c>
      <c r="K1318" s="285"/>
      <c r="L1318" s="285"/>
      <c r="M1318" s="226"/>
      <c r="N1318" s="226"/>
      <c r="P1318" s="230">
        <f t="shared" si="597"/>
        <v>0</v>
      </c>
    </row>
    <row r="1319" spans="1:16" x14ac:dyDescent="0.2">
      <c r="B1319" s="225"/>
      <c r="C1319" s="225"/>
      <c r="D1319" s="225"/>
      <c r="E1319" s="225"/>
      <c r="F1319" s="225"/>
      <c r="G1319" s="225"/>
      <c r="H1319" s="201"/>
      <c r="I1319" s="226"/>
      <c r="J1319" s="226"/>
      <c r="K1319" s="226"/>
      <c r="L1319" s="226"/>
      <c r="M1319" s="226"/>
      <c r="N1319" s="226"/>
      <c r="P1319" s="230">
        <f t="shared" si="597"/>
        <v>0</v>
      </c>
    </row>
    <row r="1320" spans="1:16" x14ac:dyDescent="0.2">
      <c r="B1320" s="264" t="s">
        <v>489</v>
      </c>
      <c r="C1320" s="225"/>
      <c r="D1320" s="225"/>
      <c r="E1320" s="225"/>
      <c r="F1320" s="225"/>
      <c r="G1320" s="225"/>
      <c r="H1320" s="201"/>
      <c r="I1320" s="226"/>
      <c r="J1320" s="226" t="s">
        <v>489</v>
      </c>
      <c r="K1320" s="226"/>
      <c r="L1320" s="226"/>
      <c r="M1320" s="226"/>
      <c r="N1320" s="226"/>
      <c r="P1320" s="230">
        <f t="shared" si="597"/>
        <v>0</v>
      </c>
    </row>
    <row r="1321" spans="1:16" x14ac:dyDescent="0.2">
      <c r="A1321" s="272"/>
      <c r="B1321" s="225"/>
      <c r="C1321" s="225"/>
      <c r="D1321" s="225"/>
      <c r="E1321" s="225"/>
      <c r="F1321" s="225"/>
      <c r="G1321" s="225"/>
      <c r="H1321" s="201"/>
      <c r="I1321" s="226"/>
      <c r="J1321" s="226"/>
      <c r="K1321" s="226"/>
      <c r="M1321" s="226"/>
      <c r="N1321" s="228"/>
    </row>
    <row r="1322" spans="1:16" x14ac:dyDescent="0.2">
      <c r="A1322" s="260"/>
      <c r="B1322" s="225"/>
      <c r="C1322" s="225"/>
      <c r="D1322" s="225"/>
      <c r="E1322" s="225"/>
      <c r="F1322" s="225"/>
      <c r="G1322" s="225"/>
      <c r="H1322" s="201"/>
      <c r="I1322" s="226"/>
      <c r="J1322" s="226"/>
      <c r="K1322" s="226"/>
      <c r="M1322" s="226"/>
      <c r="N1322" s="228" t="s">
        <v>455</v>
      </c>
      <c r="P1322" s="230">
        <f t="shared" ref="P1322:P1339" si="598">IF(A1322&gt;0,1,0)</f>
        <v>0</v>
      </c>
    </row>
    <row r="1323" spans="1:16" x14ac:dyDescent="0.2">
      <c r="B1323" s="225"/>
      <c r="C1323" s="225"/>
      <c r="D1323" s="225"/>
      <c r="E1323" s="225"/>
      <c r="F1323" s="225"/>
      <c r="G1323" s="225"/>
      <c r="H1323" s="201"/>
      <c r="I1323" s="226"/>
      <c r="J1323" s="226"/>
      <c r="K1323" s="226"/>
      <c r="M1323" s="226"/>
      <c r="N1323" s="228" t="s">
        <v>456</v>
      </c>
      <c r="P1323" s="230">
        <f t="shared" si="598"/>
        <v>0</v>
      </c>
    </row>
    <row r="1324" spans="1:16" x14ac:dyDescent="0.2">
      <c r="B1324" s="225"/>
      <c r="C1324" s="225"/>
      <c r="D1324" s="225"/>
      <c r="E1324" s="225"/>
      <c r="F1324" s="225"/>
      <c r="G1324" s="225"/>
      <c r="H1324" s="201"/>
      <c r="I1324" s="226"/>
      <c r="J1324" s="226"/>
      <c r="K1324" s="226"/>
      <c r="M1324" s="226"/>
      <c r="N1324" s="228" t="s">
        <v>457</v>
      </c>
      <c r="P1324" s="230">
        <f t="shared" si="598"/>
        <v>0</v>
      </c>
    </row>
    <row r="1325" spans="1:16" x14ac:dyDescent="0.2">
      <c r="B1325" s="225"/>
      <c r="C1325" s="225"/>
      <c r="D1325" s="225"/>
      <c r="E1325" s="225"/>
      <c r="F1325" s="225"/>
      <c r="G1325" s="225"/>
      <c r="H1325" s="201"/>
      <c r="I1325" s="226"/>
      <c r="J1325" s="226"/>
      <c r="K1325" s="226"/>
      <c r="L1325" s="226"/>
      <c r="M1325" s="226"/>
      <c r="N1325" s="226"/>
      <c r="P1325" s="230">
        <f t="shared" si="598"/>
        <v>0</v>
      </c>
    </row>
    <row r="1326" spans="1:16" x14ac:dyDescent="0.2">
      <c r="B1326" s="225"/>
      <c r="C1326" s="286" t="s">
        <v>458</v>
      </c>
      <c r="D1326" s="286"/>
      <c r="E1326" s="286"/>
      <c r="F1326" s="286"/>
      <c r="G1326" s="286"/>
      <c r="H1326" s="286"/>
      <c r="I1326" s="286"/>
      <c r="J1326" s="286"/>
      <c r="K1326" s="286"/>
      <c r="L1326" s="286"/>
      <c r="M1326" s="226"/>
      <c r="N1326" s="226"/>
      <c r="P1326" s="230">
        <f t="shared" si="598"/>
        <v>0</v>
      </c>
    </row>
    <row r="1327" spans="1:16" x14ac:dyDescent="0.2">
      <c r="B1327" s="225"/>
      <c r="C1327" s="286" t="s">
        <v>459</v>
      </c>
      <c r="D1327" s="286"/>
      <c r="E1327" s="286"/>
      <c r="F1327" s="286"/>
      <c r="G1327" s="286"/>
      <c r="H1327" s="286"/>
      <c r="I1327" s="286"/>
      <c r="J1327" s="286"/>
      <c r="K1327" s="286"/>
      <c r="L1327" s="286"/>
      <c r="M1327" s="226"/>
      <c r="N1327" s="226"/>
      <c r="P1327" s="230">
        <f t="shared" si="598"/>
        <v>0</v>
      </c>
    </row>
    <row r="1328" spans="1:16" x14ac:dyDescent="0.2">
      <c r="B1328" s="225" t="s">
        <v>460</v>
      </c>
      <c r="C1328" s="234"/>
      <c r="D1328" s="234"/>
      <c r="E1328" s="234"/>
      <c r="F1328" s="234"/>
      <c r="G1328" s="234"/>
      <c r="H1328" s="234"/>
      <c r="I1328" s="235"/>
      <c r="J1328" s="235"/>
      <c r="K1328" s="235"/>
      <c r="L1328" s="287" t="s">
        <v>461</v>
      </c>
      <c r="M1328" s="287"/>
      <c r="N1328" s="287"/>
      <c r="P1328" s="230">
        <f t="shared" si="598"/>
        <v>0</v>
      </c>
    </row>
    <row r="1329" spans="1:43" x14ac:dyDescent="0.2">
      <c r="B1329" s="225"/>
      <c r="C1329" s="234"/>
      <c r="D1329" s="234"/>
      <c r="E1329" s="234"/>
      <c r="F1329" s="234"/>
      <c r="G1329" s="234"/>
      <c r="H1329" s="234"/>
      <c r="I1329" s="235"/>
      <c r="J1329" s="235"/>
      <c r="K1329" s="235"/>
      <c r="L1329" s="235"/>
      <c r="M1329" s="235"/>
      <c r="N1329" s="235"/>
      <c r="P1329" s="230">
        <f t="shared" si="598"/>
        <v>0</v>
      </c>
    </row>
    <row r="1330" spans="1:43" x14ac:dyDescent="0.2">
      <c r="B1330" s="225" t="s">
        <v>2038</v>
      </c>
      <c r="C1330" s="234"/>
      <c r="D1330" s="234"/>
      <c r="E1330" s="234"/>
      <c r="F1330" s="234"/>
      <c r="G1330" s="234"/>
      <c r="H1330" s="234"/>
      <c r="I1330" s="235"/>
      <c r="J1330" s="235"/>
      <c r="K1330" s="235"/>
      <c r="L1330" s="235"/>
      <c r="M1330" s="235"/>
      <c r="N1330" s="235"/>
      <c r="P1330" s="230">
        <f t="shared" si="598"/>
        <v>0</v>
      </c>
    </row>
    <row r="1331" spans="1:43" x14ac:dyDescent="0.2">
      <c r="B1331" s="225" t="s">
        <v>462</v>
      </c>
      <c r="C1331" s="234"/>
      <c r="D1331" s="234"/>
      <c r="E1331" s="234"/>
      <c r="F1331" s="234"/>
      <c r="G1331" s="234"/>
      <c r="H1331" s="234"/>
      <c r="I1331" s="235"/>
      <c r="J1331" s="235"/>
      <c r="K1331" s="235"/>
      <c r="L1331" s="235"/>
      <c r="M1331" s="235"/>
      <c r="N1331" s="235"/>
      <c r="P1331" s="230">
        <f t="shared" si="598"/>
        <v>0</v>
      </c>
    </row>
    <row r="1332" spans="1:43" x14ac:dyDescent="0.2">
      <c r="B1332" s="225" t="s">
        <v>2037</v>
      </c>
      <c r="C1332" s="234"/>
      <c r="D1332" s="234"/>
      <c r="E1332" s="234"/>
      <c r="F1332" s="234"/>
      <c r="G1332" s="234"/>
      <c r="H1332" s="234"/>
      <c r="I1332" s="235"/>
      <c r="J1332" s="235"/>
      <c r="K1332" s="235"/>
      <c r="L1332" s="235"/>
      <c r="M1332" s="235"/>
      <c r="N1332" s="235"/>
      <c r="P1332" s="230">
        <f t="shared" si="598"/>
        <v>0</v>
      </c>
    </row>
    <row r="1333" spans="1:43" x14ac:dyDescent="0.2">
      <c r="B1333" s="225" t="s">
        <v>2052</v>
      </c>
      <c r="C1333" s="234"/>
      <c r="D1333" s="234"/>
      <c r="E1333" s="234"/>
      <c r="F1333" s="234"/>
      <c r="G1333" s="234"/>
      <c r="H1333" s="234"/>
      <c r="I1333" s="235"/>
      <c r="J1333" s="235"/>
      <c r="K1333" s="235"/>
      <c r="L1333" s="235"/>
      <c r="M1333" s="235"/>
      <c r="N1333" s="235"/>
      <c r="P1333" s="230">
        <f t="shared" si="598"/>
        <v>0</v>
      </c>
    </row>
    <row r="1334" spans="1:43" x14ac:dyDescent="0.2">
      <c r="B1334" s="225"/>
      <c r="C1334" s="225"/>
      <c r="D1334" s="225"/>
      <c r="E1334" s="225"/>
      <c r="F1334" s="225"/>
      <c r="G1334" s="225"/>
      <c r="H1334" s="201"/>
      <c r="I1334" s="226"/>
      <c r="J1334" s="226"/>
      <c r="K1334" s="226"/>
      <c r="L1334" s="226"/>
      <c r="M1334" s="226"/>
      <c r="N1334" s="226"/>
      <c r="P1334" s="230">
        <f t="shared" si="598"/>
        <v>0</v>
      </c>
    </row>
    <row r="1335" spans="1:43" x14ac:dyDescent="0.2">
      <c r="B1335" s="288" t="s">
        <v>106</v>
      </c>
      <c r="C1335" s="290" t="s">
        <v>463</v>
      </c>
      <c r="D1335" s="288" t="s">
        <v>464</v>
      </c>
      <c r="E1335" s="288" t="s">
        <v>465</v>
      </c>
      <c r="F1335" s="288" t="s">
        <v>490</v>
      </c>
      <c r="G1335" s="288" t="s">
        <v>466</v>
      </c>
      <c r="H1335" s="292" t="s">
        <v>8</v>
      </c>
      <c r="I1335" s="294" t="s">
        <v>467</v>
      </c>
      <c r="J1335" s="295"/>
      <c r="K1335" s="295"/>
      <c r="L1335" s="296"/>
      <c r="M1335" s="297" t="s">
        <v>468</v>
      </c>
      <c r="N1335" s="299" t="s">
        <v>469</v>
      </c>
      <c r="P1335" s="230">
        <f t="shared" si="598"/>
        <v>0</v>
      </c>
    </row>
    <row r="1336" spans="1:43" x14ac:dyDescent="0.2">
      <c r="B1336" s="289"/>
      <c r="C1336" s="291"/>
      <c r="D1336" s="289"/>
      <c r="E1336" s="289"/>
      <c r="F1336" s="289"/>
      <c r="G1336" s="289"/>
      <c r="H1336" s="293"/>
      <c r="I1336" s="236" t="s">
        <v>470</v>
      </c>
      <c r="J1336" s="236" t="s">
        <v>471</v>
      </c>
      <c r="K1336" s="236" t="s">
        <v>472</v>
      </c>
      <c r="L1336" s="236" t="s">
        <v>473</v>
      </c>
      <c r="M1336" s="298"/>
      <c r="N1336" s="300"/>
      <c r="P1336" s="230">
        <f t="shared" si="598"/>
        <v>0</v>
      </c>
    </row>
    <row r="1337" spans="1:43" x14ac:dyDescent="0.2">
      <c r="A1337" s="224" t="str">
        <f>CONCATENATE("Лот"," ",A1338)</f>
        <v>Лот 25</v>
      </c>
      <c r="B1337" s="273" t="s">
        <v>2087</v>
      </c>
      <c r="C1337" s="274"/>
      <c r="D1337" s="274"/>
      <c r="E1337" s="274"/>
      <c r="F1337" s="274"/>
      <c r="G1337" s="275"/>
      <c r="H1337" s="238" t="s">
        <v>17</v>
      </c>
      <c r="I1337" s="270">
        <f ca="1">ROUND(VLOOKUP($H1337,$AJ$4:$AN$13,2,0)*$Q1339*1.51,2)</f>
        <v>114.43</v>
      </c>
      <c r="J1337" s="270">
        <f ca="1">ROUND(VLOOKUP($H1337,$AJ$4:$AN$13,3,0)*$Q1339*1.51,2)</f>
        <v>81.540000000000006</v>
      </c>
      <c r="K1337" s="270">
        <f ca="1">ROUND(VLOOKUP($H1337,$AJ$4:$AN$13,4,0)*$Q1339*1.51,2)</f>
        <v>41.31</v>
      </c>
      <c r="L1337" s="270"/>
      <c r="M1337" s="270">
        <f ca="1">ROUND(VLOOKUP($H1337,$AJ$4:$AN$13,5,0)*$Q1339*1.51,2)</f>
        <v>6.52</v>
      </c>
      <c r="N1337" s="270"/>
      <c r="P1337" s="230">
        <f t="shared" si="598"/>
        <v>1</v>
      </c>
    </row>
    <row r="1338" spans="1:43" x14ac:dyDescent="0.2">
      <c r="A1338" s="224">
        <f>A1283+1</f>
        <v>25</v>
      </c>
      <c r="B1338" s="276"/>
      <c r="C1338" s="277"/>
      <c r="D1338" s="277"/>
      <c r="E1338" s="277"/>
      <c r="F1338" s="277"/>
      <c r="G1338" s="278"/>
      <c r="H1338" s="238" t="s">
        <v>25</v>
      </c>
      <c r="I1338" s="270">
        <f ca="1">ROUND(VLOOKUP($H1338,$AJ$4:$AN$13,2,0)*$Q1339*1.51,2)</f>
        <v>855.9</v>
      </c>
      <c r="J1338" s="270">
        <f ca="1">ROUND(VLOOKUP($H1338,$AJ$4:$AN$13,3,0)*$Q1339*1.51,2)</f>
        <v>611.54999999999995</v>
      </c>
      <c r="K1338" s="270">
        <f ca="1">ROUND(VLOOKUP($H1338,$AJ$4:$AN$13,4,0)*$Q1339*1.51,2)</f>
        <v>307.68</v>
      </c>
      <c r="L1338" s="270"/>
      <c r="M1338" s="270">
        <f ca="1">ROUND(VLOOKUP($H1338,$AJ$4:$AN$13,5,0)*$Q1339*1.51,2)</f>
        <v>26.64</v>
      </c>
      <c r="N1338" s="270"/>
      <c r="P1338" s="230">
        <f t="shared" si="598"/>
        <v>1</v>
      </c>
      <c r="Q1338" s="240" t="s">
        <v>2045</v>
      </c>
      <c r="R1338" s="240" t="s">
        <v>2046</v>
      </c>
    </row>
    <row r="1339" spans="1:43" x14ac:dyDescent="0.2">
      <c r="B1339" s="276"/>
      <c r="C1339" s="277"/>
      <c r="D1339" s="277"/>
      <c r="E1339" s="277"/>
      <c r="F1339" s="277"/>
      <c r="G1339" s="278"/>
      <c r="H1339" s="238" t="s">
        <v>19</v>
      </c>
      <c r="I1339" s="270">
        <f ca="1">ROUND(VLOOKUP($H1339,$AJ$4:$AN$13,2,0)*$Q1339*1.51,2)</f>
        <v>67.95</v>
      </c>
      <c r="J1339" s="270">
        <f ca="1">ROUND(VLOOKUP($H1339,$AJ$4:$AN$13,3,0)*$Q1339*1.51,2)</f>
        <v>49.47</v>
      </c>
      <c r="K1339" s="270">
        <f ca="1">ROUND(VLOOKUP($H1339,$AJ$4:$AN$13,4,0)*$Q1339*1.51,2)</f>
        <v>25.28</v>
      </c>
      <c r="L1339" s="270"/>
      <c r="M1339" s="270">
        <f ca="1">ROUND(VLOOKUP($H1339,$AJ$4:$AN$13,5,0)*$Q1339*1.51,2)</f>
        <v>1.36</v>
      </c>
      <c r="N1339" s="270"/>
      <c r="P1339" s="230">
        <f t="shared" si="598"/>
        <v>0</v>
      </c>
      <c r="Q1339" s="123">
        <f ca="1">IFERROR(IF(R1339="","",IF(OR(R1339&lt;100,R1339=100),0.9,IF(OR(AND(R1339&gt;100,R1339&lt;150),R1339=150),1,IF(R1339&gt;150,1.05,"")))),"0")</f>
        <v>1</v>
      </c>
      <c r="R1339" s="123">
        <f ca="1">N1355/G1343</f>
        <v>141.9</v>
      </c>
    </row>
    <row r="1340" spans="1:43" x14ac:dyDescent="0.2">
      <c r="B1340" s="276"/>
      <c r="C1340" s="277"/>
      <c r="D1340" s="277"/>
      <c r="E1340" s="277"/>
      <c r="F1340" s="277"/>
      <c r="G1340" s="278"/>
      <c r="H1340" s="238" t="s">
        <v>268</v>
      </c>
      <c r="I1340" s="270">
        <f ca="1">ROUND(VLOOKUP($H1340,$AJ$4:$AN$13,2,0)*$Q1339*1.51,2)</f>
        <v>855.9</v>
      </c>
      <c r="J1340" s="270">
        <f ca="1">ROUND(VLOOKUP($H1340,$AJ$4:$AN$13,3,0)*$Q1339*1.51,2)</f>
        <v>611.54999999999995</v>
      </c>
      <c r="K1340" s="270">
        <f ca="1">ROUND(VLOOKUP($H1340,$AJ$4:$AN$13,4,0)*$Q1339*1.51,2)</f>
        <v>307.68</v>
      </c>
      <c r="L1340" s="270"/>
      <c r="M1340" s="270">
        <f ca="1">ROUND(VLOOKUP($H1340,$AJ$4:$AN$13,5,0)*$Q1339*1.51,2)</f>
        <v>26.64</v>
      </c>
      <c r="N1340" s="270"/>
    </row>
    <row r="1341" spans="1:43" x14ac:dyDescent="0.2">
      <c r="B1341" s="276"/>
      <c r="C1341" s="277"/>
      <c r="D1341" s="277"/>
      <c r="E1341" s="277"/>
      <c r="F1341" s="277"/>
      <c r="G1341" s="278"/>
      <c r="H1341" s="238" t="s">
        <v>40</v>
      </c>
      <c r="I1341" s="270">
        <f ca="1">ROUND(VLOOKUP($H1341,$AJ$4:$AN$13,2,0)*$Q1339*1.51,2)</f>
        <v>67.95</v>
      </c>
      <c r="J1341" s="270">
        <f ca="1">ROUND(VLOOKUP($H1341,$AJ$4:$AN$13,3,0)*$Q1339*1.51,2)</f>
        <v>49.47</v>
      </c>
      <c r="K1341" s="270">
        <f ca="1">ROUND(VLOOKUP($H1341,$AJ$4:$AN$13,4,0)*$Q1339*1.51,2)</f>
        <v>25.28</v>
      </c>
      <c r="L1341" s="270"/>
      <c r="M1341" s="270">
        <f ca="1">ROUND(VLOOKUP($H1341,$AJ$4:$AN$13,5,0)*$Q1339*1.51,2)</f>
        <v>1.36</v>
      </c>
      <c r="N1341" s="270"/>
      <c r="P1341" s="230">
        <f t="shared" ref="P1341:P1354" si="599">IF(A1341&gt;0,1,0)</f>
        <v>0</v>
      </c>
    </row>
    <row r="1342" spans="1:43" x14ac:dyDescent="0.2">
      <c r="B1342" s="279"/>
      <c r="C1342" s="280"/>
      <c r="D1342" s="280"/>
      <c r="E1342" s="280"/>
      <c r="F1342" s="280"/>
      <c r="G1342" s="281"/>
      <c r="H1342" s="238" t="s">
        <v>18</v>
      </c>
      <c r="I1342" s="270">
        <f ca="1">ROUND(VLOOKUP($H1342,$AJ$4:$AN$13,2,0)*$Q1339*1.51,2)</f>
        <v>21.74</v>
      </c>
      <c r="J1342" s="270">
        <f ca="1">ROUND(VLOOKUP($H1342,$AJ$4:$AN$13,3,0)*$Q1339*1.51,2)</f>
        <v>16.579999999999998</v>
      </c>
      <c r="K1342" s="270">
        <f ca="1">ROUND(VLOOKUP($H1342,$AJ$4:$AN$13,4,0)*$Q1339*1.51,2)</f>
        <v>8.43</v>
      </c>
      <c r="L1342" s="270"/>
      <c r="M1342" s="270">
        <f ca="1">ROUND(VLOOKUP($H1342,$AJ$4:$AN$13,5,0)*$Q1339*1.51*1,2)</f>
        <v>0.54</v>
      </c>
      <c r="N1342" s="270"/>
      <c r="P1342" s="230">
        <f t="shared" si="599"/>
        <v>0</v>
      </c>
      <c r="AP1342" s="241" t="s">
        <v>2053</v>
      </c>
      <c r="AQ1342" s="242"/>
    </row>
    <row r="1343" spans="1:43" x14ac:dyDescent="0.2">
      <c r="A1343" s="224">
        <f>A1288+37</f>
        <v>888</v>
      </c>
      <c r="B1343" s="243" t="str">
        <f ca="1">OFFSET(ЛОТЫ!$L$5,A1343,0,1,1)</f>
        <v>Мамыковское</v>
      </c>
      <c r="C1343" s="244" t="s">
        <v>474</v>
      </c>
      <c r="D1343" s="243">
        <f ca="1">OFFSET(ЛОТЫ!$M$5,A1343,0,1,1)</f>
        <v>53</v>
      </c>
      <c r="E1343" s="243">
        <f ca="1">OFFSET(ЛОТЫ!$N$5,A1343,0,1,1)</f>
        <v>10</v>
      </c>
      <c r="F1343" s="243">
        <f ca="1">OFFSET(ЛОТЫ!$O$5,A1343,0,1,1)</f>
        <v>1</v>
      </c>
      <c r="G1343" s="271">
        <f ca="1">IFERROR(INDEX('Ведомость расчета мин. платы'!$G$10:$AC$214,MATCH(CONCATENATE(B1343,"/",D1343,"/",E1343,"/",F1343),'Ведомость расчета мин. платы'!$AC$10:$AC$214,0),1),"")</f>
        <v>4.0999999999999996</v>
      </c>
      <c r="H1343" s="246" t="s">
        <v>17</v>
      </c>
      <c r="I1343" s="247">
        <f ca="1">IFERROR(INDEX('Ведомость расчета мин. платы'!$J$10:$AE$214,MATCH(CONCATENATE(РАСЧЕТ!B1343,"/",РАСЧЕТ!D1343,"/",РАСЧЕТ!E1343,"/",F1343,"/",H1343),'Ведомость расчета мин. платы'!$AE$10:$AE$214,0),2),"")</f>
        <v>1.5</v>
      </c>
      <c r="J1343" s="247">
        <f ca="1">IFERROR(INDEX('Ведомость расчета мин. платы'!$J$10:$AE$214,MATCH(CONCATENATE(РАСЧЕТ!B1343,"/",РАСЧЕТ!D1343,"/",РАСЧЕТ!E1343,"/",F1343,"/",H1343),'Ведомость расчета мин. платы'!$AE$10:$AE$214,0),3),"")</f>
        <v>16.399999999999999</v>
      </c>
      <c r="K1343" s="247">
        <f ca="1">IFERROR(INDEX('Ведомость расчета мин. платы'!$J$10:$AE$214,MATCH(CONCATENATE(РАСЧЕТ!B1343,"/",РАСЧЕТ!D1343,"/",РАСЧЕТ!E1343,"/",F1343,"/",H1343),'Ведомость расчета мин. платы'!$AE$10:$AE$214,0),4),"")</f>
        <v>19.5</v>
      </c>
      <c r="L1343" s="248">
        <f t="shared" ref="L1343:L1355" ca="1" si="600">IFERROR(SUM(I1343:K1343),"")</f>
        <v>37.4</v>
      </c>
      <c r="M1343" s="214">
        <f ca="1">IFERROR(INDEX('Ведомость расчета мин. платы'!$J$10:$AE$214,MATCH(CONCATENATE(РАСЧЕТ!B1343,"/",РАСЧЕТ!D1343,"/",РАСЧЕТ!E1343,"/",F1343,"/",H1343),'Ведомость расчета мин. платы'!$AE$10:$AE$214,0),6),"")</f>
        <v>50.5</v>
      </c>
      <c r="N1343" s="214">
        <f t="shared" ref="N1343:N1355" ca="1" si="601">IFERROR(SUM(L1343:M1343),"")</f>
        <v>87.9</v>
      </c>
      <c r="O1343" s="229">
        <f>IF(H1343="стоимость","",1)</f>
        <v>1</v>
      </c>
      <c r="P1343" s="230">
        <f t="shared" si="599"/>
        <v>1</v>
      </c>
      <c r="AP1343" s="242"/>
      <c r="AQ1343" s="242"/>
    </row>
    <row r="1344" spans="1:43" x14ac:dyDescent="0.2">
      <c r="B1344" s="249"/>
      <c r="C1344" s="249"/>
      <c r="D1344" s="249"/>
      <c r="E1344" s="249"/>
      <c r="F1344" s="249"/>
      <c r="G1344" s="249"/>
      <c r="H1344" s="250" t="s">
        <v>475</v>
      </c>
      <c r="I1344" s="251">
        <f ca="1">IFERROR(ROUND(I1343*I1337,2),"")</f>
        <v>171.65</v>
      </c>
      <c r="J1344" s="251">
        <f t="shared" ref="J1344" ca="1" si="602">IFERROR(ROUND(J1343*J1337,2),"")</f>
        <v>1337.26</v>
      </c>
      <c r="K1344" s="251">
        <f t="shared" ref="K1344" ca="1" si="603">IFERROR(ROUND(K1343*K1337,2),"")</f>
        <v>805.55</v>
      </c>
      <c r="L1344" s="251">
        <f t="shared" ca="1" si="600"/>
        <v>2314.46</v>
      </c>
      <c r="M1344" s="251">
        <v>329.26999999999975</v>
      </c>
      <c r="N1344" s="252">
        <f t="shared" ca="1" si="601"/>
        <v>2643.7299999999996</v>
      </c>
      <c r="O1344" s="229" t="str">
        <f t="shared" ref="O1344:O1354" si="604">IF(H1344="стоимость","",1)</f>
        <v/>
      </c>
      <c r="P1344" s="230">
        <f t="shared" si="599"/>
        <v>0</v>
      </c>
      <c r="AP1344" s="242">
        <f ca="1">SUMIFS('Ведомость расчета мин. платы'!$S$10:$S$209,'Ведомость расчета мин. платы'!$AE$10:$AE$209,CONCATENATE(B1343,"/",D1343,"/",E1343,"/",F1343,"/",H1343))</f>
        <v>2643.73</v>
      </c>
      <c r="AQ1344" s="253">
        <f t="shared" ref="AQ1344" ca="1" si="605">AP1344-N1344</f>
        <v>0</v>
      </c>
    </row>
    <row r="1345" spans="2:43" x14ac:dyDescent="0.2">
      <c r="B1345" s="249"/>
      <c r="C1345" s="249"/>
      <c r="D1345" s="249"/>
      <c r="E1345" s="249"/>
      <c r="F1345" s="249"/>
      <c r="G1345" s="249"/>
      <c r="H1345" s="246" t="s">
        <v>25</v>
      </c>
      <c r="I1345" s="247" t="str">
        <f ca="1">IFERROR(INDEX('Ведомость расчета мин. платы'!$J$10:$AE$214,MATCH(CONCATENATE(РАСЧЕТ!B1343,"/",РАСЧЕТ!D1343,"/",РАСЧЕТ!E1343,"/",F1343,"/",H1345),'Ведомость расчета мин. платы'!$AE$10:$AE$214,0),2),"")</f>
        <v/>
      </c>
      <c r="J1345" s="247" t="str">
        <f ca="1">IFERROR(INDEX('Ведомость расчета мин. платы'!$J$10:$AE$214,MATCH(CONCATENATE(РАСЧЕТ!B1343,"/",РАСЧЕТ!D1343,"/",РАСЧЕТ!E1343,"/",F1343,"/",H1345),'Ведомость расчета мин. платы'!$AE$10:$AE$214,0),3),"")</f>
        <v/>
      </c>
      <c r="K1345" s="247" t="str">
        <f ca="1">IFERROR(INDEX('Ведомость расчета мин. платы'!$J$10:$AE$214,MATCH(CONCATENATE(РАСЧЕТ!B1343,"/",РАСЧЕТ!D1343,"/",РАСЧЕТ!E1343,"/",F1343,"/",H1345),'Ведомость расчета мин. платы'!$AE$10:$AE$214,0),4),"")</f>
        <v/>
      </c>
      <c r="L1345" s="248">
        <f t="shared" ca="1" si="600"/>
        <v>0</v>
      </c>
      <c r="M1345" s="214">
        <v>0</v>
      </c>
      <c r="N1345" s="214">
        <f t="shared" ca="1" si="601"/>
        <v>0</v>
      </c>
      <c r="O1345" s="229">
        <f t="shared" si="604"/>
        <v>1</v>
      </c>
      <c r="P1345" s="230">
        <f t="shared" si="599"/>
        <v>0</v>
      </c>
      <c r="AP1345" s="242"/>
      <c r="AQ1345" s="253"/>
    </row>
    <row r="1346" spans="2:43" x14ac:dyDescent="0.2">
      <c r="B1346" s="249"/>
      <c r="C1346" s="249"/>
      <c r="D1346" s="249"/>
      <c r="E1346" s="249"/>
      <c r="F1346" s="249"/>
      <c r="G1346" s="249"/>
      <c r="H1346" s="250" t="s">
        <v>475</v>
      </c>
      <c r="I1346" s="251" t="str">
        <f ca="1">IFERROR(ROUND(I1345*I1338,2),"")</f>
        <v/>
      </c>
      <c r="J1346" s="251" t="str">
        <f t="shared" ref="J1346" ca="1" si="606">IFERROR(ROUND(J1345*J1338,2),"")</f>
        <v/>
      </c>
      <c r="K1346" s="251" t="str">
        <f t="shared" ref="K1346" ca="1" si="607">IFERROR(ROUND(K1345*K1338,2),"")</f>
        <v/>
      </c>
      <c r="L1346" s="251">
        <f t="shared" ca="1" si="600"/>
        <v>0</v>
      </c>
      <c r="M1346" s="251">
        <v>0</v>
      </c>
      <c r="N1346" s="252">
        <f t="shared" ca="1" si="601"/>
        <v>0</v>
      </c>
      <c r="O1346" s="229" t="str">
        <f t="shared" si="604"/>
        <v/>
      </c>
      <c r="P1346" s="230">
        <f t="shared" si="599"/>
        <v>0</v>
      </c>
      <c r="AP1346" s="242">
        <f ca="1">SUMIFS('Ведомость расчета мин. платы'!$S$10:$S$209,'Ведомость расчета мин. платы'!$AE$10:$AE$209,CONCATENATE(B1343,"/",D1343,"/",E1343,"/",F1343,"/",H1345))</f>
        <v>0</v>
      </c>
      <c r="AQ1346" s="253">
        <f t="shared" ref="AQ1346" ca="1" si="608">AP1346-N1346</f>
        <v>0</v>
      </c>
    </row>
    <row r="1347" spans="2:43" x14ac:dyDescent="0.2">
      <c r="B1347" s="249"/>
      <c r="C1347" s="249"/>
      <c r="D1347" s="249"/>
      <c r="E1347" s="249"/>
      <c r="F1347" s="249"/>
      <c r="G1347" s="249"/>
      <c r="H1347" s="205" t="s">
        <v>19</v>
      </c>
      <c r="I1347" s="248">
        <f ca="1">IFERROR(INDEX('Ведомость расчета мин. платы'!$J$10:$AE$214,MATCH(CONCATENATE(РАСЧЕТ!B1343,"/",РАСЧЕТ!D1343,"/",РАСЧЕТ!E1343,"/",F1343,"/",H1347),'Ведомость расчета мин. платы'!$AE$10:$AE$214,0),2),"")</f>
        <v>0</v>
      </c>
      <c r="J1347" s="248">
        <f ca="1">IFERROR(INDEX('Ведомость расчета мин. платы'!$J$10:$AE$214,MATCH(CONCATENATE(РАСЧЕТ!B1343,"/",РАСЧЕТ!D1343,"/",РАСЧЕТ!E1343,"/",F1343,"/",H1347),'Ведомость расчета мин. платы'!$AE$10:$AE$214,0),3),"")</f>
        <v>14.06</v>
      </c>
      <c r="K1347" s="248">
        <f ca="1">IFERROR(INDEX('Ведомость расчета мин. платы'!$J$10:$AE$214,MATCH(CONCATENATE(РАСЧЕТ!B1343,"/",РАСЧЕТ!D1343,"/",РАСЧЕТ!E1343,"/",F1343,"/",H1347),'Ведомость расчета мин. платы'!$AE$10:$AE$214,0),4),"")</f>
        <v>10.28</v>
      </c>
      <c r="L1347" s="248">
        <f t="shared" ca="1" si="600"/>
        <v>24.34</v>
      </c>
      <c r="M1347" s="248">
        <v>46.85</v>
      </c>
      <c r="N1347" s="214">
        <f t="shared" ca="1" si="601"/>
        <v>71.19</v>
      </c>
      <c r="O1347" s="229">
        <f t="shared" si="604"/>
        <v>1</v>
      </c>
      <c r="P1347" s="230">
        <f t="shared" si="599"/>
        <v>0</v>
      </c>
      <c r="AP1347" s="242"/>
      <c r="AQ1347" s="253"/>
    </row>
    <row r="1348" spans="2:43" x14ac:dyDescent="0.2">
      <c r="B1348" s="249"/>
      <c r="C1348" s="249"/>
      <c r="D1348" s="249"/>
      <c r="E1348" s="249"/>
      <c r="F1348" s="249"/>
      <c r="G1348" s="249"/>
      <c r="H1348" s="250" t="s">
        <v>475</v>
      </c>
      <c r="I1348" s="251">
        <f ca="1">IFERROR(ROUND(I1347*I1339,2),"")</f>
        <v>0</v>
      </c>
      <c r="J1348" s="251">
        <f t="shared" ref="J1348" ca="1" si="609">IFERROR(ROUND(J1347*J1339,2),"")</f>
        <v>695.55</v>
      </c>
      <c r="K1348" s="251">
        <f t="shared" ref="K1348" ca="1" si="610">IFERROR(ROUND(K1347*K1339,2),"")</f>
        <v>259.88</v>
      </c>
      <c r="L1348" s="251">
        <f t="shared" ca="1" si="600"/>
        <v>955.43</v>
      </c>
      <c r="M1348" s="251">
        <v>63.710000000000008</v>
      </c>
      <c r="N1348" s="252">
        <f t="shared" ca="1" si="601"/>
        <v>1019.14</v>
      </c>
      <c r="O1348" s="229" t="str">
        <f t="shared" si="604"/>
        <v/>
      </c>
      <c r="P1348" s="230">
        <f t="shared" si="599"/>
        <v>0</v>
      </c>
      <c r="AP1348" s="242">
        <f ca="1">SUMIFS('Ведомость расчета мин. платы'!$S$10:$S$209,'Ведомость расчета мин. платы'!$AE$10:$AE$209,CONCATENATE(B1343,"/",D1343,"/",E1343,"/",F1343,"/",H1347))</f>
        <v>1019.14</v>
      </c>
      <c r="AQ1348" s="253">
        <f t="shared" ref="AQ1348" ca="1" si="611">AP1348-N1348</f>
        <v>0</v>
      </c>
    </row>
    <row r="1349" spans="2:43" x14ac:dyDescent="0.2">
      <c r="B1349" s="249"/>
      <c r="C1349" s="249"/>
      <c r="D1349" s="249"/>
      <c r="E1349" s="249"/>
      <c r="F1349" s="249"/>
      <c r="G1349" s="249"/>
      <c r="H1349" s="205" t="s">
        <v>268</v>
      </c>
      <c r="I1349" s="248" t="str">
        <f ca="1">IFERROR(INDEX('Ведомость расчета мин. платы'!$J$10:$AE$214,MATCH(CONCATENATE(РАСЧЕТ!B1343,"/",РАСЧЕТ!D1343,"/",РАСЧЕТ!E1343,"/",F1343,"/",H1349),'Ведомость расчета мин. платы'!$AE$10:$AE$214,0),2),"")</f>
        <v/>
      </c>
      <c r="J1349" s="248" t="str">
        <f ca="1">IFERROR(INDEX('Ведомость расчета мин. платы'!$J$10:$AE$214,MATCH(CONCATENATE(РАСЧЕТ!B1343,"/",РАСЧЕТ!D1343,"/",РАСЧЕТ!E1343,"/",F1343,"/",H1349),'Ведомость расчета мин. платы'!$AE$10:$AE$214,0),3),"")</f>
        <v/>
      </c>
      <c r="K1349" s="248" t="str">
        <f ca="1">IFERROR(INDEX('Ведомость расчета мин. платы'!$J$10:$AE$214,MATCH(CONCATENATE(РАСЧЕТ!B1343,"/",РАСЧЕТ!D1343,"/",РАСЧЕТ!E1343,"/",F1343,"/",H1349),'Ведомость расчета мин. платы'!$AE$10:$AE$214,0),4),"")</f>
        <v/>
      </c>
      <c r="L1349" s="248">
        <f t="shared" ca="1" si="600"/>
        <v>0</v>
      </c>
      <c r="M1349" s="248" t="str">
        <f ca="1">IFERROR(INDEX('Ведомость расчета мин. платы'!$J$10:$AE$214,MATCH(CONCATENATE(РАСЧЕТ!B1343,"/",РАСЧЕТ!D1343,"/",РАСЧЕТ!E1343,"/",F1343,"/",H1349),'Ведомость расчета мин. платы'!$AE$10:$AE$214,0),6),"")</f>
        <v/>
      </c>
      <c r="N1349" s="214">
        <f t="shared" ca="1" si="601"/>
        <v>0</v>
      </c>
      <c r="O1349" s="229">
        <f t="shared" si="604"/>
        <v>1</v>
      </c>
      <c r="P1349" s="230">
        <f t="shared" si="599"/>
        <v>0</v>
      </c>
      <c r="AP1349" s="242"/>
      <c r="AQ1349" s="253"/>
    </row>
    <row r="1350" spans="2:43" x14ac:dyDescent="0.2">
      <c r="B1350" s="249"/>
      <c r="C1350" s="249"/>
      <c r="D1350" s="249"/>
      <c r="E1350" s="249"/>
      <c r="F1350" s="249"/>
      <c r="G1350" s="249"/>
      <c r="H1350" s="250" t="s">
        <v>475</v>
      </c>
      <c r="I1350" s="251" t="str">
        <f ca="1">IFERROR(ROUND(I1349*I1342,2),"")</f>
        <v/>
      </c>
      <c r="J1350" s="251" t="str">
        <f ca="1">IFERROR(ROUND(J1349*J1340,2),"")</f>
        <v/>
      </c>
      <c r="K1350" s="251" t="str">
        <f ca="1">IFERROR(ROUND(K1349*K1340,2),"")</f>
        <v/>
      </c>
      <c r="L1350" s="251">
        <f t="shared" ca="1" si="600"/>
        <v>0</v>
      </c>
      <c r="M1350" s="251" t="str">
        <f ca="1">IFERROR(ROUND(M1349*M1340,2),"")</f>
        <v/>
      </c>
      <c r="N1350" s="252">
        <f t="shared" ca="1" si="601"/>
        <v>0</v>
      </c>
      <c r="O1350" s="229" t="str">
        <f t="shared" si="604"/>
        <v/>
      </c>
      <c r="P1350" s="230">
        <f t="shared" si="599"/>
        <v>0</v>
      </c>
      <c r="AP1350" s="242">
        <f ca="1">SUMIFS('Ведомость расчета мин. платы'!$S$10:$S$209,'Ведомость расчета мин. платы'!$AE$10:$AE$209,CONCATENATE(B1343,"/",D1343,"/",E1343,"/",F1343,"/",H1349))</f>
        <v>0</v>
      </c>
      <c r="AQ1350" s="253">
        <f t="shared" ref="AQ1350" ca="1" si="612">AP1350-N1350</f>
        <v>0</v>
      </c>
    </row>
    <row r="1351" spans="2:43" x14ac:dyDescent="0.2">
      <c r="B1351" s="249"/>
      <c r="C1351" s="249"/>
      <c r="D1351" s="249"/>
      <c r="E1351" s="249"/>
      <c r="F1351" s="249"/>
      <c r="G1351" s="249"/>
      <c r="H1351" s="205" t="s">
        <v>40</v>
      </c>
      <c r="I1351" s="248" t="str">
        <f ca="1">IFERROR(INDEX('Ведомость расчета мин. платы'!$J$10:$AE$214,MATCH(CONCATENATE(РАСЧЕТ!B1343,"/",РАСЧЕТ!D1343,"/",РАСЧЕТ!E1343,"/",F1343,"/",H1351),'Ведомость расчета мин. платы'!$AE$10:$AE$214,0),2),"")</f>
        <v/>
      </c>
      <c r="J1351" s="248" t="str">
        <f ca="1">IFERROR(INDEX('Ведомость расчета мин. платы'!$J$10:$AE$214,MATCH(CONCATENATE(РАСЧЕТ!B1343,"/",РАСЧЕТ!D1343,"/",РАСЧЕТ!E1343,"/",F1343,"/",H1351),'Ведомость расчета мин. платы'!$AE$10:$AE$214,0),3),"")</f>
        <v/>
      </c>
      <c r="K1351" s="248" t="str">
        <f ca="1">IFERROR(INDEX('Ведомость расчета мин. платы'!$J$10:$AE$214,MATCH(CONCATENATE(РАСЧЕТ!B1343,"/",РАСЧЕТ!D1343,"/",РАСЧЕТ!E1343,"/",F1343,"/",H1351),'Ведомость расчета мин. платы'!$AE$10:$AE$214,0),4),"")</f>
        <v/>
      </c>
      <c r="L1351" s="248">
        <f t="shared" ca="1" si="600"/>
        <v>0</v>
      </c>
      <c r="M1351" s="248" t="str">
        <f ca="1">IFERROR(INDEX('Ведомость расчета мин. платы'!$J$10:$AE$214,MATCH(CONCATENATE(РАСЧЕТ!B1343,"/",РАСЧЕТ!D1343,"/",РАСЧЕТ!E1343,"/",F1343,"/",H1351),'Ведомость расчета мин. платы'!$AE$10:$AE$214,0),6),"")</f>
        <v/>
      </c>
      <c r="N1351" s="214">
        <f t="shared" ca="1" si="601"/>
        <v>0</v>
      </c>
      <c r="O1351" s="229">
        <f t="shared" si="604"/>
        <v>1</v>
      </c>
      <c r="P1351" s="230">
        <f t="shared" si="599"/>
        <v>0</v>
      </c>
      <c r="AP1351" s="242"/>
      <c r="AQ1351" s="253"/>
    </row>
    <row r="1352" spans="2:43" x14ac:dyDescent="0.2">
      <c r="B1352" s="249"/>
      <c r="C1352" s="249"/>
      <c r="D1352" s="249"/>
      <c r="E1352" s="249"/>
      <c r="F1352" s="249"/>
      <c r="G1352" s="249"/>
      <c r="H1352" s="250" t="s">
        <v>475</v>
      </c>
      <c r="I1352" s="251" t="str">
        <f ca="1">IFERROR(ROUND(I1351*I1341,2),"")</f>
        <v/>
      </c>
      <c r="J1352" s="251" t="str">
        <f t="shared" ref="J1352" ca="1" si="613">IFERROR(ROUND(J1351*J1341,2),"")</f>
        <v/>
      </c>
      <c r="K1352" s="251" t="str">
        <f t="shared" ref="K1352" ca="1" si="614">IFERROR(ROUND(K1351*K1341,2),"")</f>
        <v/>
      </c>
      <c r="L1352" s="251">
        <f t="shared" ca="1" si="600"/>
        <v>0</v>
      </c>
      <c r="M1352" s="251" t="str">
        <f t="shared" ref="M1352" ca="1" si="615">IFERROR(ROUND(M1351*M1341,2),"")</f>
        <v/>
      </c>
      <c r="N1352" s="252">
        <f t="shared" ca="1" si="601"/>
        <v>0</v>
      </c>
      <c r="O1352" s="229" t="str">
        <f t="shared" si="604"/>
        <v/>
      </c>
      <c r="P1352" s="230">
        <f t="shared" si="599"/>
        <v>0</v>
      </c>
      <c r="AP1352" s="242">
        <f ca="1">SUMIFS('Ведомость расчета мин. платы'!$S$10:$S$209,'Ведомость расчета мин. платы'!$AE$10:$AE$209,CONCATENATE(B1343,"/",D1343,"/",E1343,"/",F1343,"/",H1351))</f>
        <v>0</v>
      </c>
      <c r="AQ1352" s="253">
        <f t="shared" ref="AQ1352" ca="1" si="616">AP1352-N1352</f>
        <v>0</v>
      </c>
    </row>
    <row r="1353" spans="2:43" x14ac:dyDescent="0.2">
      <c r="B1353" s="249"/>
      <c r="C1353" s="249"/>
      <c r="D1353" s="249"/>
      <c r="E1353" s="249"/>
      <c r="F1353" s="249"/>
      <c r="G1353" s="249"/>
      <c r="H1353" s="205" t="s">
        <v>18</v>
      </c>
      <c r="I1353" s="248">
        <f ca="1">IFERROR(INDEX('Ведомость расчета мин. платы'!$J$10:$AE$214,MATCH(CONCATENATE(РАСЧЕТ!B1343,"/",РАСЧЕТ!D1343,"/",РАСЧЕТ!E1343,"/",F1343,"/",H1353),'Ведомость расчета мин. платы'!$AE$10:$AE$214,0),2),"")</f>
        <v>97.2</v>
      </c>
      <c r="J1353" s="248">
        <f ca="1">IFERROR(INDEX('Ведомость расчета мин. платы'!$J$10:$AE$214,MATCH(CONCATENATE(РАСЧЕТ!B1343,"/",РАСЧЕТ!D1343,"/",РАСЧЕТ!E1343,"/",F1343,"/",H1353),'Ведомость расчета мин. платы'!$AE$10:$AE$214,0),3),"")</f>
        <v>92.8</v>
      </c>
      <c r="K1353" s="248">
        <f ca="1">IFERROR(INDEX('Ведомость расчета мин. платы'!$J$10:$AE$214,MATCH(CONCATENATE(РАСЧЕТ!B1343,"/",РАСЧЕТ!D1343,"/",РАСЧЕТ!E1343,"/",F1343,"/",H1353),'Ведомость расчета мин. платы'!$AE$10:$AE$214,0),4),"")</f>
        <v>15</v>
      </c>
      <c r="L1353" s="248">
        <f t="shared" ca="1" si="600"/>
        <v>205</v>
      </c>
      <c r="M1353" s="248">
        <f ca="1">IFERROR(INDEX('Ведомость расчета мин. платы'!$J$10:$AE$214,MATCH(CONCATENATE(РАСЧЕТ!B1343,"/",РАСЧЕТ!D1343,"/",РАСЧЕТ!E1343,"/",F1343,"/",H1353),'Ведомость расчета мин. платы'!$AE$10:$AE$214,0),6),"")</f>
        <v>217.7</v>
      </c>
      <c r="N1353" s="214">
        <f t="shared" ca="1" si="601"/>
        <v>422.7</v>
      </c>
      <c r="O1353" s="229">
        <f t="shared" si="604"/>
        <v>1</v>
      </c>
      <c r="P1353" s="230">
        <f t="shared" si="599"/>
        <v>0</v>
      </c>
      <c r="AP1353" s="242"/>
      <c r="AQ1353" s="253"/>
    </row>
    <row r="1354" spans="2:43" x14ac:dyDescent="0.2">
      <c r="B1354" s="249"/>
      <c r="C1354" s="249"/>
      <c r="D1354" s="249"/>
      <c r="E1354" s="249"/>
      <c r="F1354" s="249"/>
      <c r="G1354" s="249"/>
      <c r="H1354" s="250" t="s">
        <v>475</v>
      </c>
      <c r="I1354" s="251">
        <f ca="1">IFERROR(ROUND(I1353*I1342,2),"")</f>
        <v>2113.13</v>
      </c>
      <c r="J1354" s="251">
        <f t="shared" ref="J1354" ca="1" si="617">IFERROR(ROUND(J1353*J1342,2),"")</f>
        <v>1538.62</v>
      </c>
      <c r="K1354" s="251">
        <f t="shared" ref="K1354" ca="1" si="618">IFERROR(ROUND(K1353*K1342,2),"")</f>
        <v>126.45</v>
      </c>
      <c r="L1354" s="251">
        <f t="shared" ca="1" si="600"/>
        <v>3778.2</v>
      </c>
      <c r="M1354" s="251">
        <f t="shared" ref="M1354" ca="1" si="619">IFERROR(ROUND(M1353*M1342,2),"")</f>
        <v>117.56</v>
      </c>
      <c r="N1354" s="252">
        <f t="shared" ca="1" si="601"/>
        <v>3895.7599999999998</v>
      </c>
      <c r="O1354" s="229" t="str">
        <f t="shared" si="604"/>
        <v/>
      </c>
      <c r="P1354" s="230">
        <f t="shared" si="599"/>
        <v>0</v>
      </c>
      <c r="AP1354" s="242">
        <f ca="1">SUMIFS('Ведомость расчета мин. платы'!$S$10:$S$209,'Ведомость расчета мин. платы'!$AE$10:$AE$209,CONCATENATE(B1343,"/",D1343,"/",E1343,"/",F1343,"/",H1353))</f>
        <v>3895.76</v>
      </c>
      <c r="AQ1354" s="253">
        <f t="shared" ref="AQ1354" ca="1" si="620">AP1354-N1354</f>
        <v>0</v>
      </c>
    </row>
    <row r="1355" spans="2:43" x14ac:dyDescent="0.2">
      <c r="B1355" s="249"/>
      <c r="C1355" s="249"/>
      <c r="D1355" s="249"/>
      <c r="E1355" s="249"/>
      <c r="F1355" s="249"/>
      <c r="G1355" s="249"/>
      <c r="H1355" s="254" t="s">
        <v>476</v>
      </c>
      <c r="I1355" s="251">
        <f ca="1">SUMIF($O1343:$O1356,1,I1343:I1354)</f>
        <v>98.7</v>
      </c>
      <c r="J1355" s="251">
        <f ca="1">SUMIF($O1343:$O1356,1,J1343:J1354)</f>
        <v>123.25999999999999</v>
      </c>
      <c r="K1355" s="251">
        <f ca="1">SUMIF($O1343:$O1356,1,K1343:K1354)</f>
        <v>44.78</v>
      </c>
      <c r="L1355" s="251">
        <f t="shared" ca="1" si="600"/>
        <v>266.74</v>
      </c>
      <c r="M1355" s="251">
        <f ca="1">SUMIF($O1343:$O1356,1,M1343:M1354)</f>
        <v>315.04999999999995</v>
      </c>
      <c r="N1355" s="252">
        <f t="shared" ca="1" si="601"/>
        <v>581.79</v>
      </c>
      <c r="AP1355" s="242"/>
      <c r="AQ1355" s="253"/>
    </row>
    <row r="1356" spans="2:43" x14ac:dyDescent="0.2">
      <c r="B1356" s="249"/>
      <c r="C1356" s="249"/>
      <c r="D1356" s="249"/>
      <c r="E1356" s="249"/>
      <c r="F1356" s="249"/>
      <c r="G1356" s="249"/>
      <c r="H1356" s="254" t="s">
        <v>491</v>
      </c>
      <c r="I1356" s="251">
        <f ca="1">SUMIF(H1343:H1354,"стоимость",I1343:I1354)</f>
        <v>2284.7800000000002</v>
      </c>
      <c r="J1356" s="251">
        <f ca="1">SUMIF(H1343:H1354,"стоимость",J1343:J1354)</f>
        <v>3571.43</v>
      </c>
      <c r="K1356" s="251">
        <f ca="1">SUMIF(H1343:H1354,"стоимость",K1343:K1354)</f>
        <v>1191.8799999999999</v>
      </c>
      <c r="L1356" s="251">
        <f ca="1">IFERROR(SUM(I1356:K1356),"")</f>
        <v>7048.09</v>
      </c>
      <c r="M1356" s="251">
        <f ca="1">SUMIF(H1343:H1354,"стоимость",M1343:M1354)</f>
        <v>510.53999999999979</v>
      </c>
      <c r="N1356" s="252">
        <f ca="1">IFERROR(SUM(L1356:M1356),"")</f>
        <v>7558.63</v>
      </c>
      <c r="AP1356" s="242">
        <f ca="1">SUMIFS('Ведомость расчета мин. платы'!$S$10:$S$209,'Ведомость расчета мин. платы'!$J$10:$J$209,"Итого",'Ведомость расчета мин. платы'!$AC$10:$AC$209,CONCATENATE(B1343,"/",D1343,"/",E1343,"/",F1343))</f>
        <v>7558.63</v>
      </c>
      <c r="AQ1356" s="253">
        <f ca="1">AP1356-N1356</f>
        <v>0</v>
      </c>
    </row>
    <row r="1357" spans="2:43" x14ac:dyDescent="0.2">
      <c r="B1357" s="255"/>
      <c r="C1357" s="255"/>
      <c r="D1357" s="255"/>
      <c r="E1357" s="255"/>
      <c r="F1357" s="255"/>
      <c r="G1357" s="256"/>
      <c r="H1357" s="257"/>
      <c r="I1357" s="258"/>
      <c r="J1357" s="258"/>
      <c r="K1357" s="258"/>
      <c r="L1357" s="258"/>
      <c r="M1357" s="258"/>
      <c r="N1357" s="258"/>
      <c r="P1357" s="230">
        <f t="shared" ref="P1357:P1375" si="621">IF(A1357&gt;0,1,0)</f>
        <v>0</v>
      </c>
    </row>
    <row r="1358" spans="2:43" x14ac:dyDescent="0.2">
      <c r="B1358" s="282" t="s">
        <v>477</v>
      </c>
      <c r="C1358" s="282"/>
      <c r="D1358" s="282"/>
      <c r="E1358" s="282"/>
      <c r="F1358" s="259"/>
      <c r="G1358" s="225"/>
      <c r="H1358" s="201"/>
      <c r="I1358" s="226"/>
      <c r="J1358" s="258"/>
      <c r="K1358" s="258"/>
      <c r="L1358" s="258"/>
      <c r="M1358" s="258"/>
      <c r="N1358" s="258"/>
      <c r="P1358" s="230">
        <f t="shared" si="621"/>
        <v>0</v>
      </c>
    </row>
    <row r="1359" spans="2:43" x14ac:dyDescent="0.2">
      <c r="B1359" s="283" t="s">
        <v>525</v>
      </c>
      <c r="C1359" s="283"/>
      <c r="D1359" s="283"/>
      <c r="E1359" s="283"/>
      <c r="F1359" s="283"/>
      <c r="G1359" s="283"/>
      <c r="H1359" s="283"/>
      <c r="I1359" s="283"/>
      <c r="J1359" s="261"/>
      <c r="K1359" s="261"/>
      <c r="L1359" s="261"/>
      <c r="M1359" s="261"/>
      <c r="N1359" s="261"/>
      <c r="P1359" s="230">
        <f t="shared" si="621"/>
        <v>0</v>
      </c>
    </row>
    <row r="1360" spans="2:43" x14ac:dyDescent="0.2">
      <c r="B1360" s="284" t="s">
        <v>478</v>
      </c>
      <c r="C1360" s="284"/>
      <c r="D1360" s="284"/>
      <c r="E1360" s="284"/>
      <c r="F1360" s="284"/>
      <c r="G1360" s="284"/>
      <c r="H1360" s="284"/>
      <c r="I1360" s="284"/>
      <c r="J1360" s="258"/>
      <c r="K1360" s="258"/>
      <c r="L1360" s="258"/>
      <c r="M1360" s="258"/>
      <c r="N1360" s="258"/>
      <c r="P1360" s="230">
        <f t="shared" si="621"/>
        <v>0</v>
      </c>
    </row>
    <row r="1361" spans="1:16" x14ac:dyDescent="0.2">
      <c r="B1361" s="284" t="s">
        <v>479</v>
      </c>
      <c r="C1361" s="284"/>
      <c r="D1361" s="284"/>
      <c r="E1361" s="284"/>
      <c r="F1361" s="284"/>
      <c r="G1361" s="284"/>
      <c r="H1361" s="284"/>
      <c r="I1361" s="284"/>
      <c r="J1361" s="258"/>
      <c r="K1361" s="258"/>
      <c r="L1361" s="258"/>
      <c r="M1361" s="258"/>
      <c r="N1361" s="258"/>
      <c r="P1361" s="230">
        <f t="shared" si="621"/>
        <v>0</v>
      </c>
    </row>
    <row r="1362" spans="1:16" x14ac:dyDescent="0.2">
      <c r="B1362" s="284" t="s">
        <v>480</v>
      </c>
      <c r="C1362" s="284"/>
      <c r="D1362" s="284"/>
      <c r="E1362" s="284"/>
      <c r="F1362" s="284"/>
      <c r="G1362" s="284"/>
      <c r="H1362" s="284"/>
      <c r="I1362" s="284"/>
      <c r="J1362" s="258"/>
      <c r="K1362" s="258"/>
      <c r="L1362" s="258"/>
      <c r="M1362" s="258"/>
      <c r="N1362" s="258"/>
      <c r="P1362" s="230">
        <f t="shared" si="621"/>
        <v>0</v>
      </c>
    </row>
    <row r="1363" spans="1:16" x14ac:dyDescent="0.2">
      <c r="B1363" s="284" t="s">
        <v>481</v>
      </c>
      <c r="C1363" s="284"/>
      <c r="D1363" s="284"/>
      <c r="E1363" s="284"/>
      <c r="F1363" s="284"/>
      <c r="G1363" s="284"/>
      <c r="H1363" s="284"/>
      <c r="I1363" s="284"/>
      <c r="J1363" s="226"/>
      <c r="K1363" s="226"/>
      <c r="L1363" s="226"/>
      <c r="M1363" s="226"/>
      <c r="N1363" s="226"/>
      <c r="P1363" s="230">
        <f t="shared" si="621"/>
        <v>0</v>
      </c>
    </row>
    <row r="1364" spans="1:16" x14ac:dyDescent="0.2">
      <c r="B1364" s="284" t="s">
        <v>482</v>
      </c>
      <c r="C1364" s="284"/>
      <c r="D1364" s="284"/>
      <c r="E1364" s="284"/>
      <c r="F1364" s="284"/>
      <c r="G1364" s="284"/>
      <c r="H1364" s="284"/>
      <c r="I1364" s="284"/>
      <c r="J1364" s="226"/>
      <c r="K1364" s="226"/>
      <c r="L1364" s="226"/>
      <c r="M1364" s="226"/>
      <c r="N1364" s="226"/>
      <c r="P1364" s="230">
        <f t="shared" si="621"/>
        <v>0</v>
      </c>
    </row>
    <row r="1365" spans="1:16" x14ac:dyDescent="0.2">
      <c r="B1365" s="284" t="s">
        <v>483</v>
      </c>
      <c r="C1365" s="284"/>
      <c r="D1365" s="284"/>
      <c r="E1365" s="284"/>
      <c r="F1365" s="284"/>
      <c r="G1365" s="284"/>
      <c r="H1365" s="284"/>
      <c r="I1365" s="284"/>
      <c r="J1365" s="226"/>
      <c r="K1365" s="226"/>
      <c r="L1365" s="226"/>
      <c r="M1365" s="226"/>
      <c r="N1365" s="226"/>
      <c r="P1365" s="230">
        <f t="shared" si="621"/>
        <v>0</v>
      </c>
    </row>
    <row r="1366" spans="1:16" x14ac:dyDescent="0.2">
      <c r="B1366" s="284" t="s">
        <v>484</v>
      </c>
      <c r="C1366" s="284"/>
      <c r="D1366" s="284"/>
      <c r="E1366" s="284"/>
      <c r="F1366" s="284"/>
      <c r="G1366" s="284"/>
      <c r="H1366" s="284"/>
      <c r="I1366" s="284"/>
      <c r="J1366" s="226"/>
      <c r="K1366" s="226"/>
      <c r="L1366" s="226"/>
      <c r="M1366" s="226"/>
      <c r="N1366" s="226"/>
      <c r="P1366" s="230">
        <f t="shared" si="621"/>
        <v>0</v>
      </c>
    </row>
    <row r="1367" spans="1:16" x14ac:dyDescent="0.2">
      <c r="B1367" s="264"/>
      <c r="C1367" s="264"/>
      <c r="D1367" s="264"/>
      <c r="E1367" s="264"/>
      <c r="F1367" s="264"/>
      <c r="G1367" s="264"/>
      <c r="H1367" s="264"/>
      <c r="I1367" s="265"/>
      <c r="J1367" s="226"/>
      <c r="K1367" s="226"/>
      <c r="L1367" s="226"/>
      <c r="M1367" s="226"/>
      <c r="N1367" s="226"/>
      <c r="P1367" s="230">
        <f t="shared" si="621"/>
        <v>0</v>
      </c>
    </row>
    <row r="1368" spans="1:16" x14ac:dyDescent="0.2">
      <c r="B1368" s="225" t="s">
        <v>485</v>
      </c>
      <c r="C1368" s="225"/>
      <c r="D1368" s="225"/>
      <c r="E1368" s="225"/>
      <c r="F1368" s="225"/>
      <c r="G1368" s="225"/>
      <c r="H1368" s="201"/>
      <c r="I1368" s="226"/>
      <c r="J1368" s="226" t="s">
        <v>486</v>
      </c>
      <c r="K1368" s="226"/>
      <c r="L1368" s="226"/>
      <c r="M1368" s="226"/>
      <c r="N1368" s="226"/>
      <c r="P1368" s="230">
        <f t="shared" si="621"/>
        <v>0</v>
      </c>
    </row>
    <row r="1369" spans="1:16" x14ac:dyDescent="0.2">
      <c r="B1369" s="266" t="s">
        <v>524</v>
      </c>
      <c r="C1369" s="266"/>
      <c r="D1369" s="225"/>
      <c r="E1369" s="225"/>
      <c r="F1369" s="225"/>
      <c r="G1369" s="225"/>
      <c r="H1369" s="201"/>
      <c r="I1369" s="226"/>
      <c r="J1369" s="267"/>
      <c r="K1369" s="267"/>
      <c r="L1369" s="267"/>
      <c r="M1369" s="226"/>
      <c r="N1369" s="226"/>
      <c r="P1369" s="230">
        <f t="shared" si="621"/>
        <v>0</v>
      </c>
    </row>
    <row r="1370" spans="1:16" x14ac:dyDescent="0.2">
      <c r="B1370" s="268" t="s">
        <v>487</v>
      </c>
      <c r="C1370" s="225"/>
      <c r="D1370" s="225"/>
      <c r="E1370" s="225"/>
      <c r="F1370" s="225"/>
      <c r="G1370" s="225"/>
      <c r="H1370" s="201"/>
      <c r="I1370" s="226"/>
      <c r="J1370" s="226" t="s">
        <v>487</v>
      </c>
      <c r="K1370" s="226"/>
      <c r="L1370" s="226"/>
      <c r="M1370" s="226"/>
      <c r="N1370" s="226"/>
      <c r="P1370" s="230">
        <f t="shared" si="621"/>
        <v>0</v>
      </c>
    </row>
    <row r="1371" spans="1:16" x14ac:dyDescent="0.2">
      <c r="B1371" s="225"/>
      <c r="C1371" s="225"/>
      <c r="D1371" s="225"/>
      <c r="E1371" s="225"/>
      <c r="F1371" s="225"/>
      <c r="G1371" s="225"/>
      <c r="H1371" s="201"/>
      <c r="I1371" s="226"/>
      <c r="J1371" s="226"/>
      <c r="K1371" s="226"/>
      <c r="L1371" s="226"/>
      <c r="M1371" s="226"/>
      <c r="N1371" s="226"/>
      <c r="P1371" s="230">
        <f t="shared" si="621"/>
        <v>0</v>
      </c>
    </row>
    <row r="1372" spans="1:16" x14ac:dyDescent="0.2">
      <c r="B1372" s="266"/>
      <c r="C1372" s="266"/>
      <c r="D1372" s="225"/>
      <c r="E1372" s="225"/>
      <c r="F1372" s="225"/>
      <c r="G1372" s="225"/>
      <c r="H1372" s="201"/>
      <c r="I1372" s="226"/>
      <c r="J1372" s="267"/>
      <c r="K1372" s="267"/>
      <c r="L1372" s="267"/>
      <c r="M1372" s="226"/>
      <c r="N1372" s="226"/>
      <c r="P1372" s="230">
        <f t="shared" si="621"/>
        <v>0</v>
      </c>
    </row>
    <row r="1373" spans="1:16" x14ac:dyDescent="0.2">
      <c r="B1373" s="269" t="s">
        <v>488</v>
      </c>
      <c r="C1373" s="225"/>
      <c r="D1373" s="225"/>
      <c r="E1373" s="225"/>
      <c r="F1373" s="225"/>
      <c r="G1373" s="225"/>
      <c r="H1373" s="201"/>
      <c r="I1373" s="226"/>
      <c r="J1373" s="285" t="s">
        <v>488</v>
      </c>
      <c r="K1373" s="285"/>
      <c r="L1373" s="285"/>
      <c r="M1373" s="226"/>
      <c r="N1373" s="226"/>
      <c r="P1373" s="230">
        <f t="shared" si="621"/>
        <v>0</v>
      </c>
    </row>
    <row r="1374" spans="1:16" x14ac:dyDescent="0.2">
      <c r="B1374" s="225"/>
      <c r="C1374" s="225"/>
      <c r="D1374" s="225"/>
      <c r="E1374" s="225"/>
      <c r="F1374" s="225"/>
      <c r="G1374" s="225"/>
      <c r="H1374" s="201"/>
      <c r="I1374" s="226"/>
      <c r="J1374" s="226"/>
      <c r="K1374" s="226"/>
      <c r="L1374" s="226"/>
      <c r="M1374" s="226"/>
      <c r="N1374" s="226"/>
      <c r="P1374" s="230">
        <f t="shared" si="621"/>
        <v>0</v>
      </c>
    </row>
    <row r="1375" spans="1:16" x14ac:dyDescent="0.2">
      <c r="B1375" s="264" t="s">
        <v>489</v>
      </c>
      <c r="C1375" s="225"/>
      <c r="D1375" s="225"/>
      <c r="E1375" s="225"/>
      <c r="F1375" s="225"/>
      <c r="G1375" s="225"/>
      <c r="H1375" s="201"/>
      <c r="I1375" s="226"/>
      <c r="J1375" s="226" t="s">
        <v>489</v>
      </c>
      <c r="K1375" s="226"/>
      <c r="L1375" s="226"/>
      <c r="M1375" s="226"/>
      <c r="N1375" s="226"/>
      <c r="P1375" s="230">
        <f t="shared" si="621"/>
        <v>0</v>
      </c>
    </row>
    <row r="1376" spans="1:16" x14ac:dyDescent="0.2">
      <c r="A1376" s="272"/>
      <c r="B1376" s="225"/>
      <c r="C1376" s="225"/>
      <c r="D1376" s="225"/>
      <c r="E1376" s="225"/>
      <c r="F1376" s="225"/>
      <c r="G1376" s="225"/>
      <c r="H1376" s="201"/>
      <c r="I1376" s="226"/>
      <c r="J1376" s="226"/>
      <c r="K1376" s="226"/>
      <c r="M1376" s="226"/>
      <c r="N1376" s="228"/>
    </row>
    <row r="1377" spans="1:16" x14ac:dyDescent="0.2">
      <c r="A1377" s="260"/>
      <c r="B1377" s="225"/>
      <c r="C1377" s="225"/>
      <c r="D1377" s="225"/>
      <c r="E1377" s="225"/>
      <c r="F1377" s="225"/>
      <c r="G1377" s="225"/>
      <c r="H1377" s="201"/>
      <c r="I1377" s="226"/>
      <c r="J1377" s="226"/>
      <c r="K1377" s="226"/>
      <c r="M1377" s="226"/>
      <c r="N1377" s="228" t="s">
        <v>455</v>
      </c>
      <c r="P1377" s="230">
        <f t="shared" ref="P1377:P1394" si="622">IF(A1377&gt;0,1,0)</f>
        <v>0</v>
      </c>
    </row>
    <row r="1378" spans="1:16" x14ac:dyDescent="0.2">
      <c r="B1378" s="225"/>
      <c r="C1378" s="225"/>
      <c r="D1378" s="225"/>
      <c r="E1378" s="225"/>
      <c r="F1378" s="225"/>
      <c r="G1378" s="225"/>
      <c r="H1378" s="201"/>
      <c r="I1378" s="226"/>
      <c r="J1378" s="226"/>
      <c r="K1378" s="226"/>
      <c r="M1378" s="226"/>
      <c r="N1378" s="228" t="s">
        <v>456</v>
      </c>
      <c r="P1378" s="230">
        <f t="shared" si="622"/>
        <v>0</v>
      </c>
    </row>
    <row r="1379" spans="1:16" x14ac:dyDescent="0.2">
      <c r="B1379" s="225"/>
      <c r="C1379" s="225"/>
      <c r="D1379" s="225"/>
      <c r="E1379" s="225"/>
      <c r="F1379" s="225"/>
      <c r="G1379" s="225"/>
      <c r="H1379" s="201"/>
      <c r="I1379" s="226"/>
      <c r="J1379" s="226"/>
      <c r="K1379" s="226"/>
      <c r="M1379" s="226"/>
      <c r="N1379" s="228" t="s">
        <v>457</v>
      </c>
      <c r="P1379" s="230">
        <f t="shared" si="622"/>
        <v>0</v>
      </c>
    </row>
    <row r="1380" spans="1:16" x14ac:dyDescent="0.2">
      <c r="B1380" s="225"/>
      <c r="C1380" s="225"/>
      <c r="D1380" s="225"/>
      <c r="E1380" s="225"/>
      <c r="F1380" s="225"/>
      <c r="G1380" s="225"/>
      <c r="H1380" s="201"/>
      <c r="I1380" s="226"/>
      <c r="J1380" s="226"/>
      <c r="K1380" s="226"/>
      <c r="L1380" s="226"/>
      <c r="M1380" s="226"/>
      <c r="N1380" s="226"/>
      <c r="P1380" s="230">
        <f t="shared" si="622"/>
        <v>0</v>
      </c>
    </row>
    <row r="1381" spans="1:16" x14ac:dyDescent="0.2">
      <c r="B1381" s="225"/>
      <c r="C1381" s="286" t="s">
        <v>458</v>
      </c>
      <c r="D1381" s="286"/>
      <c r="E1381" s="286"/>
      <c r="F1381" s="286"/>
      <c r="G1381" s="286"/>
      <c r="H1381" s="286"/>
      <c r="I1381" s="286"/>
      <c r="J1381" s="286"/>
      <c r="K1381" s="286"/>
      <c r="L1381" s="286"/>
      <c r="M1381" s="226"/>
      <c r="N1381" s="226"/>
      <c r="P1381" s="230">
        <f t="shared" si="622"/>
        <v>0</v>
      </c>
    </row>
    <row r="1382" spans="1:16" x14ac:dyDescent="0.2">
      <c r="B1382" s="225"/>
      <c r="C1382" s="286" t="s">
        <v>459</v>
      </c>
      <c r="D1382" s="286"/>
      <c r="E1382" s="286"/>
      <c r="F1382" s="286"/>
      <c r="G1382" s="286"/>
      <c r="H1382" s="286"/>
      <c r="I1382" s="286"/>
      <c r="J1382" s="286"/>
      <c r="K1382" s="286"/>
      <c r="L1382" s="286"/>
      <c r="M1382" s="226"/>
      <c r="N1382" s="226"/>
      <c r="P1382" s="230">
        <f t="shared" si="622"/>
        <v>0</v>
      </c>
    </row>
    <row r="1383" spans="1:16" x14ac:dyDescent="0.2">
      <c r="B1383" s="225" t="s">
        <v>460</v>
      </c>
      <c r="C1383" s="234"/>
      <c r="D1383" s="234"/>
      <c r="E1383" s="234"/>
      <c r="F1383" s="234"/>
      <c r="G1383" s="234"/>
      <c r="H1383" s="234"/>
      <c r="I1383" s="235"/>
      <c r="J1383" s="235"/>
      <c r="K1383" s="235"/>
      <c r="L1383" s="287" t="s">
        <v>461</v>
      </c>
      <c r="M1383" s="287"/>
      <c r="N1383" s="287"/>
      <c r="P1383" s="230">
        <f t="shared" si="622"/>
        <v>0</v>
      </c>
    </row>
    <row r="1384" spans="1:16" x14ac:dyDescent="0.2">
      <c r="B1384" s="225"/>
      <c r="C1384" s="234"/>
      <c r="D1384" s="234"/>
      <c r="E1384" s="234"/>
      <c r="F1384" s="234"/>
      <c r="G1384" s="234"/>
      <c r="H1384" s="234"/>
      <c r="I1384" s="235"/>
      <c r="J1384" s="235"/>
      <c r="K1384" s="235"/>
      <c r="L1384" s="235"/>
      <c r="M1384" s="235"/>
      <c r="N1384" s="235"/>
      <c r="P1384" s="230">
        <f t="shared" si="622"/>
        <v>0</v>
      </c>
    </row>
    <row r="1385" spans="1:16" x14ac:dyDescent="0.2">
      <c r="B1385" s="225" t="s">
        <v>2038</v>
      </c>
      <c r="C1385" s="234"/>
      <c r="D1385" s="234"/>
      <c r="E1385" s="234"/>
      <c r="F1385" s="234"/>
      <c r="G1385" s="234"/>
      <c r="H1385" s="234"/>
      <c r="I1385" s="235"/>
      <c r="J1385" s="235"/>
      <c r="K1385" s="235"/>
      <c r="L1385" s="235"/>
      <c r="M1385" s="235"/>
      <c r="N1385" s="235"/>
      <c r="P1385" s="230">
        <f t="shared" si="622"/>
        <v>0</v>
      </c>
    </row>
    <row r="1386" spans="1:16" x14ac:dyDescent="0.2">
      <c r="B1386" s="225" t="s">
        <v>462</v>
      </c>
      <c r="C1386" s="234"/>
      <c r="D1386" s="234"/>
      <c r="E1386" s="234"/>
      <c r="F1386" s="234"/>
      <c r="G1386" s="234"/>
      <c r="H1386" s="234"/>
      <c r="I1386" s="235"/>
      <c r="J1386" s="235"/>
      <c r="K1386" s="235"/>
      <c r="L1386" s="235"/>
      <c r="M1386" s="235"/>
      <c r="N1386" s="235"/>
      <c r="P1386" s="230">
        <f t="shared" si="622"/>
        <v>0</v>
      </c>
    </row>
    <row r="1387" spans="1:16" x14ac:dyDescent="0.2">
      <c r="B1387" s="225" t="s">
        <v>2037</v>
      </c>
      <c r="C1387" s="234"/>
      <c r="D1387" s="234"/>
      <c r="E1387" s="234"/>
      <c r="F1387" s="234"/>
      <c r="G1387" s="234"/>
      <c r="H1387" s="234"/>
      <c r="I1387" s="235"/>
      <c r="J1387" s="235"/>
      <c r="K1387" s="235"/>
      <c r="L1387" s="235"/>
      <c r="M1387" s="235"/>
      <c r="N1387" s="235"/>
      <c r="P1387" s="230">
        <f t="shared" si="622"/>
        <v>0</v>
      </c>
    </row>
    <row r="1388" spans="1:16" x14ac:dyDescent="0.2">
      <c r="B1388" s="225" t="s">
        <v>2052</v>
      </c>
      <c r="C1388" s="234"/>
      <c r="D1388" s="234"/>
      <c r="E1388" s="234"/>
      <c r="F1388" s="234"/>
      <c r="G1388" s="234"/>
      <c r="H1388" s="234"/>
      <c r="I1388" s="235"/>
      <c r="J1388" s="235"/>
      <c r="K1388" s="235"/>
      <c r="L1388" s="235"/>
      <c r="M1388" s="235"/>
      <c r="N1388" s="235"/>
      <c r="P1388" s="230">
        <f t="shared" si="622"/>
        <v>0</v>
      </c>
    </row>
    <row r="1389" spans="1:16" x14ac:dyDescent="0.2">
      <c r="B1389" s="225"/>
      <c r="C1389" s="225"/>
      <c r="D1389" s="225"/>
      <c r="E1389" s="225"/>
      <c r="F1389" s="225"/>
      <c r="G1389" s="225"/>
      <c r="H1389" s="201"/>
      <c r="I1389" s="226"/>
      <c r="J1389" s="226"/>
      <c r="K1389" s="226"/>
      <c r="L1389" s="226"/>
      <c r="M1389" s="226"/>
      <c r="N1389" s="226"/>
      <c r="P1389" s="230">
        <f t="shared" si="622"/>
        <v>0</v>
      </c>
    </row>
    <row r="1390" spans="1:16" x14ac:dyDescent="0.2">
      <c r="B1390" s="288" t="s">
        <v>106</v>
      </c>
      <c r="C1390" s="290" t="s">
        <v>463</v>
      </c>
      <c r="D1390" s="288" t="s">
        <v>464</v>
      </c>
      <c r="E1390" s="288" t="s">
        <v>465</v>
      </c>
      <c r="F1390" s="288" t="s">
        <v>490</v>
      </c>
      <c r="G1390" s="288" t="s">
        <v>466</v>
      </c>
      <c r="H1390" s="292" t="s">
        <v>8</v>
      </c>
      <c r="I1390" s="294" t="s">
        <v>467</v>
      </c>
      <c r="J1390" s="295"/>
      <c r="K1390" s="295"/>
      <c r="L1390" s="296"/>
      <c r="M1390" s="297" t="s">
        <v>468</v>
      </c>
      <c r="N1390" s="299" t="s">
        <v>469</v>
      </c>
      <c r="P1390" s="230">
        <f t="shared" si="622"/>
        <v>0</v>
      </c>
    </row>
    <row r="1391" spans="1:16" x14ac:dyDescent="0.2">
      <c r="B1391" s="289"/>
      <c r="C1391" s="291"/>
      <c r="D1391" s="289"/>
      <c r="E1391" s="289"/>
      <c r="F1391" s="289"/>
      <c r="G1391" s="289"/>
      <c r="H1391" s="293"/>
      <c r="I1391" s="236" t="s">
        <v>470</v>
      </c>
      <c r="J1391" s="236" t="s">
        <v>471</v>
      </c>
      <c r="K1391" s="236" t="s">
        <v>472</v>
      </c>
      <c r="L1391" s="236" t="s">
        <v>473</v>
      </c>
      <c r="M1391" s="298"/>
      <c r="N1391" s="300"/>
      <c r="P1391" s="230">
        <f t="shared" si="622"/>
        <v>0</v>
      </c>
    </row>
    <row r="1392" spans="1:16" x14ac:dyDescent="0.2">
      <c r="A1392" s="224" t="str">
        <f>CONCATENATE("Лот"," ",A1393)</f>
        <v>Лот 26</v>
      </c>
      <c r="B1392" s="273" t="s">
        <v>2087</v>
      </c>
      <c r="C1392" s="274"/>
      <c r="D1392" s="274"/>
      <c r="E1392" s="274"/>
      <c r="F1392" s="274"/>
      <c r="G1392" s="275"/>
      <c r="H1392" s="238" t="s">
        <v>17</v>
      </c>
      <c r="I1392" s="270">
        <f ca="1">ROUND(VLOOKUP($H1392,$AJ$4:$AN$13,2,0)*$Q1394*1.51,2)</f>
        <v>120.15</v>
      </c>
      <c r="J1392" s="270">
        <f ca="1">ROUND(VLOOKUP($H1392,$AJ$4:$AN$13,3,0)*$Q1394*1.51,2)</f>
        <v>85.62</v>
      </c>
      <c r="K1392" s="270">
        <f ca="1">ROUND(VLOOKUP($H1392,$AJ$4:$AN$13,4,0)*$Q1394*1.51,2)</f>
        <v>43.38</v>
      </c>
      <c r="L1392" s="270"/>
      <c r="M1392" s="270">
        <f ca="1">ROUND(VLOOKUP($H1392,$AJ$4:$AN$13,5,0)*$Q1394*1.51,2)</f>
        <v>6.85</v>
      </c>
      <c r="N1392" s="270"/>
      <c r="P1392" s="230">
        <f t="shared" si="622"/>
        <v>1</v>
      </c>
    </row>
    <row r="1393" spans="1:43" x14ac:dyDescent="0.2">
      <c r="A1393" s="224">
        <f>A1338+1</f>
        <v>26</v>
      </c>
      <c r="B1393" s="276"/>
      <c r="C1393" s="277"/>
      <c r="D1393" s="277"/>
      <c r="E1393" s="277"/>
      <c r="F1393" s="277"/>
      <c r="G1393" s="278"/>
      <c r="H1393" s="238" t="s">
        <v>25</v>
      </c>
      <c r="I1393" s="270">
        <f ca="1">ROUND(VLOOKUP($H1393,$AJ$4:$AN$13,2,0)*$Q1394*1.51,2)</f>
        <v>898.69</v>
      </c>
      <c r="J1393" s="270">
        <f ca="1">ROUND(VLOOKUP($H1393,$AJ$4:$AN$13,3,0)*$Q1394*1.51,2)</f>
        <v>642.13</v>
      </c>
      <c r="K1393" s="270">
        <f ca="1">ROUND(VLOOKUP($H1393,$AJ$4:$AN$13,4,0)*$Q1394*1.51,2)</f>
        <v>323.06</v>
      </c>
      <c r="L1393" s="270"/>
      <c r="M1393" s="270">
        <f ca="1">ROUND(VLOOKUP($H1393,$AJ$4:$AN$13,5,0)*$Q1394*1.51,2)</f>
        <v>27.97</v>
      </c>
      <c r="N1393" s="270"/>
      <c r="P1393" s="230">
        <f t="shared" si="622"/>
        <v>1</v>
      </c>
      <c r="Q1393" s="240" t="s">
        <v>2045</v>
      </c>
      <c r="R1393" s="240" t="s">
        <v>2046</v>
      </c>
    </row>
    <row r="1394" spans="1:43" x14ac:dyDescent="0.2">
      <c r="B1394" s="276"/>
      <c r="C1394" s="277"/>
      <c r="D1394" s="277"/>
      <c r="E1394" s="277"/>
      <c r="F1394" s="277"/>
      <c r="G1394" s="278"/>
      <c r="H1394" s="238" t="s">
        <v>19</v>
      </c>
      <c r="I1394" s="270">
        <f ca="1">ROUND(VLOOKUP($H1394,$AJ$4:$AN$13,2,0)*$Q1394*1.51,2)</f>
        <v>71.349999999999994</v>
      </c>
      <c r="J1394" s="270">
        <f ca="1">ROUND(VLOOKUP($H1394,$AJ$4:$AN$13,3,0)*$Q1394*1.51,2)</f>
        <v>51.94</v>
      </c>
      <c r="K1394" s="270">
        <f ca="1">ROUND(VLOOKUP($H1394,$AJ$4:$AN$13,4,0)*$Q1394*1.51,2)</f>
        <v>26.54</v>
      </c>
      <c r="L1394" s="270"/>
      <c r="M1394" s="270">
        <f ca="1">ROUND(VLOOKUP($H1394,$AJ$4:$AN$13,5,0)*$Q1394*1.51,2)</f>
        <v>1.43</v>
      </c>
      <c r="N1394" s="270"/>
      <c r="P1394" s="230">
        <f t="shared" si="622"/>
        <v>0</v>
      </c>
      <c r="Q1394" s="123">
        <f ca="1">IFERROR(IF(R1394="","",IF(OR(R1394&lt;100,R1394=100),0.9,IF(OR(AND(R1394&gt;100,R1394&lt;150),R1394=150),1,IF(R1394&gt;150,1.05,"")))),"0")</f>
        <v>1.05</v>
      </c>
      <c r="R1394" s="123">
        <f ca="1">N1410/G1398</f>
        <v>217.76666666666665</v>
      </c>
    </row>
    <row r="1395" spans="1:43" x14ac:dyDescent="0.2">
      <c r="B1395" s="276"/>
      <c r="C1395" s="277"/>
      <c r="D1395" s="277"/>
      <c r="E1395" s="277"/>
      <c r="F1395" s="277"/>
      <c r="G1395" s="278"/>
      <c r="H1395" s="238" t="s">
        <v>268</v>
      </c>
      <c r="I1395" s="270">
        <f ca="1">ROUND(VLOOKUP($H1395,$AJ$4:$AN$13,2,0)*$Q1394*1.51,2)</f>
        <v>898.69</v>
      </c>
      <c r="J1395" s="270">
        <f ca="1">ROUND(VLOOKUP($H1395,$AJ$4:$AN$13,3,0)*$Q1394*1.51,2)</f>
        <v>642.13</v>
      </c>
      <c r="K1395" s="270">
        <f ca="1">ROUND(VLOOKUP($H1395,$AJ$4:$AN$13,4,0)*$Q1394*1.51,2)</f>
        <v>323.06</v>
      </c>
      <c r="L1395" s="270"/>
      <c r="M1395" s="270">
        <f ca="1">ROUND(VLOOKUP($H1395,$AJ$4:$AN$13,5,0)*$Q1394*1.51,2)</f>
        <v>27.97</v>
      </c>
      <c r="N1395" s="270"/>
    </row>
    <row r="1396" spans="1:43" x14ac:dyDescent="0.2">
      <c r="B1396" s="276"/>
      <c r="C1396" s="277"/>
      <c r="D1396" s="277"/>
      <c r="E1396" s="277"/>
      <c r="F1396" s="277"/>
      <c r="G1396" s="278"/>
      <c r="H1396" s="238" t="s">
        <v>40</v>
      </c>
      <c r="I1396" s="270">
        <f ca="1">ROUND(VLOOKUP($H1396,$AJ$4:$AN$13,2,0)*$Q1394*1.51,2)</f>
        <v>71.349999999999994</v>
      </c>
      <c r="J1396" s="270">
        <f ca="1">ROUND(VLOOKUP($H1396,$AJ$4:$AN$13,3,0)*$Q1394*1.51,2)</f>
        <v>51.94</v>
      </c>
      <c r="K1396" s="270">
        <f ca="1">ROUND(VLOOKUP($H1396,$AJ$4:$AN$13,4,0)*$Q1394*1.51,2)</f>
        <v>26.54</v>
      </c>
      <c r="L1396" s="270"/>
      <c r="M1396" s="270">
        <f ca="1">ROUND(VLOOKUP($H1396,$AJ$4:$AN$13,5,0)*$Q1394*1.51,2)</f>
        <v>1.43</v>
      </c>
      <c r="N1396" s="270"/>
      <c r="P1396" s="230">
        <f t="shared" ref="P1396:P1409" si="623">IF(A1396&gt;0,1,0)</f>
        <v>0</v>
      </c>
    </row>
    <row r="1397" spans="1:43" x14ac:dyDescent="0.2">
      <c r="B1397" s="279"/>
      <c r="C1397" s="280"/>
      <c r="D1397" s="280"/>
      <c r="E1397" s="280"/>
      <c r="F1397" s="280"/>
      <c r="G1397" s="281"/>
      <c r="H1397" s="238" t="s">
        <v>18</v>
      </c>
      <c r="I1397" s="270">
        <f ca="1">ROUND(VLOOKUP($H1397,$AJ$4:$AN$13,2,0)*$Q1394*1.51,2)</f>
        <v>22.83</v>
      </c>
      <c r="J1397" s="270">
        <f ca="1">ROUND(VLOOKUP($H1397,$AJ$4:$AN$13,3,0)*$Q1394*1.51,2)</f>
        <v>17.41</v>
      </c>
      <c r="K1397" s="270">
        <f ca="1">ROUND(VLOOKUP($H1397,$AJ$4:$AN$13,4,0)*$Q1394*1.51,2)</f>
        <v>8.85</v>
      </c>
      <c r="L1397" s="270"/>
      <c r="M1397" s="270">
        <f ca="1">ROUND(VLOOKUP($H1397,$AJ$4:$AN$13,5,0)*$Q1394*1.51*1,2)</f>
        <v>0.56999999999999995</v>
      </c>
      <c r="N1397" s="270"/>
      <c r="P1397" s="230">
        <f t="shared" si="623"/>
        <v>0</v>
      </c>
      <c r="AP1397" s="241" t="s">
        <v>2053</v>
      </c>
      <c r="AQ1397" s="242"/>
    </row>
    <row r="1398" spans="1:43" x14ac:dyDescent="0.2">
      <c r="A1398" s="224">
        <f>A1343+37</f>
        <v>925</v>
      </c>
      <c r="B1398" s="243" t="str">
        <f ca="1">OFFSET(ЛОТЫ!$L$5,A1398,0,1,1)</f>
        <v>Мамыковское</v>
      </c>
      <c r="C1398" s="244" t="s">
        <v>474</v>
      </c>
      <c r="D1398" s="243">
        <f ca="1">OFFSET(ЛОТЫ!$M$5,A1398,0,1,1)</f>
        <v>90</v>
      </c>
      <c r="E1398" s="243">
        <f ca="1">OFFSET(ЛОТЫ!$N$5,A1398,0,1,1)</f>
        <v>5</v>
      </c>
      <c r="F1398" s="243">
        <f ca="1">OFFSET(ЛОТЫ!$O$5,A1398,0,1,1)</f>
        <v>1</v>
      </c>
      <c r="G1398" s="271">
        <f ca="1">IFERROR(INDEX('Ведомость расчета мин. платы'!$G$10:$AC$214,MATCH(CONCATENATE(B1398,"/",D1398,"/",E1398,"/",F1398),'Ведомость расчета мин. платы'!$AC$10:$AC$214,0),1),"")</f>
        <v>5.4</v>
      </c>
      <c r="H1398" s="246" t="s">
        <v>17</v>
      </c>
      <c r="I1398" s="247">
        <f ca="1">IFERROR(INDEX('Ведомость расчета мин. платы'!$J$10:$AE$214,MATCH(CONCATENATE(РАСЧЕТ!B1398,"/",РАСЧЕТ!D1398,"/",РАСЧЕТ!E1398,"/",F1398,"/",H1398),'Ведомость расчета мин. платы'!$AE$10:$AE$214,0),2),"")</f>
        <v>9</v>
      </c>
      <c r="J1398" s="247">
        <f ca="1">IFERROR(INDEX('Ведомость расчета мин. платы'!$J$10:$AE$214,MATCH(CONCATENATE(РАСЧЕТ!B1398,"/",РАСЧЕТ!D1398,"/",РАСЧЕТ!E1398,"/",F1398,"/",H1398),'Ведомость расчета мин. платы'!$AE$10:$AE$214,0),3),"")</f>
        <v>30.6</v>
      </c>
      <c r="K1398" s="247">
        <f ca="1">IFERROR(INDEX('Ведомость расчета мин. платы'!$J$10:$AE$214,MATCH(CONCATENATE(РАСЧЕТ!B1398,"/",РАСЧЕТ!D1398,"/",РАСЧЕТ!E1398,"/",F1398,"/",H1398),'Ведомость расчета мин. платы'!$AE$10:$AE$214,0),4),"")</f>
        <v>15.6</v>
      </c>
      <c r="L1398" s="248">
        <f t="shared" ref="L1398:L1410" ca="1" si="624">IFERROR(SUM(I1398:K1398),"")</f>
        <v>55.2</v>
      </c>
      <c r="M1398" s="214">
        <f ca="1">IFERROR(INDEX('Ведомость расчета мин. платы'!$J$10:$AE$214,MATCH(CONCATENATE(РАСЧЕТ!B1398,"/",РАСЧЕТ!D1398,"/",РАСЧЕТ!E1398,"/",F1398,"/",H1398),'Ведомость расчета мин. платы'!$AE$10:$AE$214,0),6),"")</f>
        <v>68.5</v>
      </c>
      <c r="N1398" s="214">
        <f t="shared" ref="N1398:N1410" ca="1" si="625">IFERROR(SUM(L1398:M1398),"")</f>
        <v>123.7</v>
      </c>
      <c r="O1398" s="229">
        <f>IF(H1398="стоимость","",1)</f>
        <v>1</v>
      </c>
      <c r="P1398" s="230">
        <f t="shared" si="623"/>
        <v>1</v>
      </c>
      <c r="AP1398" s="242"/>
      <c r="AQ1398" s="242"/>
    </row>
    <row r="1399" spans="1:43" x14ac:dyDescent="0.2">
      <c r="B1399" s="249"/>
      <c r="C1399" s="249"/>
      <c r="D1399" s="249"/>
      <c r="E1399" s="249"/>
      <c r="F1399" s="249"/>
      <c r="G1399" s="249"/>
      <c r="H1399" s="250" t="s">
        <v>475</v>
      </c>
      <c r="I1399" s="251">
        <f ca="1">IFERROR(ROUND(I1398*I1392,2),"")</f>
        <v>1081.3499999999999</v>
      </c>
      <c r="J1399" s="251">
        <f t="shared" ref="J1399" ca="1" si="626">IFERROR(ROUND(J1398*J1392,2),"")</f>
        <v>2619.9699999999998</v>
      </c>
      <c r="K1399" s="251">
        <f t="shared" ref="K1399" ca="1" si="627">IFERROR(ROUND(K1398*K1392,2),"")</f>
        <v>676.73</v>
      </c>
      <c r="L1399" s="251">
        <f t="shared" ca="1" si="624"/>
        <v>4378.0499999999993</v>
      </c>
      <c r="M1399" s="251">
        <f t="shared" ref="M1399" ca="1" si="628">IFERROR(ROUND(M1398*M1392,2),"")</f>
        <v>469.23</v>
      </c>
      <c r="N1399" s="252">
        <f t="shared" ca="1" si="625"/>
        <v>4847.2799999999988</v>
      </c>
      <c r="O1399" s="229" t="str">
        <f t="shared" ref="O1399:O1409" si="629">IF(H1399="стоимость","",1)</f>
        <v/>
      </c>
      <c r="P1399" s="230">
        <f t="shared" si="623"/>
        <v>0</v>
      </c>
      <c r="AP1399" s="242">
        <f ca="1">SUMIFS('Ведомость расчета мин. платы'!$S$10:$S$209,'Ведомость расчета мин. платы'!$AE$10:$AE$209,CONCATENATE(B1398,"/",D1398,"/",E1398,"/",F1398,"/",H1398))</f>
        <v>4847.28</v>
      </c>
      <c r="AQ1399" s="253">
        <f t="shared" ref="AQ1399" ca="1" si="630">AP1399-N1399</f>
        <v>0</v>
      </c>
    </row>
    <row r="1400" spans="1:43" x14ac:dyDescent="0.2">
      <c r="B1400" s="249"/>
      <c r="C1400" s="249"/>
      <c r="D1400" s="249"/>
      <c r="E1400" s="249"/>
      <c r="F1400" s="249"/>
      <c r="G1400" s="249"/>
      <c r="H1400" s="246" t="s">
        <v>25</v>
      </c>
      <c r="I1400" s="247" t="str">
        <f ca="1">IFERROR(INDEX('Ведомость расчета мин. платы'!$J$10:$AE$214,MATCH(CONCATENATE(РАСЧЕТ!B1398,"/",РАСЧЕТ!D1398,"/",РАСЧЕТ!E1398,"/",F1398,"/",H1400),'Ведомость расчета мин. платы'!$AE$10:$AE$214,0),2),"")</f>
        <v/>
      </c>
      <c r="J1400" s="247" t="str">
        <f ca="1">IFERROR(INDEX('Ведомость расчета мин. платы'!$J$10:$AE$214,MATCH(CONCATENATE(РАСЧЕТ!B1398,"/",РАСЧЕТ!D1398,"/",РАСЧЕТ!E1398,"/",F1398,"/",H1400),'Ведомость расчета мин. платы'!$AE$10:$AE$214,0),3),"")</f>
        <v/>
      </c>
      <c r="K1400" s="247" t="str">
        <f ca="1">IFERROR(INDEX('Ведомость расчета мин. платы'!$J$10:$AE$214,MATCH(CONCATENATE(РАСЧЕТ!B1398,"/",РАСЧЕТ!D1398,"/",РАСЧЕТ!E1398,"/",F1398,"/",H1400),'Ведомость расчета мин. платы'!$AE$10:$AE$214,0),4),"")</f>
        <v/>
      </c>
      <c r="L1400" s="248">
        <f t="shared" ca="1" si="624"/>
        <v>0</v>
      </c>
      <c r="M1400" s="214" t="str">
        <f ca="1">IFERROR(INDEX('Ведомость расчета мин. платы'!$J$10:$AE$214,MATCH(CONCATENATE(РАСЧЕТ!B1398,"/",РАСЧЕТ!D1398,"/",РАСЧЕТ!E1398,"/",F1398,"/",H1400),'Ведомость расчета мин. платы'!$AE$10:$AE$214,0),6),"")</f>
        <v/>
      </c>
      <c r="N1400" s="214">
        <f t="shared" ca="1" si="625"/>
        <v>0</v>
      </c>
      <c r="O1400" s="229">
        <f t="shared" si="629"/>
        <v>1</v>
      </c>
      <c r="P1400" s="230">
        <f t="shared" si="623"/>
        <v>0</v>
      </c>
      <c r="AP1400" s="242"/>
      <c r="AQ1400" s="253"/>
    </row>
    <row r="1401" spans="1:43" x14ac:dyDescent="0.2">
      <c r="B1401" s="249"/>
      <c r="C1401" s="249"/>
      <c r="D1401" s="249"/>
      <c r="E1401" s="249"/>
      <c r="F1401" s="249"/>
      <c r="G1401" s="249"/>
      <c r="H1401" s="250" t="s">
        <v>475</v>
      </c>
      <c r="I1401" s="251" t="str">
        <f ca="1">IFERROR(ROUND(I1400*I1393,2),"")</f>
        <v/>
      </c>
      <c r="J1401" s="251" t="str">
        <f t="shared" ref="J1401" ca="1" si="631">IFERROR(ROUND(J1400*J1393,2),"")</f>
        <v/>
      </c>
      <c r="K1401" s="251" t="str">
        <f t="shared" ref="K1401" ca="1" si="632">IFERROR(ROUND(K1400*K1393,2),"")</f>
        <v/>
      </c>
      <c r="L1401" s="251">
        <f t="shared" ca="1" si="624"/>
        <v>0</v>
      </c>
      <c r="M1401" s="251" t="str">
        <f t="shared" ref="M1401" ca="1" si="633">IFERROR(ROUND(M1400*M1393,2),"")</f>
        <v/>
      </c>
      <c r="N1401" s="252">
        <f t="shared" ca="1" si="625"/>
        <v>0</v>
      </c>
      <c r="O1401" s="229" t="str">
        <f t="shared" si="629"/>
        <v/>
      </c>
      <c r="P1401" s="230">
        <f t="shared" si="623"/>
        <v>0</v>
      </c>
      <c r="AP1401" s="242">
        <f ca="1">SUMIFS('Ведомость расчета мин. платы'!$S$10:$S$209,'Ведомость расчета мин. платы'!$AE$10:$AE$209,CONCATENATE(B1398,"/",D1398,"/",E1398,"/",F1398,"/",H1400))</f>
        <v>0</v>
      </c>
      <c r="AQ1401" s="253">
        <f t="shared" ref="AQ1401" ca="1" si="634">AP1401-N1401</f>
        <v>0</v>
      </c>
    </row>
    <row r="1402" spans="1:43" x14ac:dyDescent="0.2">
      <c r="B1402" s="249"/>
      <c r="C1402" s="249"/>
      <c r="D1402" s="249"/>
      <c r="E1402" s="249"/>
      <c r="F1402" s="249"/>
      <c r="G1402" s="249"/>
      <c r="H1402" s="205" t="s">
        <v>19</v>
      </c>
      <c r="I1402" s="248">
        <f ca="1">IFERROR(INDEX('Ведомость расчета мин. платы'!$J$10:$AE$214,MATCH(CONCATENATE(РАСЧЕТ!B1398,"/",РАСЧЕТ!D1398,"/",РАСЧЕТ!E1398,"/",F1398,"/",H1402),'Ведомость расчета мин. платы'!$AE$10:$AE$214,0),2),"")</f>
        <v>0.34</v>
      </c>
      <c r="J1402" s="248">
        <f ca="1">IFERROR(INDEX('Ведомость расчета мин. платы'!$J$10:$AE$214,MATCH(CONCATENATE(РАСЧЕТ!B1398,"/",РАСЧЕТ!D1398,"/",РАСЧЕТ!E1398,"/",F1398,"/",H1402),'Ведомость расчета мин. платы'!$AE$10:$AE$214,0),3),"")</f>
        <v>27.48</v>
      </c>
      <c r="K1402" s="248">
        <f ca="1">IFERROR(INDEX('Ведомость расчета мин. платы'!$J$10:$AE$214,MATCH(CONCATENATE(РАСЧЕТ!B1398,"/",РАСЧЕТ!D1398,"/",РАСЧЕТ!E1398,"/",F1398,"/",H1402),'Ведомость расчета мин. платы'!$AE$10:$AE$214,0),4),"")</f>
        <v>10.59</v>
      </c>
      <c r="L1402" s="248">
        <f t="shared" ca="1" si="624"/>
        <v>38.409999999999997</v>
      </c>
      <c r="M1402" s="248">
        <f ca="1">IFERROR(INDEX('Ведомость расчета мин. платы'!$J$10:$AE$214,MATCH(CONCATENATE(РАСЧЕТ!B1398,"/",РАСЧЕТ!D1398,"/",РАСЧЕТ!E1398,"/",F1398,"/",H1402),'Ведомость расчета мин. платы'!$AE$10:$AE$214,0),6),"")</f>
        <v>74.73</v>
      </c>
      <c r="N1402" s="214">
        <f t="shared" ca="1" si="625"/>
        <v>113.14</v>
      </c>
      <c r="O1402" s="229">
        <f t="shared" si="629"/>
        <v>1</v>
      </c>
      <c r="P1402" s="230">
        <f t="shared" si="623"/>
        <v>0</v>
      </c>
      <c r="AP1402" s="242"/>
      <c r="AQ1402" s="253"/>
    </row>
    <row r="1403" spans="1:43" x14ac:dyDescent="0.2">
      <c r="B1403" s="249"/>
      <c r="C1403" s="249"/>
      <c r="D1403" s="249"/>
      <c r="E1403" s="249"/>
      <c r="F1403" s="249"/>
      <c r="G1403" s="249"/>
      <c r="H1403" s="250" t="s">
        <v>475</v>
      </c>
      <c r="I1403" s="251">
        <f ca="1">IFERROR(ROUND(I1402*I1394,2),"")</f>
        <v>24.26</v>
      </c>
      <c r="J1403" s="251">
        <f t="shared" ref="J1403" ca="1" si="635">IFERROR(ROUND(J1402*J1394,2),"")</f>
        <v>1427.31</v>
      </c>
      <c r="K1403" s="251">
        <f t="shared" ref="K1403" ca="1" si="636">IFERROR(ROUND(K1402*K1394,2),"")</f>
        <v>281.06</v>
      </c>
      <c r="L1403" s="251">
        <f t="shared" ca="1" si="624"/>
        <v>1732.6299999999999</v>
      </c>
      <c r="M1403" s="251">
        <f t="shared" ref="M1403" ca="1" si="637">IFERROR(ROUND(M1402*M1394,2),"")</f>
        <v>106.86</v>
      </c>
      <c r="N1403" s="252">
        <f t="shared" ca="1" si="625"/>
        <v>1839.4899999999998</v>
      </c>
      <c r="O1403" s="229" t="str">
        <f t="shared" si="629"/>
        <v/>
      </c>
      <c r="P1403" s="230">
        <f t="shared" si="623"/>
        <v>0</v>
      </c>
      <c r="AP1403" s="242">
        <f ca="1">SUMIFS('Ведомость расчета мин. платы'!$S$10:$S$209,'Ведомость расчета мин. платы'!$AE$10:$AE$209,CONCATENATE(B1398,"/",D1398,"/",E1398,"/",F1398,"/",H1402))</f>
        <v>1839.49</v>
      </c>
      <c r="AQ1403" s="253">
        <f t="shared" ref="AQ1403" ca="1" si="638">AP1403-N1403</f>
        <v>0</v>
      </c>
    </row>
    <row r="1404" spans="1:43" x14ac:dyDescent="0.2">
      <c r="B1404" s="249"/>
      <c r="C1404" s="249"/>
      <c r="D1404" s="249"/>
      <c r="E1404" s="249"/>
      <c r="F1404" s="249"/>
      <c r="G1404" s="249"/>
      <c r="H1404" s="205" t="s">
        <v>268</v>
      </c>
      <c r="I1404" s="248" t="str">
        <f ca="1">IFERROR(INDEX('Ведомость расчета мин. платы'!$J$10:$AE$214,MATCH(CONCATENATE(РАСЧЕТ!B1398,"/",РАСЧЕТ!D1398,"/",РАСЧЕТ!E1398,"/",F1398,"/",H1404),'Ведомость расчета мин. платы'!$AE$10:$AE$214,0),2),"")</f>
        <v/>
      </c>
      <c r="J1404" s="248" t="str">
        <f ca="1">IFERROR(INDEX('Ведомость расчета мин. платы'!$J$10:$AE$214,MATCH(CONCATENATE(РАСЧЕТ!B1398,"/",РАСЧЕТ!D1398,"/",РАСЧЕТ!E1398,"/",F1398,"/",H1404),'Ведомость расчета мин. платы'!$AE$10:$AE$214,0),3),"")</f>
        <v/>
      </c>
      <c r="K1404" s="248" t="str">
        <f ca="1">IFERROR(INDEX('Ведомость расчета мин. платы'!$J$10:$AE$214,MATCH(CONCATENATE(РАСЧЕТ!B1398,"/",РАСЧЕТ!D1398,"/",РАСЧЕТ!E1398,"/",F1398,"/",H1404),'Ведомость расчета мин. платы'!$AE$10:$AE$214,0),4),"")</f>
        <v/>
      </c>
      <c r="L1404" s="248">
        <f t="shared" ca="1" si="624"/>
        <v>0</v>
      </c>
      <c r="M1404" s="248" t="str">
        <f ca="1">IFERROR(INDEX('Ведомость расчета мин. платы'!$J$10:$AE$214,MATCH(CONCATENATE(РАСЧЕТ!B1398,"/",РАСЧЕТ!D1398,"/",РАСЧЕТ!E1398,"/",F1398,"/",H1404),'Ведомость расчета мин. платы'!$AE$10:$AE$214,0),6),"")</f>
        <v/>
      </c>
      <c r="N1404" s="214">
        <f t="shared" ca="1" si="625"/>
        <v>0</v>
      </c>
      <c r="O1404" s="229">
        <f t="shared" si="629"/>
        <v>1</v>
      </c>
      <c r="P1404" s="230">
        <f t="shared" si="623"/>
        <v>0</v>
      </c>
      <c r="AP1404" s="242"/>
      <c r="AQ1404" s="253"/>
    </row>
    <row r="1405" spans="1:43" x14ac:dyDescent="0.2">
      <c r="B1405" s="249"/>
      <c r="C1405" s="249"/>
      <c r="D1405" s="249"/>
      <c r="E1405" s="249"/>
      <c r="F1405" s="249"/>
      <c r="G1405" s="249"/>
      <c r="H1405" s="250" t="s">
        <v>475</v>
      </c>
      <c r="I1405" s="251" t="str">
        <f ca="1">IFERROR(ROUND(I1404*I1397,2),"")</f>
        <v/>
      </c>
      <c r="J1405" s="251" t="str">
        <f ca="1">IFERROR(ROUND(J1404*J1395,2),"")</f>
        <v/>
      </c>
      <c r="K1405" s="251" t="str">
        <f ca="1">IFERROR(ROUND(K1404*K1395,2),"")</f>
        <v/>
      </c>
      <c r="L1405" s="251">
        <f t="shared" ca="1" si="624"/>
        <v>0</v>
      </c>
      <c r="M1405" s="251" t="str">
        <f ca="1">IFERROR(ROUND(M1404*M1395,2),"")</f>
        <v/>
      </c>
      <c r="N1405" s="252">
        <f t="shared" ca="1" si="625"/>
        <v>0</v>
      </c>
      <c r="O1405" s="229" t="str">
        <f t="shared" si="629"/>
        <v/>
      </c>
      <c r="P1405" s="230">
        <f t="shared" si="623"/>
        <v>0</v>
      </c>
      <c r="AP1405" s="242">
        <f ca="1">SUMIFS('Ведомость расчета мин. платы'!$S$10:$S$209,'Ведомость расчета мин. платы'!$AE$10:$AE$209,CONCATENATE(B1398,"/",D1398,"/",E1398,"/",F1398,"/",H1404))</f>
        <v>0</v>
      </c>
      <c r="AQ1405" s="253">
        <f t="shared" ref="AQ1405" ca="1" si="639">AP1405-N1405</f>
        <v>0</v>
      </c>
    </row>
    <row r="1406" spans="1:43" x14ac:dyDescent="0.2">
      <c r="B1406" s="249"/>
      <c r="C1406" s="249"/>
      <c r="D1406" s="249"/>
      <c r="E1406" s="249"/>
      <c r="F1406" s="249"/>
      <c r="G1406" s="249"/>
      <c r="H1406" s="205" t="s">
        <v>40</v>
      </c>
      <c r="I1406" s="248" t="str">
        <f ca="1">IFERROR(INDEX('Ведомость расчета мин. платы'!$J$10:$AE$214,MATCH(CONCATENATE(РАСЧЕТ!B1398,"/",РАСЧЕТ!D1398,"/",РАСЧЕТ!E1398,"/",F1398,"/",H1406),'Ведомость расчета мин. платы'!$AE$10:$AE$214,0),2),"")</f>
        <v/>
      </c>
      <c r="J1406" s="248" t="str">
        <f ca="1">IFERROR(INDEX('Ведомость расчета мин. платы'!$J$10:$AE$214,MATCH(CONCATENATE(РАСЧЕТ!B1398,"/",РАСЧЕТ!D1398,"/",РАСЧЕТ!E1398,"/",F1398,"/",H1406),'Ведомость расчета мин. платы'!$AE$10:$AE$214,0),3),"")</f>
        <v/>
      </c>
      <c r="K1406" s="248" t="str">
        <f ca="1">IFERROR(INDEX('Ведомость расчета мин. платы'!$J$10:$AE$214,MATCH(CONCATENATE(РАСЧЕТ!B1398,"/",РАСЧЕТ!D1398,"/",РАСЧЕТ!E1398,"/",F1398,"/",H1406),'Ведомость расчета мин. платы'!$AE$10:$AE$214,0),4),"")</f>
        <v/>
      </c>
      <c r="L1406" s="248">
        <f t="shared" ca="1" si="624"/>
        <v>0</v>
      </c>
      <c r="M1406" s="248" t="str">
        <f ca="1">IFERROR(INDEX('Ведомость расчета мин. платы'!$J$10:$AE$214,MATCH(CONCATENATE(РАСЧЕТ!B1398,"/",РАСЧЕТ!D1398,"/",РАСЧЕТ!E1398,"/",F1398,"/",H1406),'Ведомость расчета мин. платы'!$AE$10:$AE$214,0),6),"")</f>
        <v/>
      </c>
      <c r="N1406" s="214">
        <f t="shared" ca="1" si="625"/>
        <v>0</v>
      </c>
      <c r="O1406" s="229">
        <f t="shared" si="629"/>
        <v>1</v>
      </c>
      <c r="P1406" s="230">
        <f t="shared" si="623"/>
        <v>0</v>
      </c>
      <c r="AP1406" s="242"/>
      <c r="AQ1406" s="253"/>
    </row>
    <row r="1407" spans="1:43" x14ac:dyDescent="0.2">
      <c r="B1407" s="249"/>
      <c r="C1407" s="249"/>
      <c r="D1407" s="249"/>
      <c r="E1407" s="249"/>
      <c r="F1407" s="249"/>
      <c r="G1407" s="249"/>
      <c r="H1407" s="250" t="s">
        <v>475</v>
      </c>
      <c r="I1407" s="251" t="str">
        <f ca="1">IFERROR(ROUND(I1406*I1396,2),"")</f>
        <v/>
      </c>
      <c r="J1407" s="251" t="str">
        <f t="shared" ref="J1407" ca="1" si="640">IFERROR(ROUND(J1406*J1396,2),"")</f>
        <v/>
      </c>
      <c r="K1407" s="251" t="str">
        <f t="shared" ref="K1407" ca="1" si="641">IFERROR(ROUND(K1406*K1396,2),"")</f>
        <v/>
      </c>
      <c r="L1407" s="251">
        <f t="shared" ca="1" si="624"/>
        <v>0</v>
      </c>
      <c r="M1407" s="251" t="str">
        <f t="shared" ref="M1407" ca="1" si="642">IFERROR(ROUND(M1406*M1396,2),"")</f>
        <v/>
      </c>
      <c r="N1407" s="252">
        <f t="shared" ca="1" si="625"/>
        <v>0</v>
      </c>
      <c r="O1407" s="229" t="str">
        <f t="shared" si="629"/>
        <v/>
      </c>
      <c r="P1407" s="230">
        <f t="shared" si="623"/>
        <v>0</v>
      </c>
      <c r="AP1407" s="242">
        <f ca="1">SUMIFS('Ведомость расчета мин. платы'!$S$10:$S$209,'Ведомость расчета мин. платы'!$AE$10:$AE$209,CONCATENATE(B1398,"/",D1398,"/",E1398,"/",F1398,"/",H1406))</f>
        <v>0</v>
      </c>
      <c r="AQ1407" s="253">
        <f t="shared" ref="AQ1407" ca="1" si="643">AP1407-N1407</f>
        <v>0</v>
      </c>
    </row>
    <row r="1408" spans="1:43" x14ac:dyDescent="0.2">
      <c r="B1408" s="249"/>
      <c r="C1408" s="249"/>
      <c r="D1408" s="249"/>
      <c r="E1408" s="249"/>
      <c r="F1408" s="249"/>
      <c r="G1408" s="249"/>
      <c r="H1408" s="205" t="s">
        <v>18</v>
      </c>
      <c r="I1408" s="248">
        <f ca="1">IFERROR(INDEX('Ведомость расчета мин. платы'!$J$10:$AE$214,MATCH(CONCATENATE(РАСЧЕТ!B1398,"/",РАСЧЕТ!D1398,"/",РАСЧЕТ!E1398,"/",F1398,"/",H1408),'Ведомость расчета мин. платы'!$AE$10:$AE$214,0),2),"")</f>
        <v>401</v>
      </c>
      <c r="J1408" s="248">
        <f ca="1">IFERROR(INDEX('Ведомость расчета мин. платы'!$J$10:$AE$214,MATCH(CONCATENATE(РАСЧЕТ!B1398,"/",РАСЧЕТ!D1398,"/",РАСЧЕТ!E1398,"/",F1398,"/",H1408),'Ведомость расчета мин. платы'!$AE$10:$AE$214,0),3),"")</f>
        <v>54.6</v>
      </c>
      <c r="K1408" s="248">
        <f ca="1">IFERROR(INDEX('Ведомость расчета мин. платы'!$J$10:$AE$214,MATCH(CONCATENATE(РАСЧЕТ!B1398,"/",РАСЧЕТ!D1398,"/",РАСЧЕТ!E1398,"/",F1398,"/",H1408),'Ведомость расчета мин. платы'!$AE$10:$AE$214,0),4),"")</f>
        <v>4.2</v>
      </c>
      <c r="L1408" s="248">
        <f t="shared" ca="1" si="624"/>
        <v>459.8</v>
      </c>
      <c r="M1408" s="248">
        <f ca="1">IFERROR(INDEX('Ведомость расчета мин. платы'!$J$10:$AE$214,MATCH(CONCATENATE(РАСЧЕТ!B1398,"/",РАСЧЕТ!D1398,"/",РАСЧЕТ!E1398,"/",F1398,"/",H1408),'Ведомость расчета мин. платы'!$AE$10:$AE$214,0),6),"")</f>
        <v>479.3</v>
      </c>
      <c r="N1408" s="214">
        <f t="shared" ca="1" si="625"/>
        <v>939.1</v>
      </c>
      <c r="O1408" s="229">
        <f t="shared" si="629"/>
        <v>1</v>
      </c>
      <c r="P1408" s="230">
        <f t="shared" si="623"/>
        <v>0</v>
      </c>
      <c r="AP1408" s="242"/>
      <c r="AQ1408" s="253"/>
    </row>
    <row r="1409" spans="2:43" x14ac:dyDescent="0.2">
      <c r="B1409" s="249"/>
      <c r="C1409" s="249"/>
      <c r="D1409" s="249"/>
      <c r="E1409" s="249"/>
      <c r="F1409" s="249"/>
      <c r="G1409" s="249"/>
      <c r="H1409" s="250" t="s">
        <v>475</v>
      </c>
      <c r="I1409" s="251">
        <f ca="1">IFERROR(ROUND(I1408*I1397,2),"")</f>
        <v>9154.83</v>
      </c>
      <c r="J1409" s="251">
        <f t="shared" ref="J1409" ca="1" si="644">IFERROR(ROUND(J1408*J1397,2),"")</f>
        <v>950.59</v>
      </c>
      <c r="K1409" s="251">
        <f t="shared" ref="K1409" ca="1" si="645">IFERROR(ROUND(K1408*K1397,2),"")</f>
        <v>37.17</v>
      </c>
      <c r="L1409" s="251">
        <f t="shared" ca="1" si="624"/>
        <v>10142.59</v>
      </c>
      <c r="M1409" s="251">
        <v>273.20999999999839</v>
      </c>
      <c r="N1409" s="252">
        <f t="shared" ca="1" si="625"/>
        <v>10415.799999999999</v>
      </c>
      <c r="O1409" s="229" t="str">
        <f t="shared" si="629"/>
        <v/>
      </c>
      <c r="P1409" s="230">
        <f t="shared" si="623"/>
        <v>0</v>
      </c>
      <c r="AP1409" s="242">
        <f ca="1">SUMIFS('Ведомость расчета мин. платы'!$S$10:$S$209,'Ведомость расчета мин. платы'!$AE$10:$AE$209,CONCATENATE(B1398,"/",D1398,"/",E1398,"/",F1398,"/",H1408))</f>
        <v>10415.799999999999</v>
      </c>
      <c r="AQ1409" s="253">
        <f t="shared" ref="AQ1409" ca="1" si="646">AP1409-N1409</f>
        <v>0</v>
      </c>
    </row>
    <row r="1410" spans="2:43" x14ac:dyDescent="0.2">
      <c r="B1410" s="249"/>
      <c r="C1410" s="249"/>
      <c r="D1410" s="249"/>
      <c r="E1410" s="249"/>
      <c r="F1410" s="249"/>
      <c r="G1410" s="249"/>
      <c r="H1410" s="254" t="s">
        <v>476</v>
      </c>
      <c r="I1410" s="251">
        <f ca="1">SUMIF($O1398:$O1411,1,I1398:I1409)</f>
        <v>410.34</v>
      </c>
      <c r="J1410" s="251">
        <f ca="1">SUMIF($O1398:$O1411,1,J1398:J1409)</f>
        <v>112.68</v>
      </c>
      <c r="K1410" s="251">
        <f ca="1">SUMIF($O1398:$O1411,1,K1398:K1409)</f>
        <v>30.389999999999997</v>
      </c>
      <c r="L1410" s="251">
        <f t="shared" ca="1" si="624"/>
        <v>553.41</v>
      </c>
      <c r="M1410" s="251">
        <f ca="1">SUMIF($O1398:$O1411,1,M1398:M1409)</f>
        <v>622.53</v>
      </c>
      <c r="N1410" s="252">
        <f t="shared" ca="1" si="625"/>
        <v>1175.94</v>
      </c>
      <c r="AP1410" s="242"/>
      <c r="AQ1410" s="253"/>
    </row>
    <row r="1411" spans="2:43" x14ac:dyDescent="0.2">
      <c r="B1411" s="249"/>
      <c r="C1411" s="249"/>
      <c r="D1411" s="249"/>
      <c r="E1411" s="249"/>
      <c r="F1411" s="249"/>
      <c r="G1411" s="249"/>
      <c r="H1411" s="254" t="s">
        <v>491</v>
      </c>
      <c r="I1411" s="251">
        <f ca="1">SUMIF(H1398:H1409,"стоимость",I1398:I1409)</f>
        <v>10260.44</v>
      </c>
      <c r="J1411" s="251">
        <f ca="1">SUMIF(H1398:H1409,"стоимость",J1398:J1409)</f>
        <v>4997.87</v>
      </c>
      <c r="K1411" s="251">
        <f ca="1">SUMIF(H1398:H1409,"стоимость",K1398:K1409)</f>
        <v>994.95999999999992</v>
      </c>
      <c r="L1411" s="251">
        <f ca="1">IFERROR(SUM(I1411:K1411),"")</f>
        <v>16253.27</v>
      </c>
      <c r="M1411" s="251">
        <f ca="1">SUMIF(H1398:H1409,"стоимость",M1398:M1409)</f>
        <v>849.29999999999836</v>
      </c>
      <c r="N1411" s="252">
        <f ca="1">IFERROR(SUM(L1411:M1411),"")</f>
        <v>17102.57</v>
      </c>
      <c r="AP1411" s="242">
        <f ca="1">SUMIFS('Ведомость расчета мин. платы'!$S$10:$S$209,'Ведомость расчета мин. платы'!$J$10:$J$209,"Итого",'Ведомость расчета мин. платы'!$AC$10:$AC$209,CONCATENATE(B1398,"/",D1398,"/",E1398,"/",F1398))</f>
        <v>17102.57</v>
      </c>
      <c r="AQ1411" s="253">
        <f ca="1">AP1411-N1411</f>
        <v>0</v>
      </c>
    </row>
    <row r="1412" spans="2:43" x14ac:dyDescent="0.2">
      <c r="B1412" s="255"/>
      <c r="C1412" s="255"/>
      <c r="D1412" s="255"/>
      <c r="E1412" s="255"/>
      <c r="F1412" s="255"/>
      <c r="G1412" s="256"/>
      <c r="H1412" s="257"/>
      <c r="I1412" s="258"/>
      <c r="J1412" s="258"/>
      <c r="K1412" s="258"/>
      <c r="L1412" s="258"/>
      <c r="M1412" s="258"/>
      <c r="N1412" s="258"/>
      <c r="P1412" s="230">
        <f t="shared" ref="P1412:P1430" si="647">IF(A1412&gt;0,1,0)</f>
        <v>0</v>
      </c>
    </row>
    <row r="1413" spans="2:43" x14ac:dyDescent="0.2">
      <c r="B1413" s="282" t="s">
        <v>477</v>
      </c>
      <c r="C1413" s="282"/>
      <c r="D1413" s="282"/>
      <c r="E1413" s="282"/>
      <c r="F1413" s="259"/>
      <c r="G1413" s="225"/>
      <c r="H1413" s="201"/>
      <c r="I1413" s="226"/>
      <c r="J1413" s="258"/>
      <c r="K1413" s="258"/>
      <c r="L1413" s="258"/>
      <c r="M1413" s="258"/>
      <c r="N1413" s="258"/>
      <c r="P1413" s="230">
        <f t="shared" si="647"/>
        <v>0</v>
      </c>
    </row>
    <row r="1414" spans="2:43" x14ac:dyDescent="0.2">
      <c r="B1414" s="283" t="s">
        <v>525</v>
      </c>
      <c r="C1414" s="283"/>
      <c r="D1414" s="283"/>
      <c r="E1414" s="283"/>
      <c r="F1414" s="283"/>
      <c r="G1414" s="283"/>
      <c r="H1414" s="283"/>
      <c r="I1414" s="283"/>
      <c r="J1414" s="261"/>
      <c r="K1414" s="261"/>
      <c r="L1414" s="261"/>
      <c r="M1414" s="261"/>
      <c r="N1414" s="261"/>
      <c r="P1414" s="230">
        <f t="shared" si="647"/>
        <v>0</v>
      </c>
    </row>
    <row r="1415" spans="2:43" x14ac:dyDescent="0.2">
      <c r="B1415" s="284" t="s">
        <v>478</v>
      </c>
      <c r="C1415" s="284"/>
      <c r="D1415" s="284"/>
      <c r="E1415" s="284"/>
      <c r="F1415" s="284"/>
      <c r="G1415" s="284"/>
      <c r="H1415" s="284"/>
      <c r="I1415" s="284"/>
      <c r="J1415" s="258"/>
      <c r="K1415" s="258"/>
      <c r="L1415" s="258"/>
      <c r="M1415" s="258"/>
      <c r="N1415" s="258"/>
      <c r="P1415" s="230">
        <f t="shared" si="647"/>
        <v>0</v>
      </c>
    </row>
    <row r="1416" spans="2:43" x14ac:dyDescent="0.2">
      <c r="B1416" s="284" t="s">
        <v>479</v>
      </c>
      <c r="C1416" s="284"/>
      <c r="D1416" s="284"/>
      <c r="E1416" s="284"/>
      <c r="F1416" s="284"/>
      <c r="G1416" s="284"/>
      <c r="H1416" s="284"/>
      <c r="I1416" s="284"/>
      <c r="J1416" s="258"/>
      <c r="K1416" s="258"/>
      <c r="L1416" s="258"/>
      <c r="M1416" s="258"/>
      <c r="N1416" s="258"/>
      <c r="P1416" s="230">
        <f t="shared" si="647"/>
        <v>0</v>
      </c>
    </row>
    <row r="1417" spans="2:43" x14ac:dyDescent="0.2">
      <c r="B1417" s="284" t="s">
        <v>480</v>
      </c>
      <c r="C1417" s="284"/>
      <c r="D1417" s="284"/>
      <c r="E1417" s="284"/>
      <c r="F1417" s="284"/>
      <c r="G1417" s="284"/>
      <c r="H1417" s="284"/>
      <c r="I1417" s="284"/>
      <c r="J1417" s="258"/>
      <c r="K1417" s="258"/>
      <c r="L1417" s="258"/>
      <c r="M1417" s="258"/>
      <c r="N1417" s="258"/>
      <c r="P1417" s="230">
        <f t="shared" si="647"/>
        <v>0</v>
      </c>
    </row>
    <row r="1418" spans="2:43" x14ac:dyDescent="0.2">
      <c r="B1418" s="284" t="s">
        <v>481</v>
      </c>
      <c r="C1418" s="284"/>
      <c r="D1418" s="284"/>
      <c r="E1418" s="284"/>
      <c r="F1418" s="284"/>
      <c r="G1418" s="284"/>
      <c r="H1418" s="284"/>
      <c r="I1418" s="284"/>
      <c r="J1418" s="226"/>
      <c r="K1418" s="226"/>
      <c r="L1418" s="226"/>
      <c r="M1418" s="226"/>
      <c r="N1418" s="226"/>
      <c r="P1418" s="230">
        <f t="shared" si="647"/>
        <v>0</v>
      </c>
    </row>
    <row r="1419" spans="2:43" x14ac:dyDescent="0.2">
      <c r="B1419" s="284" t="s">
        <v>482</v>
      </c>
      <c r="C1419" s="284"/>
      <c r="D1419" s="284"/>
      <c r="E1419" s="284"/>
      <c r="F1419" s="284"/>
      <c r="G1419" s="284"/>
      <c r="H1419" s="284"/>
      <c r="I1419" s="284"/>
      <c r="J1419" s="226"/>
      <c r="K1419" s="226"/>
      <c r="L1419" s="226"/>
      <c r="M1419" s="226"/>
      <c r="N1419" s="226"/>
      <c r="P1419" s="230">
        <f t="shared" si="647"/>
        <v>0</v>
      </c>
    </row>
    <row r="1420" spans="2:43" x14ac:dyDescent="0.2">
      <c r="B1420" s="284" t="s">
        <v>483</v>
      </c>
      <c r="C1420" s="284"/>
      <c r="D1420" s="284"/>
      <c r="E1420" s="284"/>
      <c r="F1420" s="284"/>
      <c r="G1420" s="284"/>
      <c r="H1420" s="284"/>
      <c r="I1420" s="284"/>
      <c r="J1420" s="226"/>
      <c r="K1420" s="226"/>
      <c r="L1420" s="226"/>
      <c r="M1420" s="226"/>
      <c r="N1420" s="226"/>
      <c r="P1420" s="230">
        <f t="shared" si="647"/>
        <v>0</v>
      </c>
    </row>
    <row r="1421" spans="2:43" x14ac:dyDescent="0.2">
      <c r="B1421" s="284" t="s">
        <v>484</v>
      </c>
      <c r="C1421" s="284"/>
      <c r="D1421" s="284"/>
      <c r="E1421" s="284"/>
      <c r="F1421" s="284"/>
      <c r="G1421" s="284"/>
      <c r="H1421" s="284"/>
      <c r="I1421" s="284"/>
      <c r="J1421" s="226"/>
      <c r="K1421" s="226"/>
      <c r="L1421" s="226"/>
      <c r="M1421" s="226"/>
      <c r="N1421" s="226"/>
      <c r="P1421" s="230">
        <f t="shared" si="647"/>
        <v>0</v>
      </c>
    </row>
    <row r="1422" spans="2:43" x14ac:dyDescent="0.2">
      <c r="B1422" s="264"/>
      <c r="C1422" s="264"/>
      <c r="D1422" s="264"/>
      <c r="E1422" s="264"/>
      <c r="F1422" s="264"/>
      <c r="G1422" s="264"/>
      <c r="H1422" s="264"/>
      <c r="I1422" s="265"/>
      <c r="J1422" s="226"/>
      <c r="K1422" s="226"/>
      <c r="L1422" s="226"/>
      <c r="M1422" s="226"/>
      <c r="N1422" s="226"/>
      <c r="P1422" s="230">
        <f t="shared" si="647"/>
        <v>0</v>
      </c>
    </row>
    <row r="1423" spans="2:43" x14ac:dyDescent="0.2">
      <c r="B1423" s="225" t="s">
        <v>485</v>
      </c>
      <c r="C1423" s="225"/>
      <c r="D1423" s="225"/>
      <c r="E1423" s="225"/>
      <c r="F1423" s="225"/>
      <c r="G1423" s="225"/>
      <c r="H1423" s="201"/>
      <c r="I1423" s="226"/>
      <c r="J1423" s="226" t="s">
        <v>486</v>
      </c>
      <c r="K1423" s="226"/>
      <c r="L1423" s="226"/>
      <c r="M1423" s="226"/>
      <c r="N1423" s="226"/>
      <c r="P1423" s="230">
        <f t="shared" si="647"/>
        <v>0</v>
      </c>
    </row>
    <row r="1424" spans="2:43" x14ac:dyDescent="0.2">
      <c r="B1424" s="266" t="s">
        <v>524</v>
      </c>
      <c r="C1424" s="266"/>
      <c r="D1424" s="225"/>
      <c r="E1424" s="225"/>
      <c r="F1424" s="225"/>
      <c r="G1424" s="225"/>
      <c r="H1424" s="201"/>
      <c r="I1424" s="226"/>
      <c r="J1424" s="267"/>
      <c r="K1424" s="267"/>
      <c r="L1424" s="267"/>
      <c r="M1424" s="226"/>
      <c r="N1424" s="226"/>
      <c r="P1424" s="230">
        <f t="shared" si="647"/>
        <v>0</v>
      </c>
    </row>
    <row r="1425" spans="1:16" x14ac:dyDescent="0.2">
      <c r="B1425" s="268" t="s">
        <v>487</v>
      </c>
      <c r="C1425" s="225"/>
      <c r="D1425" s="225"/>
      <c r="E1425" s="225"/>
      <c r="F1425" s="225"/>
      <c r="G1425" s="225"/>
      <c r="H1425" s="201"/>
      <c r="I1425" s="226"/>
      <c r="J1425" s="226" t="s">
        <v>487</v>
      </c>
      <c r="K1425" s="226"/>
      <c r="L1425" s="226"/>
      <c r="M1425" s="226"/>
      <c r="N1425" s="226"/>
      <c r="P1425" s="230">
        <f t="shared" si="647"/>
        <v>0</v>
      </c>
    </row>
    <row r="1426" spans="1:16" x14ac:dyDescent="0.2">
      <c r="B1426" s="225"/>
      <c r="C1426" s="225"/>
      <c r="D1426" s="225"/>
      <c r="E1426" s="225"/>
      <c r="F1426" s="225"/>
      <c r="G1426" s="225"/>
      <c r="H1426" s="201"/>
      <c r="I1426" s="226"/>
      <c r="J1426" s="226"/>
      <c r="K1426" s="226"/>
      <c r="L1426" s="226"/>
      <c r="M1426" s="226"/>
      <c r="N1426" s="226"/>
      <c r="P1426" s="230">
        <f t="shared" si="647"/>
        <v>0</v>
      </c>
    </row>
    <row r="1427" spans="1:16" x14ac:dyDescent="0.2">
      <c r="B1427" s="266"/>
      <c r="C1427" s="266"/>
      <c r="D1427" s="225"/>
      <c r="E1427" s="225"/>
      <c r="F1427" s="225"/>
      <c r="G1427" s="225"/>
      <c r="H1427" s="201"/>
      <c r="I1427" s="226"/>
      <c r="J1427" s="267"/>
      <c r="K1427" s="267"/>
      <c r="L1427" s="267"/>
      <c r="M1427" s="226"/>
      <c r="N1427" s="226"/>
      <c r="P1427" s="230">
        <f t="shared" si="647"/>
        <v>0</v>
      </c>
    </row>
    <row r="1428" spans="1:16" x14ac:dyDescent="0.2">
      <c r="B1428" s="269" t="s">
        <v>488</v>
      </c>
      <c r="C1428" s="225"/>
      <c r="D1428" s="225"/>
      <c r="E1428" s="225"/>
      <c r="F1428" s="225"/>
      <c r="G1428" s="225"/>
      <c r="H1428" s="201"/>
      <c r="I1428" s="226"/>
      <c r="J1428" s="285" t="s">
        <v>488</v>
      </c>
      <c r="K1428" s="285"/>
      <c r="L1428" s="285"/>
      <c r="M1428" s="226"/>
      <c r="N1428" s="226"/>
      <c r="P1428" s="230">
        <f t="shared" si="647"/>
        <v>0</v>
      </c>
    </row>
    <row r="1429" spans="1:16" x14ac:dyDescent="0.2">
      <c r="B1429" s="225"/>
      <c r="C1429" s="225"/>
      <c r="D1429" s="225"/>
      <c r="E1429" s="225"/>
      <c r="F1429" s="225"/>
      <c r="G1429" s="225"/>
      <c r="H1429" s="201"/>
      <c r="I1429" s="226"/>
      <c r="J1429" s="226"/>
      <c r="K1429" s="226"/>
      <c r="L1429" s="226"/>
      <c r="M1429" s="226"/>
      <c r="N1429" s="226"/>
      <c r="P1429" s="230">
        <f t="shared" si="647"/>
        <v>0</v>
      </c>
    </row>
    <row r="1430" spans="1:16" x14ac:dyDescent="0.2">
      <c r="B1430" s="264" t="s">
        <v>489</v>
      </c>
      <c r="C1430" s="225"/>
      <c r="D1430" s="225"/>
      <c r="E1430" s="225"/>
      <c r="F1430" s="225"/>
      <c r="G1430" s="225"/>
      <c r="H1430" s="201"/>
      <c r="I1430" s="226"/>
      <c r="J1430" s="226" t="s">
        <v>489</v>
      </c>
      <c r="K1430" s="226"/>
      <c r="L1430" s="226"/>
      <c r="M1430" s="226"/>
      <c r="N1430" s="226"/>
      <c r="P1430" s="230">
        <f t="shared" si="647"/>
        <v>0</v>
      </c>
    </row>
    <row r="1431" spans="1:16" x14ac:dyDescent="0.2">
      <c r="A1431" s="272"/>
      <c r="B1431" s="225"/>
      <c r="C1431" s="225"/>
      <c r="D1431" s="225"/>
      <c r="E1431" s="225"/>
      <c r="F1431" s="225"/>
      <c r="G1431" s="225"/>
      <c r="H1431" s="201"/>
      <c r="I1431" s="226"/>
      <c r="J1431" s="226"/>
      <c r="K1431" s="226"/>
      <c r="M1431" s="226"/>
      <c r="N1431" s="228"/>
    </row>
    <row r="1432" spans="1:16" x14ac:dyDescent="0.2">
      <c r="A1432" s="260"/>
      <c r="B1432" s="225"/>
      <c r="C1432" s="225"/>
      <c r="D1432" s="225"/>
      <c r="E1432" s="225"/>
      <c r="F1432" s="225"/>
      <c r="G1432" s="225"/>
      <c r="H1432" s="201"/>
      <c r="I1432" s="226"/>
      <c r="J1432" s="226"/>
      <c r="K1432" s="226"/>
      <c r="M1432" s="226"/>
      <c r="N1432" s="228" t="s">
        <v>455</v>
      </c>
      <c r="P1432" s="230">
        <f t="shared" ref="P1432:P1449" si="648">IF(A1432&gt;0,1,0)</f>
        <v>0</v>
      </c>
    </row>
    <row r="1433" spans="1:16" x14ac:dyDescent="0.2">
      <c r="B1433" s="225"/>
      <c r="C1433" s="225"/>
      <c r="D1433" s="225"/>
      <c r="E1433" s="225"/>
      <c r="F1433" s="225"/>
      <c r="G1433" s="225"/>
      <c r="H1433" s="201"/>
      <c r="I1433" s="226"/>
      <c r="J1433" s="226"/>
      <c r="K1433" s="226"/>
      <c r="M1433" s="226"/>
      <c r="N1433" s="228" t="s">
        <v>456</v>
      </c>
      <c r="P1433" s="230">
        <f t="shared" si="648"/>
        <v>0</v>
      </c>
    </row>
    <row r="1434" spans="1:16" x14ac:dyDescent="0.2">
      <c r="B1434" s="225"/>
      <c r="C1434" s="225"/>
      <c r="D1434" s="225"/>
      <c r="E1434" s="225"/>
      <c r="F1434" s="225"/>
      <c r="G1434" s="225"/>
      <c r="H1434" s="201"/>
      <c r="I1434" s="226"/>
      <c r="J1434" s="226"/>
      <c r="K1434" s="226"/>
      <c r="M1434" s="226"/>
      <c r="N1434" s="228" t="s">
        <v>457</v>
      </c>
      <c r="P1434" s="230">
        <f t="shared" si="648"/>
        <v>0</v>
      </c>
    </row>
    <row r="1435" spans="1:16" x14ac:dyDescent="0.2">
      <c r="B1435" s="225"/>
      <c r="C1435" s="225"/>
      <c r="D1435" s="225"/>
      <c r="E1435" s="225"/>
      <c r="F1435" s="225"/>
      <c r="G1435" s="225"/>
      <c r="H1435" s="201"/>
      <c r="I1435" s="226"/>
      <c r="J1435" s="226"/>
      <c r="K1435" s="226"/>
      <c r="L1435" s="226"/>
      <c r="M1435" s="226"/>
      <c r="N1435" s="226"/>
      <c r="P1435" s="230">
        <f t="shared" si="648"/>
        <v>0</v>
      </c>
    </row>
    <row r="1436" spans="1:16" x14ac:dyDescent="0.2">
      <c r="B1436" s="225"/>
      <c r="C1436" s="286" t="s">
        <v>458</v>
      </c>
      <c r="D1436" s="286"/>
      <c r="E1436" s="286"/>
      <c r="F1436" s="286"/>
      <c r="G1436" s="286"/>
      <c r="H1436" s="286"/>
      <c r="I1436" s="286"/>
      <c r="J1436" s="286"/>
      <c r="K1436" s="286"/>
      <c r="L1436" s="286"/>
      <c r="M1436" s="226"/>
      <c r="N1436" s="226"/>
      <c r="P1436" s="230">
        <f t="shared" si="648"/>
        <v>0</v>
      </c>
    </row>
    <row r="1437" spans="1:16" x14ac:dyDescent="0.2">
      <c r="B1437" s="225"/>
      <c r="C1437" s="286" t="s">
        <v>459</v>
      </c>
      <c r="D1437" s="286"/>
      <c r="E1437" s="286"/>
      <c r="F1437" s="286"/>
      <c r="G1437" s="286"/>
      <c r="H1437" s="286"/>
      <c r="I1437" s="286"/>
      <c r="J1437" s="286"/>
      <c r="K1437" s="286"/>
      <c r="L1437" s="286"/>
      <c r="M1437" s="226"/>
      <c r="N1437" s="226"/>
      <c r="P1437" s="230">
        <f t="shared" si="648"/>
        <v>0</v>
      </c>
    </row>
    <row r="1438" spans="1:16" x14ac:dyDescent="0.2">
      <c r="B1438" s="225" t="s">
        <v>460</v>
      </c>
      <c r="C1438" s="234"/>
      <c r="D1438" s="234"/>
      <c r="E1438" s="234"/>
      <c r="F1438" s="234"/>
      <c r="G1438" s="234"/>
      <c r="H1438" s="234"/>
      <c r="I1438" s="235"/>
      <c r="J1438" s="235"/>
      <c r="K1438" s="235"/>
      <c r="L1438" s="287" t="s">
        <v>461</v>
      </c>
      <c r="M1438" s="287"/>
      <c r="N1438" s="287"/>
      <c r="P1438" s="230">
        <f t="shared" si="648"/>
        <v>0</v>
      </c>
    </row>
    <row r="1439" spans="1:16" x14ac:dyDescent="0.2">
      <c r="B1439" s="225"/>
      <c r="C1439" s="234"/>
      <c r="D1439" s="234"/>
      <c r="E1439" s="234"/>
      <c r="F1439" s="234"/>
      <c r="G1439" s="234"/>
      <c r="H1439" s="234"/>
      <c r="I1439" s="235"/>
      <c r="J1439" s="235"/>
      <c r="K1439" s="235"/>
      <c r="L1439" s="235"/>
      <c r="M1439" s="235"/>
      <c r="N1439" s="235"/>
      <c r="P1439" s="230">
        <f t="shared" si="648"/>
        <v>0</v>
      </c>
    </row>
    <row r="1440" spans="1:16" x14ac:dyDescent="0.2">
      <c r="B1440" s="225" t="s">
        <v>2038</v>
      </c>
      <c r="C1440" s="234"/>
      <c r="D1440" s="234"/>
      <c r="E1440" s="234"/>
      <c r="F1440" s="234"/>
      <c r="G1440" s="234"/>
      <c r="H1440" s="234"/>
      <c r="I1440" s="235"/>
      <c r="J1440" s="235"/>
      <c r="K1440" s="235"/>
      <c r="L1440" s="235"/>
      <c r="M1440" s="235"/>
      <c r="N1440" s="235"/>
      <c r="P1440" s="230">
        <f t="shared" si="648"/>
        <v>0</v>
      </c>
    </row>
    <row r="1441" spans="1:43" x14ac:dyDescent="0.2">
      <c r="B1441" s="225" t="s">
        <v>462</v>
      </c>
      <c r="C1441" s="234"/>
      <c r="D1441" s="234"/>
      <c r="E1441" s="234"/>
      <c r="F1441" s="234"/>
      <c r="G1441" s="234"/>
      <c r="H1441" s="234"/>
      <c r="I1441" s="235"/>
      <c r="J1441" s="235"/>
      <c r="K1441" s="235"/>
      <c r="L1441" s="235"/>
      <c r="M1441" s="235"/>
      <c r="N1441" s="235"/>
      <c r="P1441" s="230">
        <f t="shared" si="648"/>
        <v>0</v>
      </c>
    </row>
    <row r="1442" spans="1:43" x14ac:dyDescent="0.2">
      <c r="B1442" s="225" t="s">
        <v>2037</v>
      </c>
      <c r="C1442" s="234"/>
      <c r="D1442" s="234"/>
      <c r="E1442" s="234"/>
      <c r="F1442" s="234"/>
      <c r="G1442" s="234"/>
      <c r="H1442" s="234"/>
      <c r="I1442" s="235"/>
      <c r="J1442" s="235"/>
      <c r="K1442" s="235"/>
      <c r="L1442" s="235"/>
      <c r="M1442" s="235"/>
      <c r="N1442" s="235"/>
      <c r="P1442" s="230">
        <f t="shared" si="648"/>
        <v>0</v>
      </c>
    </row>
    <row r="1443" spans="1:43" x14ac:dyDescent="0.2">
      <c r="B1443" s="225" t="s">
        <v>2052</v>
      </c>
      <c r="C1443" s="234"/>
      <c r="D1443" s="234"/>
      <c r="E1443" s="234"/>
      <c r="F1443" s="234"/>
      <c r="G1443" s="234"/>
      <c r="H1443" s="234"/>
      <c r="I1443" s="235"/>
      <c r="J1443" s="235"/>
      <c r="K1443" s="235"/>
      <c r="L1443" s="235"/>
      <c r="M1443" s="235"/>
      <c r="N1443" s="235"/>
      <c r="P1443" s="230">
        <f t="shared" si="648"/>
        <v>0</v>
      </c>
    </row>
    <row r="1444" spans="1:43" x14ac:dyDescent="0.2">
      <c r="B1444" s="225"/>
      <c r="C1444" s="225"/>
      <c r="D1444" s="225"/>
      <c r="E1444" s="225"/>
      <c r="F1444" s="225"/>
      <c r="G1444" s="225"/>
      <c r="H1444" s="201"/>
      <c r="I1444" s="226"/>
      <c r="J1444" s="226"/>
      <c r="K1444" s="226"/>
      <c r="L1444" s="226"/>
      <c r="M1444" s="226"/>
      <c r="N1444" s="226"/>
      <c r="P1444" s="230">
        <f t="shared" si="648"/>
        <v>0</v>
      </c>
    </row>
    <row r="1445" spans="1:43" x14ac:dyDescent="0.2">
      <c r="B1445" s="288" t="s">
        <v>106</v>
      </c>
      <c r="C1445" s="290" t="s">
        <v>463</v>
      </c>
      <c r="D1445" s="288" t="s">
        <v>464</v>
      </c>
      <c r="E1445" s="288" t="s">
        <v>465</v>
      </c>
      <c r="F1445" s="288" t="s">
        <v>490</v>
      </c>
      <c r="G1445" s="288" t="s">
        <v>466</v>
      </c>
      <c r="H1445" s="292" t="s">
        <v>8</v>
      </c>
      <c r="I1445" s="294" t="s">
        <v>467</v>
      </c>
      <c r="J1445" s="295"/>
      <c r="K1445" s="295"/>
      <c r="L1445" s="296"/>
      <c r="M1445" s="297" t="s">
        <v>468</v>
      </c>
      <c r="N1445" s="299" t="s">
        <v>469</v>
      </c>
      <c r="P1445" s="230">
        <f t="shared" si="648"/>
        <v>0</v>
      </c>
    </row>
    <row r="1446" spans="1:43" x14ac:dyDescent="0.2">
      <c r="B1446" s="289"/>
      <c r="C1446" s="291"/>
      <c r="D1446" s="289"/>
      <c r="E1446" s="289"/>
      <c r="F1446" s="289"/>
      <c r="G1446" s="289"/>
      <c r="H1446" s="293"/>
      <c r="I1446" s="236" t="s">
        <v>470</v>
      </c>
      <c r="J1446" s="236" t="s">
        <v>471</v>
      </c>
      <c r="K1446" s="236" t="s">
        <v>472</v>
      </c>
      <c r="L1446" s="236" t="s">
        <v>473</v>
      </c>
      <c r="M1446" s="298"/>
      <c r="N1446" s="300"/>
      <c r="P1446" s="230">
        <f t="shared" si="648"/>
        <v>0</v>
      </c>
    </row>
    <row r="1447" spans="1:43" x14ac:dyDescent="0.2">
      <c r="A1447" s="224" t="str">
        <f>CONCATENATE("Лот"," ",A1448)</f>
        <v>Лот 27</v>
      </c>
      <c r="B1447" s="273" t="s">
        <v>2087</v>
      </c>
      <c r="C1447" s="274"/>
      <c r="D1447" s="274"/>
      <c r="E1447" s="274"/>
      <c r="F1447" s="274"/>
      <c r="G1447" s="275"/>
      <c r="H1447" s="238" t="s">
        <v>17</v>
      </c>
      <c r="I1447" s="270">
        <f ca="1">ROUND(VLOOKUP($H1447,$AJ$4:$AN$13,2,0)*$Q1449*1.51,2)</f>
        <v>120.15</v>
      </c>
      <c r="J1447" s="270">
        <f ca="1">ROUND(VLOOKUP($H1447,$AJ$4:$AN$13,3,0)*$Q1449*1.51,2)</f>
        <v>85.62</v>
      </c>
      <c r="K1447" s="270">
        <f ca="1">ROUND(VLOOKUP($H1447,$AJ$4:$AN$13,4,0)*$Q1449*1.51,2)</f>
        <v>43.38</v>
      </c>
      <c r="L1447" s="270"/>
      <c r="M1447" s="270">
        <f ca="1">ROUND(VLOOKUP($H1447,$AJ$4:$AN$13,5,0)*$Q1449*1.51,2)</f>
        <v>6.85</v>
      </c>
      <c r="N1447" s="270"/>
      <c r="P1447" s="230">
        <f t="shared" si="648"/>
        <v>1</v>
      </c>
    </row>
    <row r="1448" spans="1:43" x14ac:dyDescent="0.2">
      <c r="A1448" s="224">
        <f>A1393+1</f>
        <v>27</v>
      </c>
      <c r="B1448" s="276"/>
      <c r="C1448" s="277"/>
      <c r="D1448" s="277"/>
      <c r="E1448" s="277"/>
      <c r="F1448" s="277"/>
      <c r="G1448" s="278"/>
      <c r="H1448" s="238" t="s">
        <v>25</v>
      </c>
      <c r="I1448" s="270">
        <f ca="1">ROUND(VLOOKUP($H1448,$AJ$4:$AN$13,2,0)*$Q1449*1.51,2)</f>
        <v>898.69</v>
      </c>
      <c r="J1448" s="270">
        <f ca="1">ROUND(VLOOKUP($H1448,$AJ$4:$AN$13,3,0)*$Q1449*1.51,2)</f>
        <v>642.13</v>
      </c>
      <c r="K1448" s="270">
        <f ca="1">ROUND(VLOOKUP($H1448,$AJ$4:$AN$13,4,0)*$Q1449*1.51,2)</f>
        <v>323.06</v>
      </c>
      <c r="L1448" s="270"/>
      <c r="M1448" s="270">
        <f ca="1">ROUND(VLOOKUP($H1448,$AJ$4:$AN$13,5,0)*$Q1449*1.51,2)</f>
        <v>27.97</v>
      </c>
      <c r="N1448" s="270"/>
      <c r="P1448" s="230">
        <f t="shared" si="648"/>
        <v>1</v>
      </c>
      <c r="Q1448" s="240" t="s">
        <v>2045</v>
      </c>
      <c r="R1448" s="240" t="s">
        <v>2046</v>
      </c>
    </row>
    <row r="1449" spans="1:43" x14ac:dyDescent="0.2">
      <c r="B1449" s="276"/>
      <c r="C1449" s="277"/>
      <c r="D1449" s="277"/>
      <c r="E1449" s="277"/>
      <c r="F1449" s="277"/>
      <c r="G1449" s="278"/>
      <c r="H1449" s="238" t="s">
        <v>19</v>
      </c>
      <c r="I1449" s="270">
        <f ca="1">ROUND(VLOOKUP($H1449,$AJ$4:$AN$13,2,0)*$Q1449*1.51,2)</f>
        <v>71.349999999999994</v>
      </c>
      <c r="J1449" s="270">
        <f ca="1">ROUND(VLOOKUP($H1449,$AJ$4:$AN$13,3,0)*$Q1449*1.51,2)</f>
        <v>51.94</v>
      </c>
      <c r="K1449" s="270">
        <f ca="1">ROUND(VLOOKUP($H1449,$AJ$4:$AN$13,4,0)*$Q1449*1.51,2)</f>
        <v>26.54</v>
      </c>
      <c r="L1449" s="270"/>
      <c r="M1449" s="270">
        <f ca="1">ROUND(VLOOKUP($H1449,$AJ$4:$AN$13,5,0)*$Q1449*1.51,2)</f>
        <v>1.43</v>
      </c>
      <c r="N1449" s="270"/>
      <c r="P1449" s="230">
        <f t="shared" si="648"/>
        <v>0</v>
      </c>
      <c r="Q1449" s="123">
        <f ca="1">IFERROR(IF(R1449="","",IF(OR(R1449&lt;100,R1449=100),0.9,IF(OR(AND(R1449&gt;100,R1449&lt;150),R1449=150),1,IF(R1449&gt;150,1.05,"")))),"0")</f>
        <v>1.05</v>
      </c>
      <c r="R1449" s="123">
        <f ca="1">N1465/G1453</f>
        <v>192.7</v>
      </c>
    </row>
    <row r="1450" spans="1:43" x14ac:dyDescent="0.2">
      <c r="B1450" s="276"/>
      <c r="C1450" s="277"/>
      <c r="D1450" s="277"/>
      <c r="E1450" s="277"/>
      <c r="F1450" s="277"/>
      <c r="G1450" s="278"/>
      <c r="H1450" s="238" t="s">
        <v>268</v>
      </c>
      <c r="I1450" s="270">
        <f ca="1">ROUND(VLOOKUP($H1450,$AJ$4:$AN$13,2,0)*$Q1449*1.51,2)</f>
        <v>898.69</v>
      </c>
      <c r="J1450" s="270">
        <f ca="1">ROUND(VLOOKUP($H1450,$AJ$4:$AN$13,3,0)*$Q1449*1.51,2)</f>
        <v>642.13</v>
      </c>
      <c r="K1450" s="270">
        <f ca="1">ROUND(VLOOKUP($H1450,$AJ$4:$AN$13,4,0)*$Q1449*1.51,2)</f>
        <v>323.06</v>
      </c>
      <c r="L1450" s="270"/>
      <c r="M1450" s="270">
        <f ca="1">ROUND(VLOOKUP($H1450,$AJ$4:$AN$13,5,0)*$Q1449*1.51,2)</f>
        <v>27.97</v>
      </c>
      <c r="N1450" s="270"/>
    </row>
    <row r="1451" spans="1:43" x14ac:dyDescent="0.2">
      <c r="B1451" s="276"/>
      <c r="C1451" s="277"/>
      <c r="D1451" s="277"/>
      <c r="E1451" s="277"/>
      <c r="F1451" s="277"/>
      <c r="G1451" s="278"/>
      <c r="H1451" s="238" t="s">
        <v>40</v>
      </c>
      <c r="I1451" s="270">
        <f ca="1">ROUND(VLOOKUP($H1451,$AJ$4:$AN$13,2,0)*$Q1449*1.51,2)</f>
        <v>71.349999999999994</v>
      </c>
      <c r="J1451" s="270">
        <f ca="1">ROUND(VLOOKUP($H1451,$AJ$4:$AN$13,3,0)*$Q1449*1.51,2)</f>
        <v>51.94</v>
      </c>
      <c r="K1451" s="270">
        <f ca="1">ROUND(VLOOKUP($H1451,$AJ$4:$AN$13,4,0)*$Q1449*1.51,2)</f>
        <v>26.54</v>
      </c>
      <c r="L1451" s="270"/>
      <c r="M1451" s="270">
        <f ca="1">ROUND(VLOOKUP($H1451,$AJ$4:$AN$13,5,0)*$Q1449*1.51,2)</f>
        <v>1.43</v>
      </c>
      <c r="N1451" s="270"/>
      <c r="P1451" s="230">
        <f t="shared" ref="P1451:P1464" si="649">IF(A1451&gt;0,1,0)</f>
        <v>0</v>
      </c>
    </row>
    <row r="1452" spans="1:43" x14ac:dyDescent="0.2">
      <c r="B1452" s="279"/>
      <c r="C1452" s="280"/>
      <c r="D1452" s="280"/>
      <c r="E1452" s="280"/>
      <c r="F1452" s="280"/>
      <c r="G1452" s="281"/>
      <c r="H1452" s="238" t="s">
        <v>18</v>
      </c>
      <c r="I1452" s="270">
        <f ca="1">ROUND(VLOOKUP($H1452,$AJ$4:$AN$13,2,0)*$Q1449*1.51,2)</f>
        <v>22.83</v>
      </c>
      <c r="J1452" s="270">
        <f ca="1">ROUND(VLOOKUP($H1452,$AJ$4:$AN$13,3,0)*$Q1449*1.51,2)</f>
        <v>17.41</v>
      </c>
      <c r="K1452" s="270">
        <f ca="1">ROUND(VLOOKUP($H1452,$AJ$4:$AN$13,4,0)*$Q1449*1.51,2)</f>
        <v>8.85</v>
      </c>
      <c r="L1452" s="270"/>
      <c r="M1452" s="270">
        <f ca="1">ROUND(VLOOKUP($H1452,$AJ$4:$AN$13,5,0)*$Q1449*1.51*1,2)</f>
        <v>0.56999999999999995</v>
      </c>
      <c r="N1452" s="270"/>
      <c r="P1452" s="230">
        <f t="shared" si="649"/>
        <v>0</v>
      </c>
      <c r="AP1452" s="241" t="s">
        <v>2053</v>
      </c>
      <c r="AQ1452" s="242"/>
    </row>
    <row r="1453" spans="1:43" x14ac:dyDescent="0.2">
      <c r="A1453" s="224">
        <f>A1398+37</f>
        <v>962</v>
      </c>
      <c r="B1453" s="243" t="str">
        <f ca="1">OFFSET(ЛОТЫ!$L$5,A1453,0,1,1)</f>
        <v>Мамыковское</v>
      </c>
      <c r="C1453" s="244" t="s">
        <v>474</v>
      </c>
      <c r="D1453" s="243">
        <f ca="1">OFFSET(ЛОТЫ!$M$5,A1453,0,1,1)</f>
        <v>90</v>
      </c>
      <c r="E1453" s="243">
        <f ca="1">OFFSET(ЛОТЫ!$N$5,A1453,0,1,1)</f>
        <v>8</v>
      </c>
      <c r="F1453" s="243">
        <f ca="1">OFFSET(ЛОТЫ!$O$5,A1453,0,1,1)</f>
        <v>2</v>
      </c>
      <c r="G1453" s="271">
        <f ca="1">IFERROR(INDEX('Ведомость расчета мин. платы'!$G$10:$AC$214,MATCH(CONCATENATE(B1453,"/",D1453,"/",E1453,"/",F1453),'Ведомость расчета мин. платы'!$AC$10:$AC$214,0),1),"")</f>
        <v>2.8</v>
      </c>
      <c r="H1453" s="246" t="s">
        <v>17</v>
      </c>
      <c r="I1453" s="247">
        <f ca="1">IFERROR(INDEX('Ведомость расчета мин. платы'!$J$10:$AE$214,MATCH(CONCATENATE(РАСЧЕТ!B1453,"/",РАСЧЕТ!D1453,"/",РАСЧЕТ!E1453,"/",F1453,"/",H1453),'Ведомость расчета мин. платы'!$AE$10:$AE$214,0),2),"")</f>
        <v>1.65</v>
      </c>
      <c r="J1453" s="247">
        <f ca="1">IFERROR(INDEX('Ведомость расчета мин. платы'!$J$10:$AE$214,MATCH(CONCATENATE(РАСЧЕТ!B1453,"/",РАСЧЕТ!D1453,"/",РАСЧЕТ!E1453,"/",F1453,"/",H1453),'Ведомость расчета мин. платы'!$AE$10:$AE$214,0),3),"")</f>
        <v>18.36</v>
      </c>
      <c r="K1453" s="247">
        <f ca="1">IFERROR(INDEX('Ведомость расчета мин. платы'!$J$10:$AE$214,MATCH(CONCATENATE(РАСЧЕТ!B1453,"/",РАСЧЕТ!D1453,"/",РАСЧЕТ!E1453,"/",F1453,"/",H1453),'Ведомость расчета мин. платы'!$AE$10:$AE$214,0),4),"")</f>
        <v>6.75</v>
      </c>
      <c r="L1453" s="248">
        <f t="shared" ref="L1453:L1465" ca="1" si="650">IFERROR(SUM(I1453:K1453),"")</f>
        <v>26.759999999999998</v>
      </c>
      <c r="M1453" s="214">
        <f ca="1">IFERROR(INDEX('Ведомость расчета мин. платы'!$J$10:$AE$214,MATCH(CONCATENATE(РАСЧЕТ!B1453,"/",РАСЧЕТ!D1453,"/",РАСЧЕТ!E1453,"/",F1453,"/",H1453),'Ведомость расчета мин. платы'!$AE$10:$AE$214,0),6),"")</f>
        <v>26.84</v>
      </c>
      <c r="N1453" s="214">
        <f t="shared" ref="N1453:N1465" ca="1" si="651">IFERROR(SUM(L1453:M1453),"")</f>
        <v>53.599999999999994</v>
      </c>
      <c r="O1453" s="229">
        <f>IF(H1453="стоимость","",1)</f>
        <v>1</v>
      </c>
      <c r="P1453" s="230">
        <f t="shared" si="649"/>
        <v>1</v>
      </c>
      <c r="AP1453" s="242"/>
      <c r="AQ1453" s="242"/>
    </row>
    <row r="1454" spans="1:43" x14ac:dyDescent="0.2">
      <c r="B1454" s="249"/>
      <c r="C1454" s="249"/>
      <c r="D1454" s="249"/>
      <c r="E1454" s="249"/>
      <c r="F1454" s="249"/>
      <c r="G1454" s="249"/>
      <c r="H1454" s="250" t="s">
        <v>475</v>
      </c>
      <c r="I1454" s="251">
        <f ca="1">IFERROR(ROUND(I1453*I1447,2),"")</f>
        <v>198.25</v>
      </c>
      <c r="J1454" s="251">
        <f t="shared" ref="J1454" ca="1" si="652">IFERROR(ROUND(J1453*J1447,2),"")</f>
        <v>1571.98</v>
      </c>
      <c r="K1454" s="251">
        <f t="shared" ref="K1454" ca="1" si="653">IFERROR(ROUND(K1453*K1447,2),"")</f>
        <v>292.82</v>
      </c>
      <c r="L1454" s="251">
        <f t="shared" ca="1" si="650"/>
        <v>2063.0500000000002</v>
      </c>
      <c r="M1454" s="251">
        <f t="shared" ref="M1454" ca="1" si="654">IFERROR(ROUND(M1453*M1447,2),"")</f>
        <v>183.85</v>
      </c>
      <c r="N1454" s="252">
        <f t="shared" ca="1" si="651"/>
        <v>2246.9</v>
      </c>
      <c r="O1454" s="229" t="str">
        <f t="shared" ref="O1454:O1464" si="655">IF(H1454="стоимость","",1)</f>
        <v/>
      </c>
      <c r="P1454" s="230">
        <f t="shared" si="649"/>
        <v>0</v>
      </c>
      <c r="AP1454" s="242">
        <f ca="1">SUMIFS('Ведомость расчета мин. платы'!$S$10:$S$209,'Ведомость расчета мин. платы'!$AE$10:$AE$209,CONCATENATE(B1453,"/",D1453,"/",E1453,"/",F1453,"/",H1453))</f>
        <v>2246.9</v>
      </c>
      <c r="AQ1454" s="253">
        <f t="shared" ref="AQ1454" ca="1" si="656">AP1454-N1454</f>
        <v>0</v>
      </c>
    </row>
    <row r="1455" spans="1:43" x14ac:dyDescent="0.2">
      <c r="B1455" s="249"/>
      <c r="C1455" s="249"/>
      <c r="D1455" s="249"/>
      <c r="E1455" s="249"/>
      <c r="F1455" s="249"/>
      <c r="G1455" s="249"/>
      <c r="H1455" s="246" t="s">
        <v>25</v>
      </c>
      <c r="I1455" s="247">
        <f ca="1">IFERROR(INDEX('Ведомость расчета мин. платы'!$J$10:$AE$214,MATCH(CONCATENATE(РАСЧЕТ!B1453,"/",РАСЧЕТ!D1453,"/",РАСЧЕТ!E1453,"/",F1453,"/",H1455),'Ведомость расчета мин. платы'!$AE$10:$AE$214,0),2),"")</f>
        <v>0</v>
      </c>
      <c r="J1455" s="247">
        <f ca="1">IFERROR(INDEX('Ведомость расчета мин. платы'!$J$10:$AE$214,MATCH(CONCATENATE(РАСЧЕТ!B1453,"/",РАСЧЕТ!D1453,"/",РАСЧЕТ!E1453,"/",F1453,"/",H1455),'Ведомость расчета мин. платы'!$AE$10:$AE$214,0),3),"")</f>
        <v>0.84</v>
      </c>
      <c r="K1455" s="247">
        <f ca="1">IFERROR(INDEX('Ведомость расчета мин. платы'!$J$10:$AE$214,MATCH(CONCATENATE(РАСЧЕТ!B1453,"/",РАСЧЕТ!D1453,"/",РАСЧЕТ!E1453,"/",F1453,"/",H1455),'Ведомость расчета мин. платы'!$AE$10:$AE$214,0),4),"")</f>
        <v>1.26</v>
      </c>
      <c r="L1455" s="248">
        <f t="shared" ca="1" si="650"/>
        <v>2.1</v>
      </c>
      <c r="M1455" s="214">
        <f ca="1">IFERROR(INDEX('Ведомость расчета мин. платы'!$J$10:$AE$214,MATCH(CONCATENATE(РАСЧЕТ!B1453,"/",РАСЧЕТ!D1453,"/",РАСЧЕТ!E1453,"/",F1453,"/",H1455),'Ведомость расчета мин. платы'!$AE$10:$AE$214,0),6),"")</f>
        <v>2.98</v>
      </c>
      <c r="N1455" s="214">
        <f t="shared" ca="1" si="651"/>
        <v>5.08</v>
      </c>
      <c r="O1455" s="229">
        <f t="shared" si="655"/>
        <v>1</v>
      </c>
      <c r="P1455" s="230">
        <f t="shared" si="649"/>
        <v>0</v>
      </c>
      <c r="AP1455" s="242"/>
      <c r="AQ1455" s="253"/>
    </row>
    <row r="1456" spans="1:43" x14ac:dyDescent="0.2">
      <c r="B1456" s="249"/>
      <c r="C1456" s="249"/>
      <c r="D1456" s="249"/>
      <c r="E1456" s="249"/>
      <c r="F1456" s="249"/>
      <c r="G1456" s="249"/>
      <c r="H1456" s="250" t="s">
        <v>475</v>
      </c>
      <c r="I1456" s="251">
        <f ca="1">IFERROR(ROUND(I1455*I1448,2),"")</f>
        <v>0</v>
      </c>
      <c r="J1456" s="251">
        <f t="shared" ref="J1456" ca="1" si="657">IFERROR(ROUND(J1455*J1448,2),"")</f>
        <v>539.39</v>
      </c>
      <c r="K1456" s="251">
        <f t="shared" ref="K1456" ca="1" si="658">IFERROR(ROUND(K1455*K1448,2),"")</f>
        <v>407.06</v>
      </c>
      <c r="L1456" s="251">
        <f t="shared" ca="1" si="650"/>
        <v>946.45</v>
      </c>
      <c r="M1456" s="251">
        <f t="shared" ref="M1456" ca="1" si="659">IFERROR(ROUND(M1455*M1448,2),"")</f>
        <v>83.35</v>
      </c>
      <c r="N1456" s="252">
        <f t="shared" ca="1" si="651"/>
        <v>1029.8</v>
      </c>
      <c r="O1456" s="229" t="str">
        <f t="shared" si="655"/>
        <v/>
      </c>
      <c r="P1456" s="230">
        <f t="shared" si="649"/>
        <v>0</v>
      </c>
      <c r="AP1456" s="242">
        <f ca="1">SUMIFS('Ведомость расчета мин. платы'!$S$10:$S$209,'Ведомость расчета мин. платы'!$AE$10:$AE$209,CONCATENATE(B1453,"/",D1453,"/",E1453,"/",F1453,"/",H1455))</f>
        <v>1029.8</v>
      </c>
      <c r="AQ1456" s="253">
        <f t="shared" ref="AQ1456" ca="1" si="660">AP1456-N1456</f>
        <v>0</v>
      </c>
    </row>
    <row r="1457" spans="2:43" x14ac:dyDescent="0.2">
      <c r="B1457" s="249"/>
      <c r="C1457" s="249"/>
      <c r="D1457" s="249"/>
      <c r="E1457" s="249"/>
      <c r="F1457" s="249"/>
      <c r="G1457" s="249"/>
      <c r="H1457" s="205" t="s">
        <v>19</v>
      </c>
      <c r="I1457" s="248" t="str">
        <f ca="1">IFERROR(INDEX('Ведомость расчета мин. платы'!$J$10:$AE$214,MATCH(CONCATENATE(РАСЧЕТ!B1453,"/",РАСЧЕТ!D1453,"/",РАСЧЕТ!E1453,"/",F1453,"/",H1457),'Ведомость расчета мин. платы'!$AE$10:$AE$214,0),2),"")</f>
        <v/>
      </c>
      <c r="J1457" s="248" t="str">
        <f ca="1">IFERROR(INDEX('Ведомость расчета мин. платы'!$J$10:$AE$214,MATCH(CONCATENATE(РАСЧЕТ!B1453,"/",РАСЧЕТ!D1453,"/",РАСЧЕТ!E1453,"/",F1453,"/",H1457),'Ведомость расчета мин. платы'!$AE$10:$AE$214,0),3),"")</f>
        <v/>
      </c>
      <c r="K1457" s="248" t="str">
        <f ca="1">IFERROR(INDEX('Ведомость расчета мин. платы'!$J$10:$AE$214,MATCH(CONCATENATE(РАСЧЕТ!B1453,"/",РАСЧЕТ!D1453,"/",РАСЧЕТ!E1453,"/",F1453,"/",H1457),'Ведомость расчета мин. платы'!$AE$10:$AE$214,0),4),"")</f>
        <v/>
      </c>
      <c r="L1457" s="248">
        <f t="shared" ca="1" si="650"/>
        <v>0</v>
      </c>
      <c r="M1457" s="248" t="str">
        <f ca="1">IFERROR(INDEX('Ведомость расчета мин. платы'!$J$10:$AE$214,MATCH(CONCATENATE(РАСЧЕТ!B1453,"/",РАСЧЕТ!D1453,"/",РАСЧЕТ!E1453,"/",F1453,"/",H1457),'Ведомость расчета мин. платы'!$AE$10:$AE$214,0),6),"")</f>
        <v/>
      </c>
      <c r="N1457" s="214">
        <f t="shared" ca="1" si="651"/>
        <v>0</v>
      </c>
      <c r="O1457" s="229">
        <f t="shared" si="655"/>
        <v>1</v>
      </c>
      <c r="P1457" s="230">
        <f t="shared" si="649"/>
        <v>0</v>
      </c>
      <c r="AP1457" s="242"/>
      <c r="AQ1457" s="253"/>
    </row>
    <row r="1458" spans="2:43" x14ac:dyDescent="0.2">
      <c r="B1458" s="249"/>
      <c r="C1458" s="249"/>
      <c r="D1458" s="249"/>
      <c r="E1458" s="249"/>
      <c r="F1458" s="249"/>
      <c r="G1458" s="249"/>
      <c r="H1458" s="250" t="s">
        <v>475</v>
      </c>
      <c r="I1458" s="251" t="str">
        <f ca="1">IFERROR(ROUND(I1457*I1449,2),"")</f>
        <v/>
      </c>
      <c r="J1458" s="251" t="str">
        <f t="shared" ref="J1458" ca="1" si="661">IFERROR(ROUND(J1457*J1449,2),"")</f>
        <v/>
      </c>
      <c r="K1458" s="251" t="str">
        <f t="shared" ref="K1458" ca="1" si="662">IFERROR(ROUND(K1457*K1449,2),"")</f>
        <v/>
      </c>
      <c r="L1458" s="251">
        <f t="shared" ca="1" si="650"/>
        <v>0</v>
      </c>
      <c r="M1458" s="251" t="str">
        <f t="shared" ref="M1458" ca="1" si="663">IFERROR(ROUND(M1457*M1449,2),"")</f>
        <v/>
      </c>
      <c r="N1458" s="252">
        <f t="shared" ca="1" si="651"/>
        <v>0</v>
      </c>
      <c r="O1458" s="229" t="str">
        <f t="shared" si="655"/>
        <v/>
      </c>
      <c r="P1458" s="230">
        <f t="shared" si="649"/>
        <v>0</v>
      </c>
      <c r="AP1458" s="242">
        <f ca="1">SUMIFS('Ведомость расчета мин. платы'!$S$10:$S$209,'Ведомость расчета мин. платы'!$AE$10:$AE$209,CONCATENATE(B1453,"/",D1453,"/",E1453,"/",F1453,"/",H1457))</f>
        <v>0</v>
      </c>
      <c r="AQ1458" s="253">
        <f t="shared" ref="AQ1458" ca="1" si="664">AP1458-N1458</f>
        <v>0</v>
      </c>
    </row>
    <row r="1459" spans="2:43" x14ac:dyDescent="0.2">
      <c r="B1459" s="249"/>
      <c r="C1459" s="249"/>
      <c r="D1459" s="249"/>
      <c r="E1459" s="249"/>
      <c r="F1459" s="249"/>
      <c r="G1459" s="249"/>
      <c r="H1459" s="205" t="s">
        <v>268</v>
      </c>
      <c r="I1459" s="248" t="str">
        <f ca="1">IFERROR(INDEX('Ведомость расчета мин. платы'!$J$10:$AE$214,MATCH(CONCATENATE(РАСЧЕТ!B1453,"/",РАСЧЕТ!D1453,"/",РАСЧЕТ!E1453,"/",F1453,"/",H1459),'Ведомость расчета мин. платы'!$AE$10:$AE$214,0),2),"")</f>
        <v/>
      </c>
      <c r="J1459" s="248" t="str">
        <f ca="1">IFERROR(INDEX('Ведомость расчета мин. платы'!$J$10:$AE$214,MATCH(CONCATENATE(РАСЧЕТ!B1453,"/",РАСЧЕТ!D1453,"/",РАСЧЕТ!E1453,"/",F1453,"/",H1459),'Ведомость расчета мин. платы'!$AE$10:$AE$214,0),3),"")</f>
        <v/>
      </c>
      <c r="K1459" s="248" t="str">
        <f ca="1">IFERROR(INDEX('Ведомость расчета мин. платы'!$J$10:$AE$214,MATCH(CONCATENATE(РАСЧЕТ!B1453,"/",РАСЧЕТ!D1453,"/",РАСЧЕТ!E1453,"/",F1453,"/",H1459),'Ведомость расчета мин. платы'!$AE$10:$AE$214,0),4),"")</f>
        <v/>
      </c>
      <c r="L1459" s="248">
        <f t="shared" ca="1" si="650"/>
        <v>0</v>
      </c>
      <c r="M1459" s="248" t="str">
        <f ca="1">IFERROR(INDEX('Ведомость расчета мин. платы'!$J$10:$AE$214,MATCH(CONCATENATE(РАСЧЕТ!B1453,"/",РАСЧЕТ!D1453,"/",РАСЧЕТ!E1453,"/",F1453,"/",H1459),'Ведомость расчета мин. платы'!$AE$10:$AE$214,0),6),"")</f>
        <v/>
      </c>
      <c r="N1459" s="214">
        <f t="shared" ca="1" si="651"/>
        <v>0</v>
      </c>
      <c r="O1459" s="229">
        <f t="shared" si="655"/>
        <v>1</v>
      </c>
      <c r="P1459" s="230">
        <f t="shared" si="649"/>
        <v>0</v>
      </c>
      <c r="AP1459" s="242"/>
      <c r="AQ1459" s="253"/>
    </row>
    <row r="1460" spans="2:43" x14ac:dyDescent="0.2">
      <c r="B1460" s="249"/>
      <c r="C1460" s="249"/>
      <c r="D1460" s="249"/>
      <c r="E1460" s="249"/>
      <c r="F1460" s="249"/>
      <c r="G1460" s="249"/>
      <c r="H1460" s="250" t="s">
        <v>475</v>
      </c>
      <c r="I1460" s="251" t="str">
        <f ca="1">IFERROR(ROUND(I1459*I1452,2),"")</f>
        <v/>
      </c>
      <c r="J1460" s="251" t="str">
        <f ca="1">IFERROR(ROUND(J1459*J1450,2),"")</f>
        <v/>
      </c>
      <c r="K1460" s="251" t="str">
        <f ca="1">IFERROR(ROUND(K1459*K1450,2),"")</f>
        <v/>
      </c>
      <c r="L1460" s="251">
        <f t="shared" ca="1" si="650"/>
        <v>0</v>
      </c>
      <c r="M1460" s="251" t="str">
        <f ca="1">IFERROR(ROUND(M1459*M1450,2),"")</f>
        <v/>
      </c>
      <c r="N1460" s="252">
        <f t="shared" ca="1" si="651"/>
        <v>0</v>
      </c>
      <c r="O1460" s="229" t="str">
        <f t="shared" si="655"/>
        <v/>
      </c>
      <c r="P1460" s="230">
        <f t="shared" si="649"/>
        <v>0</v>
      </c>
      <c r="AP1460" s="242">
        <f ca="1">SUMIFS('Ведомость расчета мин. платы'!$S$10:$S$209,'Ведомость расчета мин. платы'!$AE$10:$AE$209,CONCATENATE(B1453,"/",D1453,"/",E1453,"/",F1453,"/",H1459))</f>
        <v>0</v>
      </c>
      <c r="AQ1460" s="253">
        <f t="shared" ref="AQ1460" ca="1" si="665">AP1460-N1460</f>
        <v>0</v>
      </c>
    </row>
    <row r="1461" spans="2:43" x14ac:dyDescent="0.2">
      <c r="B1461" s="249"/>
      <c r="C1461" s="249"/>
      <c r="D1461" s="249"/>
      <c r="E1461" s="249"/>
      <c r="F1461" s="249"/>
      <c r="G1461" s="249"/>
      <c r="H1461" s="205" t="s">
        <v>40</v>
      </c>
      <c r="I1461" s="248" t="str">
        <f ca="1">IFERROR(INDEX('Ведомость расчета мин. платы'!$J$10:$AE$214,MATCH(CONCATENATE(РАСЧЕТ!B1453,"/",РАСЧЕТ!D1453,"/",РАСЧЕТ!E1453,"/",F1453,"/",H1461),'Ведомость расчета мин. платы'!$AE$10:$AE$214,0),2),"")</f>
        <v/>
      </c>
      <c r="J1461" s="248" t="str">
        <f ca="1">IFERROR(INDEX('Ведомость расчета мин. платы'!$J$10:$AE$214,MATCH(CONCATENATE(РАСЧЕТ!B1453,"/",РАСЧЕТ!D1453,"/",РАСЧЕТ!E1453,"/",F1453,"/",H1461),'Ведомость расчета мин. платы'!$AE$10:$AE$214,0),3),"")</f>
        <v/>
      </c>
      <c r="K1461" s="248" t="str">
        <f ca="1">IFERROR(INDEX('Ведомость расчета мин. платы'!$J$10:$AE$214,MATCH(CONCATENATE(РАСЧЕТ!B1453,"/",РАСЧЕТ!D1453,"/",РАСЧЕТ!E1453,"/",F1453,"/",H1461),'Ведомость расчета мин. платы'!$AE$10:$AE$214,0),4),"")</f>
        <v/>
      </c>
      <c r="L1461" s="248">
        <f t="shared" ca="1" si="650"/>
        <v>0</v>
      </c>
      <c r="M1461" s="248" t="str">
        <f ca="1">IFERROR(INDEX('Ведомость расчета мин. платы'!$J$10:$AE$214,MATCH(CONCATENATE(РАСЧЕТ!B1453,"/",РАСЧЕТ!D1453,"/",РАСЧЕТ!E1453,"/",F1453,"/",H1461),'Ведомость расчета мин. платы'!$AE$10:$AE$214,0),6),"")</f>
        <v/>
      </c>
      <c r="N1461" s="214">
        <f t="shared" ca="1" si="651"/>
        <v>0</v>
      </c>
      <c r="O1461" s="229">
        <f t="shared" si="655"/>
        <v>1</v>
      </c>
      <c r="P1461" s="230">
        <f t="shared" si="649"/>
        <v>0</v>
      </c>
      <c r="AP1461" s="242"/>
      <c r="AQ1461" s="253"/>
    </row>
    <row r="1462" spans="2:43" x14ac:dyDescent="0.2">
      <c r="B1462" s="249"/>
      <c r="C1462" s="249"/>
      <c r="D1462" s="249"/>
      <c r="E1462" s="249"/>
      <c r="F1462" s="249"/>
      <c r="G1462" s="249"/>
      <c r="H1462" s="250" t="s">
        <v>475</v>
      </c>
      <c r="I1462" s="251" t="str">
        <f ca="1">IFERROR(ROUND(I1461*I1451,2),"")</f>
        <v/>
      </c>
      <c r="J1462" s="251" t="str">
        <f t="shared" ref="J1462" ca="1" si="666">IFERROR(ROUND(J1461*J1451,2),"")</f>
        <v/>
      </c>
      <c r="K1462" s="251" t="str">
        <f t="shared" ref="K1462" ca="1" si="667">IFERROR(ROUND(K1461*K1451,2),"")</f>
        <v/>
      </c>
      <c r="L1462" s="251">
        <f t="shared" ca="1" si="650"/>
        <v>0</v>
      </c>
      <c r="M1462" s="251" t="str">
        <f t="shared" ref="M1462" ca="1" si="668">IFERROR(ROUND(M1461*M1451,2),"")</f>
        <v/>
      </c>
      <c r="N1462" s="252">
        <f t="shared" ca="1" si="651"/>
        <v>0</v>
      </c>
      <c r="O1462" s="229" t="str">
        <f t="shared" si="655"/>
        <v/>
      </c>
      <c r="P1462" s="230">
        <f t="shared" si="649"/>
        <v>0</v>
      </c>
      <c r="AP1462" s="242">
        <f ca="1">SUMIFS('Ведомость расчета мин. платы'!$S$10:$S$209,'Ведомость расчета мин. платы'!$AE$10:$AE$209,CONCATENATE(B1453,"/",D1453,"/",E1453,"/",F1453,"/",H1461))</f>
        <v>0</v>
      </c>
      <c r="AQ1462" s="253">
        <f t="shared" ref="AQ1462" ca="1" si="669">AP1462-N1462</f>
        <v>0</v>
      </c>
    </row>
    <row r="1463" spans="2:43" x14ac:dyDescent="0.2">
      <c r="B1463" s="249"/>
      <c r="C1463" s="249"/>
      <c r="D1463" s="249"/>
      <c r="E1463" s="249"/>
      <c r="F1463" s="249"/>
      <c r="G1463" s="249"/>
      <c r="H1463" s="205" t="s">
        <v>18</v>
      </c>
      <c r="I1463" s="248">
        <f ca="1">IFERROR(INDEX('Ведомость расчета мин. платы'!$J$10:$AE$214,MATCH(CONCATENATE(РАСЧЕТ!B1453,"/",РАСЧЕТ!D1453,"/",РАСЧЕТ!E1453,"/",F1453,"/",H1463),'Ведомость расчета мин. платы'!$AE$10:$AE$214,0),2),"")</f>
        <v>154.97999999999999</v>
      </c>
      <c r="J1463" s="248">
        <f ca="1">IFERROR(INDEX('Ведомость расчета мин. платы'!$J$10:$AE$214,MATCH(CONCATENATE(РАСЧЕТ!B1453,"/",РАСЧЕТ!D1453,"/",РАСЧЕТ!E1453,"/",F1453,"/",H1463),'Ведомость расчета мин. платы'!$AE$10:$AE$214,0),3),"")</f>
        <v>58.56</v>
      </c>
      <c r="K1463" s="248">
        <f ca="1">IFERROR(INDEX('Ведомость расчета мин. платы'!$J$10:$AE$214,MATCH(CONCATENATE(РАСЧЕТ!B1453,"/",РАСЧЕТ!D1453,"/",РАСЧЕТ!E1453,"/",F1453,"/",H1463),'Ведомость расчета мин. платы'!$AE$10:$AE$214,0),4),"")</f>
        <v>4.08</v>
      </c>
      <c r="L1463" s="248">
        <f t="shared" ca="1" si="650"/>
        <v>217.62</v>
      </c>
      <c r="M1463" s="248">
        <f ca="1">IFERROR(INDEX('Ведомость расчета мин. платы'!$J$10:$AE$214,MATCH(CONCATENATE(РАСЧЕТ!B1453,"/",РАСЧЕТ!D1453,"/",РАСЧЕТ!E1453,"/",F1453,"/",H1463),'Ведомость расчета мин. платы'!$AE$10:$AE$214,0),6),"")</f>
        <v>263.26</v>
      </c>
      <c r="N1463" s="214">
        <f t="shared" ca="1" si="651"/>
        <v>480.88</v>
      </c>
      <c r="O1463" s="229">
        <f t="shared" si="655"/>
        <v>1</v>
      </c>
      <c r="P1463" s="230">
        <f t="shared" si="649"/>
        <v>0</v>
      </c>
      <c r="AP1463" s="242"/>
      <c r="AQ1463" s="253"/>
    </row>
    <row r="1464" spans="2:43" x14ac:dyDescent="0.2">
      <c r="B1464" s="249"/>
      <c r="C1464" s="249"/>
      <c r="D1464" s="249"/>
      <c r="E1464" s="249"/>
      <c r="F1464" s="249"/>
      <c r="G1464" s="249"/>
      <c r="H1464" s="250" t="s">
        <v>475</v>
      </c>
      <c r="I1464" s="251">
        <f ca="1">IFERROR(ROUND(I1463*I1452,2),"")</f>
        <v>3538.19</v>
      </c>
      <c r="J1464" s="251">
        <f t="shared" ref="J1464" ca="1" si="670">IFERROR(ROUND(J1463*J1452,2),"")</f>
        <v>1019.53</v>
      </c>
      <c r="K1464" s="251">
        <f t="shared" ref="K1464" ca="1" si="671">IFERROR(ROUND(K1463*K1452,2),"")</f>
        <v>36.11</v>
      </c>
      <c r="L1464" s="251">
        <f t="shared" ca="1" si="650"/>
        <v>4593.83</v>
      </c>
      <c r="M1464" s="251">
        <f t="shared" ref="M1464" ca="1" si="672">IFERROR(ROUND(M1463*M1452,2),"")</f>
        <v>150.06</v>
      </c>
      <c r="N1464" s="252">
        <f t="shared" ca="1" si="651"/>
        <v>4743.8900000000003</v>
      </c>
      <c r="O1464" s="229" t="str">
        <f t="shared" si="655"/>
        <v/>
      </c>
      <c r="P1464" s="230">
        <f t="shared" si="649"/>
        <v>0</v>
      </c>
      <c r="AP1464" s="242">
        <f ca="1">SUMIFS('Ведомость расчета мин. платы'!$S$10:$S$209,'Ведомость расчета мин. платы'!$AE$10:$AE$209,CONCATENATE(B1453,"/",D1453,"/",E1453,"/",F1453,"/",H1463))</f>
        <v>4743.8900000000003</v>
      </c>
      <c r="AQ1464" s="253">
        <f t="shared" ref="AQ1464" ca="1" si="673">AP1464-N1464</f>
        <v>0</v>
      </c>
    </row>
    <row r="1465" spans="2:43" x14ac:dyDescent="0.2">
      <c r="B1465" s="249"/>
      <c r="C1465" s="249"/>
      <c r="D1465" s="249"/>
      <c r="E1465" s="249"/>
      <c r="F1465" s="249"/>
      <c r="G1465" s="249"/>
      <c r="H1465" s="254" t="s">
        <v>476</v>
      </c>
      <c r="I1465" s="251">
        <f ca="1">SUMIF($O1453:$O1466,1,I1453:I1464)</f>
        <v>156.63</v>
      </c>
      <c r="J1465" s="251">
        <f ca="1">SUMIF($O1453:$O1466,1,J1453:J1464)</f>
        <v>77.760000000000005</v>
      </c>
      <c r="K1465" s="251">
        <f ca="1">SUMIF($O1453:$O1466,1,K1453:K1464)</f>
        <v>12.09</v>
      </c>
      <c r="L1465" s="251">
        <f t="shared" ca="1" si="650"/>
        <v>246.48</v>
      </c>
      <c r="M1465" s="251">
        <f ca="1">SUMIF($O1453:$O1466,1,M1453:M1464)</f>
        <v>293.08</v>
      </c>
      <c r="N1465" s="252">
        <f t="shared" ca="1" si="651"/>
        <v>539.55999999999995</v>
      </c>
      <c r="AP1465" s="242"/>
      <c r="AQ1465" s="253"/>
    </row>
    <row r="1466" spans="2:43" x14ac:dyDescent="0.2">
      <c r="B1466" s="249"/>
      <c r="C1466" s="249"/>
      <c r="D1466" s="249"/>
      <c r="E1466" s="249"/>
      <c r="F1466" s="249"/>
      <c r="G1466" s="249"/>
      <c r="H1466" s="254" t="s">
        <v>491</v>
      </c>
      <c r="I1466" s="251">
        <f ca="1">SUMIF(H1453:H1464,"стоимость",I1453:I1464)</f>
        <v>3736.44</v>
      </c>
      <c r="J1466" s="251">
        <f ca="1">SUMIF(H1453:H1464,"стоимость",J1453:J1464)</f>
        <v>3130.8999999999996</v>
      </c>
      <c r="K1466" s="251">
        <f ca="1">SUMIF(H1453:H1464,"стоимость",K1453:K1464)</f>
        <v>735.99</v>
      </c>
      <c r="L1466" s="251">
        <f ca="1">IFERROR(SUM(I1466:K1466),"")</f>
        <v>7603.33</v>
      </c>
      <c r="M1466" s="251">
        <f ca="1">SUMIF(H1453:H1464,"стоимость",M1453:M1464)</f>
        <v>417.26</v>
      </c>
      <c r="N1466" s="252">
        <f ca="1">IFERROR(SUM(L1466:M1466),"")</f>
        <v>8020.59</v>
      </c>
      <c r="AP1466" s="242">
        <f ca="1">SUMIFS('Ведомость расчета мин. платы'!$S$10:$S$209,'Ведомость расчета мин. платы'!$J$10:$J$209,"Итого",'Ведомость расчета мин. платы'!$AC$10:$AC$209,CONCATENATE(B1453,"/",D1453,"/",E1453,"/",F1453))</f>
        <v>8020.59</v>
      </c>
      <c r="AQ1466" s="253">
        <f ca="1">AP1466-N1466</f>
        <v>0</v>
      </c>
    </row>
    <row r="1467" spans="2:43" x14ac:dyDescent="0.2">
      <c r="B1467" s="255"/>
      <c r="C1467" s="255"/>
      <c r="D1467" s="255"/>
      <c r="E1467" s="255"/>
      <c r="F1467" s="255"/>
      <c r="G1467" s="256"/>
      <c r="H1467" s="257"/>
      <c r="I1467" s="258"/>
      <c r="J1467" s="258"/>
      <c r="K1467" s="258"/>
      <c r="L1467" s="258"/>
      <c r="M1467" s="258"/>
      <c r="N1467" s="258"/>
      <c r="P1467" s="230">
        <f t="shared" ref="P1467:P1485" si="674">IF(A1467&gt;0,1,0)</f>
        <v>0</v>
      </c>
    </row>
    <row r="1468" spans="2:43" x14ac:dyDescent="0.2">
      <c r="B1468" s="282" t="s">
        <v>477</v>
      </c>
      <c r="C1468" s="282"/>
      <c r="D1468" s="282"/>
      <c r="E1468" s="282"/>
      <c r="F1468" s="259"/>
      <c r="G1468" s="225"/>
      <c r="H1468" s="201"/>
      <c r="I1468" s="226"/>
      <c r="J1468" s="258"/>
      <c r="K1468" s="258"/>
      <c r="L1468" s="258"/>
      <c r="M1468" s="258"/>
      <c r="N1468" s="258"/>
      <c r="P1468" s="230">
        <f t="shared" si="674"/>
        <v>0</v>
      </c>
    </row>
    <row r="1469" spans="2:43" x14ac:dyDescent="0.2">
      <c r="B1469" s="283" t="s">
        <v>525</v>
      </c>
      <c r="C1469" s="283"/>
      <c r="D1469" s="283"/>
      <c r="E1469" s="283"/>
      <c r="F1469" s="283"/>
      <c r="G1469" s="283"/>
      <c r="H1469" s="283"/>
      <c r="I1469" s="283"/>
      <c r="J1469" s="261"/>
      <c r="K1469" s="261"/>
      <c r="L1469" s="261"/>
      <c r="M1469" s="261"/>
      <c r="N1469" s="261"/>
      <c r="P1469" s="230">
        <f t="shared" si="674"/>
        <v>0</v>
      </c>
    </row>
    <row r="1470" spans="2:43" x14ac:dyDescent="0.2">
      <c r="B1470" s="284" t="s">
        <v>478</v>
      </c>
      <c r="C1470" s="284"/>
      <c r="D1470" s="284"/>
      <c r="E1470" s="284"/>
      <c r="F1470" s="284"/>
      <c r="G1470" s="284"/>
      <c r="H1470" s="284"/>
      <c r="I1470" s="284"/>
      <c r="J1470" s="258"/>
      <c r="K1470" s="258"/>
      <c r="L1470" s="258"/>
      <c r="M1470" s="258"/>
      <c r="N1470" s="258"/>
      <c r="P1470" s="230">
        <f t="shared" si="674"/>
        <v>0</v>
      </c>
    </row>
    <row r="1471" spans="2:43" x14ac:dyDescent="0.2">
      <c r="B1471" s="284" t="s">
        <v>479</v>
      </c>
      <c r="C1471" s="284"/>
      <c r="D1471" s="284"/>
      <c r="E1471" s="284"/>
      <c r="F1471" s="284"/>
      <c r="G1471" s="284"/>
      <c r="H1471" s="284"/>
      <c r="I1471" s="284"/>
      <c r="J1471" s="258"/>
      <c r="K1471" s="258"/>
      <c r="L1471" s="258"/>
      <c r="M1471" s="258"/>
      <c r="N1471" s="258"/>
      <c r="P1471" s="230">
        <f t="shared" si="674"/>
        <v>0</v>
      </c>
    </row>
    <row r="1472" spans="2:43" x14ac:dyDescent="0.2">
      <c r="B1472" s="284" t="s">
        <v>480</v>
      </c>
      <c r="C1472" s="284"/>
      <c r="D1472" s="284"/>
      <c r="E1472" s="284"/>
      <c r="F1472" s="284"/>
      <c r="G1472" s="284"/>
      <c r="H1472" s="284"/>
      <c r="I1472" s="284"/>
      <c r="J1472" s="258"/>
      <c r="K1472" s="258"/>
      <c r="L1472" s="258"/>
      <c r="M1472" s="258"/>
      <c r="N1472" s="258"/>
      <c r="P1472" s="230">
        <f t="shared" si="674"/>
        <v>0</v>
      </c>
    </row>
    <row r="1473" spans="1:16" x14ac:dyDescent="0.2">
      <c r="B1473" s="284" t="s">
        <v>481</v>
      </c>
      <c r="C1473" s="284"/>
      <c r="D1473" s="284"/>
      <c r="E1473" s="284"/>
      <c r="F1473" s="284"/>
      <c r="G1473" s="284"/>
      <c r="H1473" s="284"/>
      <c r="I1473" s="284"/>
      <c r="J1473" s="226"/>
      <c r="K1473" s="226"/>
      <c r="L1473" s="226"/>
      <c r="M1473" s="226"/>
      <c r="N1473" s="226"/>
      <c r="P1473" s="230">
        <f t="shared" si="674"/>
        <v>0</v>
      </c>
    </row>
    <row r="1474" spans="1:16" x14ac:dyDescent="0.2">
      <c r="B1474" s="284" t="s">
        <v>482</v>
      </c>
      <c r="C1474" s="284"/>
      <c r="D1474" s="284"/>
      <c r="E1474" s="284"/>
      <c r="F1474" s="284"/>
      <c r="G1474" s="284"/>
      <c r="H1474" s="284"/>
      <c r="I1474" s="284"/>
      <c r="J1474" s="226"/>
      <c r="K1474" s="226"/>
      <c r="L1474" s="226"/>
      <c r="M1474" s="226"/>
      <c r="N1474" s="226"/>
      <c r="P1474" s="230">
        <f t="shared" si="674"/>
        <v>0</v>
      </c>
    </row>
    <row r="1475" spans="1:16" x14ac:dyDescent="0.2">
      <c r="B1475" s="284" t="s">
        <v>483</v>
      </c>
      <c r="C1475" s="284"/>
      <c r="D1475" s="284"/>
      <c r="E1475" s="284"/>
      <c r="F1475" s="284"/>
      <c r="G1475" s="284"/>
      <c r="H1475" s="284"/>
      <c r="I1475" s="284"/>
      <c r="J1475" s="226"/>
      <c r="K1475" s="226"/>
      <c r="L1475" s="226"/>
      <c r="M1475" s="226"/>
      <c r="N1475" s="226"/>
      <c r="P1475" s="230">
        <f t="shared" si="674"/>
        <v>0</v>
      </c>
    </row>
    <row r="1476" spans="1:16" x14ac:dyDescent="0.2">
      <c r="B1476" s="284" t="s">
        <v>484</v>
      </c>
      <c r="C1476" s="284"/>
      <c r="D1476" s="284"/>
      <c r="E1476" s="284"/>
      <c r="F1476" s="284"/>
      <c r="G1476" s="284"/>
      <c r="H1476" s="284"/>
      <c r="I1476" s="284"/>
      <c r="J1476" s="226"/>
      <c r="K1476" s="226"/>
      <c r="L1476" s="226"/>
      <c r="M1476" s="226"/>
      <c r="N1476" s="226"/>
      <c r="P1476" s="230">
        <f t="shared" si="674"/>
        <v>0</v>
      </c>
    </row>
    <row r="1477" spans="1:16" x14ac:dyDescent="0.2">
      <c r="B1477" s="264"/>
      <c r="C1477" s="264"/>
      <c r="D1477" s="264"/>
      <c r="E1477" s="264"/>
      <c r="F1477" s="264"/>
      <c r="G1477" s="264"/>
      <c r="H1477" s="264"/>
      <c r="I1477" s="265"/>
      <c r="J1477" s="226"/>
      <c r="K1477" s="226"/>
      <c r="L1477" s="226"/>
      <c r="M1477" s="226"/>
      <c r="N1477" s="226"/>
      <c r="P1477" s="230">
        <f t="shared" si="674"/>
        <v>0</v>
      </c>
    </row>
    <row r="1478" spans="1:16" x14ac:dyDescent="0.2">
      <c r="B1478" s="225" t="s">
        <v>485</v>
      </c>
      <c r="C1478" s="225"/>
      <c r="D1478" s="225"/>
      <c r="E1478" s="225"/>
      <c r="F1478" s="225"/>
      <c r="G1478" s="225"/>
      <c r="H1478" s="201"/>
      <c r="I1478" s="226"/>
      <c r="J1478" s="226" t="s">
        <v>486</v>
      </c>
      <c r="K1478" s="226"/>
      <c r="L1478" s="226"/>
      <c r="M1478" s="226"/>
      <c r="N1478" s="226"/>
      <c r="P1478" s="230">
        <f t="shared" si="674"/>
        <v>0</v>
      </c>
    </row>
    <row r="1479" spans="1:16" x14ac:dyDescent="0.2">
      <c r="B1479" s="266" t="s">
        <v>524</v>
      </c>
      <c r="C1479" s="266"/>
      <c r="D1479" s="225"/>
      <c r="E1479" s="225"/>
      <c r="F1479" s="225"/>
      <c r="G1479" s="225"/>
      <c r="H1479" s="201"/>
      <c r="I1479" s="226"/>
      <c r="J1479" s="267"/>
      <c r="K1479" s="267"/>
      <c r="L1479" s="267"/>
      <c r="M1479" s="226"/>
      <c r="N1479" s="226"/>
      <c r="P1479" s="230">
        <f t="shared" si="674"/>
        <v>0</v>
      </c>
    </row>
    <row r="1480" spans="1:16" x14ac:dyDescent="0.2">
      <c r="B1480" s="268" t="s">
        <v>487</v>
      </c>
      <c r="C1480" s="225"/>
      <c r="D1480" s="225"/>
      <c r="E1480" s="225"/>
      <c r="F1480" s="225"/>
      <c r="G1480" s="225"/>
      <c r="H1480" s="201"/>
      <c r="I1480" s="226"/>
      <c r="J1480" s="226" t="s">
        <v>487</v>
      </c>
      <c r="K1480" s="226"/>
      <c r="L1480" s="226"/>
      <c r="M1480" s="226"/>
      <c r="N1480" s="226"/>
      <c r="P1480" s="230">
        <f t="shared" si="674"/>
        <v>0</v>
      </c>
    </row>
    <row r="1481" spans="1:16" x14ac:dyDescent="0.2">
      <c r="B1481" s="225"/>
      <c r="C1481" s="225"/>
      <c r="D1481" s="225"/>
      <c r="E1481" s="225"/>
      <c r="F1481" s="225"/>
      <c r="G1481" s="225"/>
      <c r="H1481" s="201"/>
      <c r="I1481" s="226"/>
      <c r="J1481" s="226"/>
      <c r="K1481" s="226"/>
      <c r="L1481" s="226"/>
      <c r="M1481" s="226"/>
      <c r="N1481" s="226"/>
      <c r="P1481" s="230">
        <f t="shared" si="674"/>
        <v>0</v>
      </c>
    </row>
    <row r="1482" spans="1:16" x14ac:dyDescent="0.2">
      <c r="B1482" s="266"/>
      <c r="C1482" s="266"/>
      <c r="D1482" s="225"/>
      <c r="E1482" s="225"/>
      <c r="F1482" s="225"/>
      <c r="G1482" s="225"/>
      <c r="H1482" s="201"/>
      <c r="I1482" s="226"/>
      <c r="J1482" s="267"/>
      <c r="K1482" s="267"/>
      <c r="L1482" s="267"/>
      <c r="M1482" s="226"/>
      <c r="N1482" s="226"/>
      <c r="P1482" s="230">
        <f t="shared" si="674"/>
        <v>0</v>
      </c>
    </row>
    <row r="1483" spans="1:16" x14ac:dyDescent="0.2">
      <c r="B1483" s="269" t="s">
        <v>488</v>
      </c>
      <c r="C1483" s="225"/>
      <c r="D1483" s="225"/>
      <c r="E1483" s="225"/>
      <c r="F1483" s="225"/>
      <c r="G1483" s="225"/>
      <c r="H1483" s="201"/>
      <c r="I1483" s="226"/>
      <c r="J1483" s="285" t="s">
        <v>488</v>
      </c>
      <c r="K1483" s="285"/>
      <c r="L1483" s="285"/>
      <c r="M1483" s="226"/>
      <c r="N1483" s="226"/>
      <c r="P1483" s="230">
        <f t="shared" si="674"/>
        <v>0</v>
      </c>
    </row>
    <row r="1484" spans="1:16" x14ac:dyDescent="0.2">
      <c r="B1484" s="225"/>
      <c r="C1484" s="225"/>
      <c r="D1484" s="225"/>
      <c r="E1484" s="225"/>
      <c r="F1484" s="225"/>
      <c r="G1484" s="225"/>
      <c r="H1484" s="201"/>
      <c r="I1484" s="226"/>
      <c r="J1484" s="226"/>
      <c r="K1484" s="226"/>
      <c r="L1484" s="226"/>
      <c r="M1484" s="226"/>
      <c r="N1484" s="226"/>
      <c r="P1484" s="230">
        <f t="shared" si="674"/>
        <v>0</v>
      </c>
    </row>
    <row r="1485" spans="1:16" x14ac:dyDescent="0.2">
      <c r="B1485" s="264" t="s">
        <v>489</v>
      </c>
      <c r="C1485" s="225"/>
      <c r="D1485" s="225"/>
      <c r="E1485" s="225"/>
      <c r="F1485" s="225"/>
      <c r="G1485" s="225"/>
      <c r="H1485" s="201"/>
      <c r="I1485" s="226"/>
      <c r="J1485" s="226" t="s">
        <v>489</v>
      </c>
      <c r="K1485" s="226"/>
      <c r="L1485" s="226"/>
      <c r="M1485" s="226"/>
      <c r="N1485" s="226"/>
      <c r="P1485" s="230">
        <f t="shared" si="674"/>
        <v>0</v>
      </c>
    </row>
    <row r="1486" spans="1:16" x14ac:dyDescent="0.2">
      <c r="A1486" s="272"/>
      <c r="B1486" s="225"/>
      <c r="C1486" s="225"/>
      <c r="D1486" s="225"/>
      <c r="E1486" s="225"/>
      <c r="F1486" s="225"/>
      <c r="G1486" s="225"/>
      <c r="H1486" s="201"/>
      <c r="I1486" s="226"/>
      <c r="J1486" s="226"/>
      <c r="K1486" s="226"/>
      <c r="M1486" s="226"/>
      <c r="N1486" s="228"/>
    </row>
    <row r="1487" spans="1:16" x14ac:dyDescent="0.2">
      <c r="A1487" s="260"/>
      <c r="B1487" s="225"/>
      <c r="C1487" s="225"/>
      <c r="D1487" s="225"/>
      <c r="E1487" s="225"/>
      <c r="F1487" s="225"/>
      <c r="G1487" s="225"/>
      <c r="H1487" s="201"/>
      <c r="I1487" s="226"/>
      <c r="J1487" s="226"/>
      <c r="K1487" s="226"/>
      <c r="M1487" s="226"/>
      <c r="N1487" s="228" t="s">
        <v>455</v>
      </c>
      <c r="P1487" s="230">
        <f t="shared" ref="P1487:P1504" si="675">IF(A1487&gt;0,1,0)</f>
        <v>0</v>
      </c>
    </row>
    <row r="1488" spans="1:16" x14ac:dyDescent="0.2">
      <c r="B1488" s="225"/>
      <c r="C1488" s="225"/>
      <c r="D1488" s="225"/>
      <c r="E1488" s="225"/>
      <c r="F1488" s="225"/>
      <c r="G1488" s="225"/>
      <c r="H1488" s="201"/>
      <c r="I1488" s="226"/>
      <c r="J1488" s="226"/>
      <c r="K1488" s="226"/>
      <c r="M1488" s="226"/>
      <c r="N1488" s="228" t="s">
        <v>456</v>
      </c>
      <c r="P1488" s="230">
        <f t="shared" si="675"/>
        <v>0</v>
      </c>
    </row>
    <row r="1489" spans="1:18" x14ac:dyDescent="0.2">
      <c r="B1489" s="225"/>
      <c r="C1489" s="225"/>
      <c r="D1489" s="225"/>
      <c r="E1489" s="225"/>
      <c r="F1489" s="225"/>
      <c r="G1489" s="225"/>
      <c r="H1489" s="201"/>
      <c r="I1489" s="226"/>
      <c r="J1489" s="226"/>
      <c r="K1489" s="226"/>
      <c r="M1489" s="226"/>
      <c r="N1489" s="228" t="s">
        <v>457</v>
      </c>
      <c r="P1489" s="230">
        <f t="shared" si="675"/>
        <v>0</v>
      </c>
    </row>
    <row r="1490" spans="1:18" x14ac:dyDescent="0.2">
      <c r="B1490" s="225"/>
      <c r="C1490" s="225"/>
      <c r="D1490" s="225"/>
      <c r="E1490" s="225"/>
      <c r="F1490" s="225"/>
      <c r="G1490" s="225"/>
      <c r="H1490" s="201"/>
      <c r="I1490" s="226"/>
      <c r="J1490" s="226"/>
      <c r="K1490" s="226"/>
      <c r="L1490" s="226"/>
      <c r="M1490" s="226"/>
      <c r="N1490" s="226"/>
      <c r="P1490" s="230">
        <f t="shared" si="675"/>
        <v>0</v>
      </c>
    </row>
    <row r="1491" spans="1:18" x14ac:dyDescent="0.2">
      <c r="B1491" s="225"/>
      <c r="C1491" s="286" t="s">
        <v>458</v>
      </c>
      <c r="D1491" s="286"/>
      <c r="E1491" s="286"/>
      <c r="F1491" s="286"/>
      <c r="G1491" s="286"/>
      <c r="H1491" s="286"/>
      <c r="I1491" s="286"/>
      <c r="J1491" s="286"/>
      <c r="K1491" s="286"/>
      <c r="L1491" s="286"/>
      <c r="M1491" s="226"/>
      <c r="N1491" s="226"/>
      <c r="P1491" s="230">
        <f t="shared" si="675"/>
        <v>0</v>
      </c>
    </row>
    <row r="1492" spans="1:18" x14ac:dyDescent="0.2">
      <c r="B1492" s="225"/>
      <c r="C1492" s="286" t="s">
        <v>459</v>
      </c>
      <c r="D1492" s="286"/>
      <c r="E1492" s="286"/>
      <c r="F1492" s="286"/>
      <c r="G1492" s="286"/>
      <c r="H1492" s="286"/>
      <c r="I1492" s="286"/>
      <c r="J1492" s="286"/>
      <c r="K1492" s="286"/>
      <c r="L1492" s="286"/>
      <c r="M1492" s="226"/>
      <c r="N1492" s="226"/>
      <c r="P1492" s="230">
        <f t="shared" si="675"/>
        <v>0</v>
      </c>
    </row>
    <row r="1493" spans="1:18" x14ac:dyDescent="0.2">
      <c r="B1493" s="225" t="s">
        <v>460</v>
      </c>
      <c r="C1493" s="234"/>
      <c r="D1493" s="234"/>
      <c r="E1493" s="234"/>
      <c r="F1493" s="234"/>
      <c r="G1493" s="234"/>
      <c r="H1493" s="234"/>
      <c r="I1493" s="235"/>
      <c r="J1493" s="235"/>
      <c r="K1493" s="235"/>
      <c r="L1493" s="287" t="s">
        <v>461</v>
      </c>
      <c r="M1493" s="287"/>
      <c r="N1493" s="287"/>
      <c r="P1493" s="230">
        <f t="shared" si="675"/>
        <v>0</v>
      </c>
    </row>
    <row r="1494" spans="1:18" x14ac:dyDescent="0.2">
      <c r="B1494" s="225"/>
      <c r="C1494" s="234"/>
      <c r="D1494" s="234"/>
      <c r="E1494" s="234"/>
      <c r="F1494" s="234"/>
      <c r="G1494" s="234"/>
      <c r="H1494" s="234"/>
      <c r="I1494" s="235"/>
      <c r="J1494" s="235"/>
      <c r="K1494" s="235"/>
      <c r="L1494" s="235"/>
      <c r="M1494" s="235"/>
      <c r="N1494" s="235"/>
      <c r="P1494" s="230">
        <f t="shared" si="675"/>
        <v>0</v>
      </c>
    </row>
    <row r="1495" spans="1:18" x14ac:dyDescent="0.2">
      <c r="B1495" s="225" t="s">
        <v>2038</v>
      </c>
      <c r="C1495" s="234"/>
      <c r="D1495" s="234"/>
      <c r="E1495" s="234"/>
      <c r="F1495" s="234"/>
      <c r="G1495" s="234"/>
      <c r="H1495" s="234"/>
      <c r="I1495" s="235"/>
      <c r="J1495" s="235"/>
      <c r="K1495" s="235"/>
      <c r="L1495" s="235"/>
      <c r="M1495" s="235"/>
      <c r="N1495" s="235"/>
      <c r="P1495" s="230">
        <f t="shared" si="675"/>
        <v>0</v>
      </c>
    </row>
    <row r="1496" spans="1:18" x14ac:dyDescent="0.2">
      <c r="B1496" s="225" t="s">
        <v>462</v>
      </c>
      <c r="C1496" s="234"/>
      <c r="D1496" s="234"/>
      <c r="E1496" s="234"/>
      <c r="F1496" s="234"/>
      <c r="G1496" s="234"/>
      <c r="H1496" s="234"/>
      <c r="I1496" s="235"/>
      <c r="J1496" s="235"/>
      <c r="K1496" s="235"/>
      <c r="L1496" s="235"/>
      <c r="M1496" s="235"/>
      <c r="N1496" s="235"/>
      <c r="P1496" s="230">
        <f t="shared" si="675"/>
        <v>0</v>
      </c>
    </row>
    <row r="1497" spans="1:18" x14ac:dyDescent="0.2">
      <c r="B1497" s="225" t="s">
        <v>2037</v>
      </c>
      <c r="C1497" s="234"/>
      <c r="D1497" s="234"/>
      <c r="E1497" s="234"/>
      <c r="F1497" s="234"/>
      <c r="G1497" s="234"/>
      <c r="H1497" s="234"/>
      <c r="I1497" s="235"/>
      <c r="J1497" s="235"/>
      <c r="K1497" s="235"/>
      <c r="L1497" s="235"/>
      <c r="M1497" s="235"/>
      <c r="N1497" s="235"/>
      <c r="P1497" s="230">
        <f t="shared" si="675"/>
        <v>0</v>
      </c>
    </row>
    <row r="1498" spans="1:18" x14ac:dyDescent="0.2">
      <c r="B1498" s="225" t="s">
        <v>2052</v>
      </c>
      <c r="C1498" s="234"/>
      <c r="D1498" s="234"/>
      <c r="E1498" s="234"/>
      <c r="F1498" s="234"/>
      <c r="G1498" s="234"/>
      <c r="H1498" s="234"/>
      <c r="I1498" s="235"/>
      <c r="J1498" s="235"/>
      <c r="K1498" s="235"/>
      <c r="L1498" s="235"/>
      <c r="M1498" s="235"/>
      <c r="N1498" s="235"/>
      <c r="P1498" s="230">
        <f t="shared" si="675"/>
        <v>0</v>
      </c>
    </row>
    <row r="1499" spans="1:18" x14ac:dyDescent="0.2">
      <c r="B1499" s="225"/>
      <c r="C1499" s="225"/>
      <c r="D1499" s="225"/>
      <c r="E1499" s="225"/>
      <c r="F1499" s="225"/>
      <c r="G1499" s="225"/>
      <c r="H1499" s="201"/>
      <c r="I1499" s="226"/>
      <c r="J1499" s="226"/>
      <c r="K1499" s="226"/>
      <c r="L1499" s="226"/>
      <c r="M1499" s="226"/>
      <c r="N1499" s="226"/>
      <c r="P1499" s="230">
        <f t="shared" si="675"/>
        <v>0</v>
      </c>
    </row>
    <row r="1500" spans="1:18" x14ac:dyDescent="0.2">
      <c r="B1500" s="288" t="s">
        <v>106</v>
      </c>
      <c r="C1500" s="290" t="s">
        <v>463</v>
      </c>
      <c r="D1500" s="288" t="s">
        <v>464</v>
      </c>
      <c r="E1500" s="288" t="s">
        <v>465</v>
      </c>
      <c r="F1500" s="288" t="s">
        <v>490</v>
      </c>
      <c r="G1500" s="288" t="s">
        <v>466</v>
      </c>
      <c r="H1500" s="292" t="s">
        <v>8</v>
      </c>
      <c r="I1500" s="294" t="s">
        <v>467</v>
      </c>
      <c r="J1500" s="295"/>
      <c r="K1500" s="295"/>
      <c r="L1500" s="296"/>
      <c r="M1500" s="297" t="s">
        <v>468</v>
      </c>
      <c r="N1500" s="299" t="s">
        <v>469</v>
      </c>
      <c r="P1500" s="230">
        <f t="shared" si="675"/>
        <v>0</v>
      </c>
    </row>
    <row r="1501" spans="1:18" x14ac:dyDescent="0.2">
      <c r="B1501" s="289"/>
      <c r="C1501" s="291"/>
      <c r="D1501" s="289"/>
      <c r="E1501" s="289"/>
      <c r="F1501" s="289"/>
      <c r="G1501" s="289"/>
      <c r="H1501" s="293"/>
      <c r="I1501" s="236" t="s">
        <v>470</v>
      </c>
      <c r="J1501" s="236" t="s">
        <v>471</v>
      </c>
      <c r="K1501" s="236" t="s">
        <v>472</v>
      </c>
      <c r="L1501" s="236" t="s">
        <v>473</v>
      </c>
      <c r="M1501" s="298"/>
      <c r="N1501" s="300"/>
      <c r="P1501" s="230">
        <f t="shared" si="675"/>
        <v>0</v>
      </c>
    </row>
    <row r="1502" spans="1:18" x14ac:dyDescent="0.2">
      <c r="A1502" s="224" t="str">
        <f>CONCATENATE("Лот"," ",A1503)</f>
        <v>Лот 28</v>
      </c>
      <c r="B1502" s="273" t="s">
        <v>2087</v>
      </c>
      <c r="C1502" s="274"/>
      <c r="D1502" s="274"/>
      <c r="E1502" s="274"/>
      <c r="F1502" s="274"/>
      <c r="G1502" s="275"/>
      <c r="H1502" s="238" t="s">
        <v>17</v>
      </c>
      <c r="I1502" s="270">
        <f ca="1">ROUND(VLOOKUP($H1502,$AJ$4:$AN$13,2,0)*$Q1504*1.51,2)</f>
        <v>114.43</v>
      </c>
      <c r="J1502" s="270">
        <f ca="1">ROUND(VLOOKUP($H1502,$AJ$4:$AN$13,3,0)*$Q1504*1.51,2)</f>
        <v>81.540000000000006</v>
      </c>
      <c r="K1502" s="270">
        <f ca="1">ROUND(VLOOKUP($H1502,$AJ$4:$AN$13,4,0)*$Q1504*1.51,2)</f>
        <v>41.31</v>
      </c>
      <c r="L1502" s="270"/>
      <c r="M1502" s="270">
        <f ca="1">ROUND(VLOOKUP($H1502,$AJ$4:$AN$13,5,0)*$Q1504*1.51,2)</f>
        <v>6.52</v>
      </c>
      <c r="N1502" s="270"/>
      <c r="P1502" s="230">
        <f t="shared" si="675"/>
        <v>1</v>
      </c>
    </row>
    <row r="1503" spans="1:18" x14ac:dyDescent="0.2">
      <c r="A1503" s="224">
        <f>A1448+1</f>
        <v>28</v>
      </c>
      <c r="B1503" s="276"/>
      <c r="C1503" s="277"/>
      <c r="D1503" s="277"/>
      <c r="E1503" s="277"/>
      <c r="F1503" s="277"/>
      <c r="G1503" s="278"/>
      <c r="H1503" s="238" t="s">
        <v>25</v>
      </c>
      <c r="I1503" s="270">
        <f ca="1">ROUND(VLOOKUP($H1503,$AJ$4:$AN$13,2,0)*$Q1504*1.51,2)</f>
        <v>855.9</v>
      </c>
      <c r="J1503" s="270">
        <f ca="1">ROUND(VLOOKUP($H1503,$AJ$4:$AN$13,3,0)*$Q1504*1.51,2)</f>
        <v>611.54999999999995</v>
      </c>
      <c r="K1503" s="270">
        <f ca="1">ROUND(VLOOKUP($H1503,$AJ$4:$AN$13,4,0)*$Q1504*1.51,2)</f>
        <v>307.68</v>
      </c>
      <c r="L1503" s="270"/>
      <c r="M1503" s="270">
        <f ca="1">ROUND(VLOOKUP($H1503,$AJ$4:$AN$13,5,0)*$Q1504*1.51,2)</f>
        <v>26.64</v>
      </c>
      <c r="N1503" s="270"/>
      <c r="P1503" s="230">
        <f t="shared" si="675"/>
        <v>1</v>
      </c>
      <c r="Q1503" s="240" t="s">
        <v>2045</v>
      </c>
      <c r="R1503" s="240" t="s">
        <v>2046</v>
      </c>
    </row>
    <row r="1504" spans="1:18" x14ac:dyDescent="0.2">
      <c r="B1504" s="276"/>
      <c r="C1504" s="277"/>
      <c r="D1504" s="277"/>
      <c r="E1504" s="277"/>
      <c r="F1504" s="277"/>
      <c r="G1504" s="278"/>
      <c r="H1504" s="238" t="s">
        <v>19</v>
      </c>
      <c r="I1504" s="270">
        <f ca="1">ROUND(VLOOKUP($H1504,$AJ$4:$AN$13,2,0)*$Q1504*1.51,2)</f>
        <v>67.95</v>
      </c>
      <c r="J1504" s="270">
        <f ca="1">ROUND(VLOOKUP($H1504,$AJ$4:$AN$13,3,0)*$Q1504*1.51,2)</f>
        <v>49.47</v>
      </c>
      <c r="K1504" s="270">
        <f ca="1">ROUND(VLOOKUP($H1504,$AJ$4:$AN$13,4,0)*$Q1504*1.51,2)</f>
        <v>25.28</v>
      </c>
      <c r="L1504" s="270"/>
      <c r="M1504" s="270">
        <f ca="1">ROUND(VLOOKUP($H1504,$AJ$4:$AN$13,5,0)*$Q1504*1.51,2)</f>
        <v>1.36</v>
      </c>
      <c r="N1504" s="270"/>
      <c r="P1504" s="230">
        <f t="shared" si="675"/>
        <v>0</v>
      </c>
      <c r="Q1504" s="123">
        <f ca="1">IFERROR(IF(R1504="","",IF(OR(R1504&lt;100,R1504=100),0.9,IF(OR(AND(R1504&gt;100,R1504&lt;150),R1504=150),1,IF(R1504&gt;150,1.05,"")))),"0")</f>
        <v>1</v>
      </c>
      <c r="R1504" s="123">
        <f ca="1">N1520/G1508</f>
        <v>146.5108108108108</v>
      </c>
    </row>
    <row r="1505" spans="1:43" x14ac:dyDescent="0.2">
      <c r="B1505" s="276"/>
      <c r="C1505" s="277"/>
      <c r="D1505" s="277"/>
      <c r="E1505" s="277"/>
      <c r="F1505" s="277"/>
      <c r="G1505" s="278"/>
      <c r="H1505" s="238" t="s">
        <v>268</v>
      </c>
      <c r="I1505" s="270">
        <f ca="1">ROUND(VLOOKUP($H1505,$AJ$4:$AN$13,2,0)*$Q1504*1.51,2)</f>
        <v>855.9</v>
      </c>
      <c r="J1505" s="270">
        <f ca="1">ROUND(VLOOKUP($H1505,$AJ$4:$AN$13,3,0)*$Q1504*1.51,2)</f>
        <v>611.54999999999995</v>
      </c>
      <c r="K1505" s="270">
        <f ca="1">ROUND(VLOOKUP($H1505,$AJ$4:$AN$13,4,0)*$Q1504*1.51,2)</f>
        <v>307.68</v>
      </c>
      <c r="L1505" s="270"/>
      <c r="M1505" s="270">
        <f ca="1">ROUND(VLOOKUP($H1505,$AJ$4:$AN$13,5,0)*$Q1504*1.51,2)</f>
        <v>26.64</v>
      </c>
      <c r="N1505" s="270"/>
    </row>
    <row r="1506" spans="1:43" x14ac:dyDescent="0.2">
      <c r="B1506" s="276"/>
      <c r="C1506" s="277"/>
      <c r="D1506" s="277"/>
      <c r="E1506" s="277"/>
      <c r="F1506" s="277"/>
      <c r="G1506" s="278"/>
      <c r="H1506" s="238" t="s">
        <v>40</v>
      </c>
      <c r="I1506" s="270">
        <f ca="1">ROUND(VLOOKUP($H1506,$AJ$4:$AN$13,2,0)*$Q1504*1.51,2)</f>
        <v>67.95</v>
      </c>
      <c r="J1506" s="270">
        <f ca="1">ROUND(VLOOKUP($H1506,$AJ$4:$AN$13,3,0)*$Q1504*1.51,2)</f>
        <v>49.47</v>
      </c>
      <c r="K1506" s="270">
        <f ca="1">ROUND(VLOOKUP($H1506,$AJ$4:$AN$13,4,0)*$Q1504*1.51,2)</f>
        <v>25.28</v>
      </c>
      <c r="L1506" s="270"/>
      <c r="M1506" s="270">
        <f ca="1">ROUND(VLOOKUP($H1506,$AJ$4:$AN$13,5,0)*$Q1504*1.51,2)</f>
        <v>1.36</v>
      </c>
      <c r="N1506" s="270"/>
      <c r="P1506" s="230">
        <f t="shared" ref="P1506:P1519" si="676">IF(A1506&gt;0,1,0)</f>
        <v>0</v>
      </c>
    </row>
    <row r="1507" spans="1:43" x14ac:dyDescent="0.2">
      <c r="B1507" s="279"/>
      <c r="C1507" s="280"/>
      <c r="D1507" s="280"/>
      <c r="E1507" s="280"/>
      <c r="F1507" s="280"/>
      <c r="G1507" s="281"/>
      <c r="H1507" s="238" t="s">
        <v>18</v>
      </c>
      <c r="I1507" s="270">
        <f ca="1">ROUND(VLOOKUP($H1507,$AJ$4:$AN$13,2,0)*$Q1504*1.51,2)</f>
        <v>21.74</v>
      </c>
      <c r="J1507" s="270">
        <f ca="1">ROUND(VLOOKUP($H1507,$AJ$4:$AN$13,3,0)*$Q1504*1.51,2)</f>
        <v>16.579999999999998</v>
      </c>
      <c r="K1507" s="270">
        <f ca="1">ROUND(VLOOKUP($H1507,$AJ$4:$AN$13,4,0)*$Q1504*1.51,2)</f>
        <v>8.43</v>
      </c>
      <c r="L1507" s="270"/>
      <c r="M1507" s="270">
        <f ca="1">ROUND(VLOOKUP($H1507,$AJ$4:$AN$13,5,0)*$Q1504*1.51*1,2)</f>
        <v>0.54</v>
      </c>
      <c r="N1507" s="270"/>
      <c r="P1507" s="230">
        <f t="shared" si="676"/>
        <v>0</v>
      </c>
      <c r="AP1507" s="241" t="s">
        <v>2053</v>
      </c>
      <c r="AQ1507" s="242"/>
    </row>
    <row r="1508" spans="1:43" x14ac:dyDescent="0.2">
      <c r="A1508" s="224">
        <f>A1453+37</f>
        <v>999</v>
      </c>
      <c r="B1508" s="243" t="str">
        <f ca="1">OFFSET(ЛОТЫ!$L$5,A1508,0,1,1)</f>
        <v>Мамыковское</v>
      </c>
      <c r="C1508" s="244" t="s">
        <v>474</v>
      </c>
      <c r="D1508" s="243">
        <f ca="1">OFFSET(ЛОТЫ!$M$5,A1508,0,1,1)</f>
        <v>90</v>
      </c>
      <c r="E1508" s="243">
        <f ca="1">OFFSET(ЛОТЫ!$N$5,A1508,0,1,1)</f>
        <v>12</v>
      </c>
      <c r="F1508" s="243">
        <f ca="1">OFFSET(ЛОТЫ!$O$5,A1508,0,1,1)</f>
        <v>3</v>
      </c>
      <c r="G1508" s="271">
        <f ca="1">IFERROR(INDEX('Ведомость расчета мин. платы'!$G$10:$AC$214,MATCH(CONCATENATE(B1508,"/",D1508,"/",E1508,"/",F1508),'Ведомость расчета мин. платы'!$AC$10:$AC$214,0),1),"")</f>
        <v>3.7</v>
      </c>
      <c r="H1508" s="246" t="s">
        <v>17</v>
      </c>
      <c r="I1508" s="247">
        <f ca="1">IFERROR(INDEX('Ведомость расчета мин. платы'!$J$10:$AE$214,MATCH(CONCATENATE(РАСЧЕТ!B1508,"/",РАСЧЕТ!D1508,"/",РАСЧЕТ!E1508,"/",F1508,"/",H1508),'Ведомость расчета мин. платы'!$AE$10:$AE$214,0),2),"")</f>
        <v>16.5</v>
      </c>
      <c r="J1508" s="247">
        <f ca="1">IFERROR(INDEX('Ведомость расчета мин. платы'!$J$10:$AE$214,MATCH(CONCATENATE(РАСЧЕТ!B1508,"/",РАСЧЕТ!D1508,"/",РАСЧЕТ!E1508,"/",F1508,"/",H1508),'Ведомость расчета мин. платы'!$AE$10:$AE$214,0),3),"")</f>
        <v>30.6</v>
      </c>
      <c r="K1508" s="247">
        <f ca="1">IFERROR(INDEX('Ведомость расчета мин. платы'!$J$10:$AE$214,MATCH(CONCATENATE(РАСЧЕТ!B1508,"/",РАСЧЕТ!D1508,"/",РАСЧЕТ!E1508,"/",F1508,"/",H1508),'Ведомость расчета мин. платы'!$AE$10:$AE$214,0),4),"")</f>
        <v>6.9</v>
      </c>
      <c r="L1508" s="248">
        <f t="shared" ref="L1508:L1520" ca="1" si="677">IFERROR(SUM(I1508:K1508),"")</f>
        <v>54</v>
      </c>
      <c r="M1508" s="214">
        <f ca="1">IFERROR(INDEX('Ведомость расчета мин. платы'!$J$10:$AE$214,MATCH(CONCATENATE(РАСЧЕТ!B1508,"/",РАСЧЕТ!D1508,"/",РАСЧЕТ!E1508,"/",F1508,"/",H1508),'Ведомость расчета мин. платы'!$AE$10:$AE$214,0),6),"")</f>
        <v>57.3</v>
      </c>
      <c r="N1508" s="214">
        <f t="shared" ref="N1508:N1520" ca="1" si="678">IFERROR(SUM(L1508:M1508),"")</f>
        <v>111.3</v>
      </c>
      <c r="O1508" s="229">
        <f>IF(H1508="стоимость","",1)</f>
        <v>1</v>
      </c>
      <c r="P1508" s="230">
        <f t="shared" si="676"/>
        <v>1</v>
      </c>
      <c r="AP1508" s="242"/>
      <c r="AQ1508" s="242"/>
    </row>
    <row r="1509" spans="1:43" x14ac:dyDescent="0.2">
      <c r="B1509" s="249"/>
      <c r="C1509" s="249"/>
      <c r="D1509" s="249"/>
      <c r="E1509" s="249"/>
      <c r="F1509" s="249"/>
      <c r="G1509" s="249"/>
      <c r="H1509" s="250" t="s">
        <v>475</v>
      </c>
      <c r="I1509" s="251">
        <f ca="1">IFERROR(ROUND(I1508*I1502,2),"")</f>
        <v>1888.1</v>
      </c>
      <c r="J1509" s="251">
        <f t="shared" ref="J1509" ca="1" si="679">IFERROR(ROUND(J1508*J1502,2),"")</f>
        <v>2495.12</v>
      </c>
      <c r="K1509" s="251">
        <f t="shared" ref="K1509" ca="1" si="680">IFERROR(ROUND(K1508*K1502,2),"")</f>
        <v>285.04000000000002</v>
      </c>
      <c r="L1509" s="251">
        <f t="shared" ca="1" si="677"/>
        <v>4668.2599999999993</v>
      </c>
      <c r="M1509" s="251">
        <f t="shared" ref="M1509" ca="1" si="681">IFERROR(ROUND(M1508*M1502,2),"")</f>
        <v>373.6</v>
      </c>
      <c r="N1509" s="252">
        <f t="shared" ca="1" si="678"/>
        <v>5041.8599999999997</v>
      </c>
      <c r="O1509" s="229" t="str">
        <f t="shared" ref="O1509:O1519" si="682">IF(H1509="стоимость","",1)</f>
        <v/>
      </c>
      <c r="P1509" s="230">
        <f t="shared" si="676"/>
        <v>0</v>
      </c>
      <c r="AP1509" s="242">
        <f ca="1">SUMIFS('Ведомость расчета мин. платы'!$S$10:$S$209,'Ведомость расчета мин. платы'!$AE$10:$AE$209,CONCATENATE(B1508,"/",D1508,"/",E1508,"/",F1508,"/",H1508))</f>
        <v>5041.8599999999997</v>
      </c>
      <c r="AQ1509" s="253">
        <f t="shared" ref="AQ1509" ca="1" si="683">AP1509-N1509</f>
        <v>0</v>
      </c>
    </row>
    <row r="1510" spans="1:43" x14ac:dyDescent="0.2">
      <c r="B1510" s="249"/>
      <c r="C1510" s="249"/>
      <c r="D1510" s="249"/>
      <c r="E1510" s="249"/>
      <c r="F1510" s="249"/>
      <c r="G1510" s="249"/>
      <c r="H1510" s="246" t="s">
        <v>25</v>
      </c>
      <c r="I1510" s="247">
        <f ca="1">IFERROR(INDEX('Ведомость расчета мин. платы'!$J$10:$AE$214,MATCH(CONCATENATE(РАСЧЕТ!B1508,"/",РАСЧЕТ!D1508,"/",РАСЧЕТ!E1508,"/",F1508,"/",H1510),'Ведомость расчета мин. платы'!$AE$10:$AE$214,0),2),"")</f>
        <v>0</v>
      </c>
      <c r="J1510" s="247">
        <f ca="1">IFERROR(INDEX('Ведомость расчета мин. платы'!$J$10:$AE$214,MATCH(CONCATENATE(РАСЧЕТ!B1508,"/",РАСЧЕТ!D1508,"/",РАСЧЕТ!E1508,"/",F1508,"/",H1510),'Ведомость расчета мин. платы'!$AE$10:$AE$214,0),3),"")</f>
        <v>8.4</v>
      </c>
      <c r="K1510" s="247">
        <f ca="1">IFERROR(INDEX('Ведомость расчета мин. платы'!$J$10:$AE$214,MATCH(CONCATENATE(РАСЧЕТ!B1508,"/",РАСЧЕТ!D1508,"/",РАСЧЕТ!E1508,"/",F1508,"/",H1510),'Ведомость расчета мин. платы'!$AE$10:$AE$214,0),4),"")</f>
        <v>12.6</v>
      </c>
      <c r="L1510" s="248">
        <f t="shared" ca="1" si="677"/>
        <v>21</v>
      </c>
      <c r="M1510" s="214">
        <f ca="1">IFERROR(INDEX('Ведомость расчета мин. платы'!$J$10:$AE$214,MATCH(CONCATENATE(РАСЧЕТ!B1508,"/",РАСЧЕТ!D1508,"/",РАСЧЕТ!E1508,"/",F1508,"/",H1510),'Ведомость расчета мин. платы'!$AE$10:$AE$214,0),6),"")</f>
        <v>29.8</v>
      </c>
      <c r="N1510" s="214">
        <f t="shared" ca="1" si="678"/>
        <v>50.8</v>
      </c>
      <c r="O1510" s="229">
        <f t="shared" si="682"/>
        <v>1</v>
      </c>
      <c r="P1510" s="230">
        <f t="shared" si="676"/>
        <v>0</v>
      </c>
      <c r="AP1510" s="242"/>
      <c r="AQ1510" s="253"/>
    </row>
    <row r="1511" spans="1:43" x14ac:dyDescent="0.2">
      <c r="B1511" s="249"/>
      <c r="C1511" s="249"/>
      <c r="D1511" s="249"/>
      <c r="E1511" s="249"/>
      <c r="F1511" s="249"/>
      <c r="G1511" s="249"/>
      <c r="H1511" s="250" t="s">
        <v>475</v>
      </c>
      <c r="I1511" s="251">
        <f ca="1">IFERROR(ROUND(I1510*I1503,2),"")</f>
        <v>0</v>
      </c>
      <c r="J1511" s="251">
        <f t="shared" ref="J1511" ca="1" si="684">IFERROR(ROUND(J1510*J1503,2),"")</f>
        <v>5137.0200000000004</v>
      </c>
      <c r="K1511" s="251">
        <f t="shared" ref="K1511" ca="1" si="685">IFERROR(ROUND(K1510*K1503,2),"")</f>
        <v>3876.77</v>
      </c>
      <c r="L1511" s="251">
        <f t="shared" ca="1" si="677"/>
        <v>9013.7900000000009</v>
      </c>
      <c r="M1511" s="251">
        <v>793.8799999999984</v>
      </c>
      <c r="N1511" s="252">
        <f t="shared" ca="1" si="678"/>
        <v>9807.67</v>
      </c>
      <c r="O1511" s="229" t="str">
        <f t="shared" si="682"/>
        <v/>
      </c>
      <c r="P1511" s="230">
        <f t="shared" si="676"/>
        <v>0</v>
      </c>
      <c r="AP1511" s="242">
        <f ca="1">SUMIFS('Ведомость расчета мин. платы'!$S$10:$S$209,'Ведомость расчета мин. платы'!$AE$10:$AE$209,CONCATENATE(B1508,"/",D1508,"/",E1508,"/",F1508,"/",H1510))</f>
        <v>9807.67</v>
      </c>
      <c r="AQ1511" s="253">
        <f t="shared" ref="AQ1511" ca="1" si="686">AP1511-N1511</f>
        <v>0</v>
      </c>
    </row>
    <row r="1512" spans="1:43" x14ac:dyDescent="0.2">
      <c r="B1512" s="249"/>
      <c r="C1512" s="249"/>
      <c r="D1512" s="249"/>
      <c r="E1512" s="249"/>
      <c r="F1512" s="249"/>
      <c r="G1512" s="249"/>
      <c r="H1512" s="205" t="s">
        <v>19</v>
      </c>
      <c r="I1512" s="248">
        <f ca="1">IFERROR(INDEX('Ведомость расчета мин. платы'!$J$10:$AE$214,MATCH(CONCATENATE(РАСЧЕТ!B1508,"/",РАСЧЕТ!D1508,"/",РАСЧЕТ!E1508,"/",F1508,"/",H1512),'Ведомость расчета мин. платы'!$AE$10:$AE$214,0),2),"")</f>
        <v>2.5</v>
      </c>
      <c r="J1512" s="248">
        <f ca="1">IFERROR(INDEX('Ведомость расчета мин. платы'!$J$10:$AE$214,MATCH(CONCATENATE(РАСЧЕТ!B1508,"/",РАСЧЕТ!D1508,"/",РАСЧЕТ!E1508,"/",F1508,"/",H1512),'Ведомость расчета мин. платы'!$AE$10:$AE$214,0),3),"")</f>
        <v>38.21</v>
      </c>
      <c r="K1512" s="248">
        <f ca="1">IFERROR(INDEX('Ведомость расчета мин. платы'!$J$10:$AE$214,MATCH(CONCATENATE(РАСЧЕТ!B1508,"/",РАСЧЕТ!D1508,"/",РАСЧЕТ!E1508,"/",F1508,"/",H1512),'Ведомость расчета мин. платы'!$AE$10:$AE$214,0),4),"")</f>
        <v>13.16</v>
      </c>
      <c r="L1512" s="248">
        <f t="shared" ca="1" si="677"/>
        <v>53.870000000000005</v>
      </c>
      <c r="M1512" s="248">
        <v>106.72</v>
      </c>
      <c r="N1512" s="214">
        <f t="shared" ca="1" si="678"/>
        <v>160.59</v>
      </c>
      <c r="O1512" s="229">
        <f t="shared" si="682"/>
        <v>1</v>
      </c>
      <c r="P1512" s="230">
        <f t="shared" si="676"/>
        <v>0</v>
      </c>
      <c r="AP1512" s="242"/>
      <c r="AQ1512" s="253"/>
    </row>
    <row r="1513" spans="1:43" x14ac:dyDescent="0.2">
      <c r="B1513" s="249"/>
      <c r="C1513" s="249"/>
      <c r="D1513" s="249"/>
      <c r="E1513" s="249"/>
      <c r="F1513" s="249"/>
      <c r="G1513" s="249"/>
      <c r="H1513" s="250" t="s">
        <v>475</v>
      </c>
      <c r="I1513" s="251">
        <f ca="1">IFERROR(ROUND(I1512*I1504,2),"")</f>
        <v>169.88</v>
      </c>
      <c r="J1513" s="251">
        <f t="shared" ref="J1513" ca="1" si="687">IFERROR(ROUND(J1512*J1504,2),"")</f>
        <v>1890.25</v>
      </c>
      <c r="K1513" s="251">
        <f t="shared" ref="K1513" ca="1" si="688">IFERROR(ROUND(K1512*K1504,2),"")</f>
        <v>332.68</v>
      </c>
      <c r="L1513" s="251">
        <f t="shared" ca="1" si="677"/>
        <v>2392.81</v>
      </c>
      <c r="M1513" s="251">
        <v>145.13999999999999</v>
      </c>
      <c r="N1513" s="252">
        <f t="shared" ca="1" si="678"/>
        <v>2537.9499999999998</v>
      </c>
      <c r="O1513" s="229" t="str">
        <f t="shared" si="682"/>
        <v/>
      </c>
      <c r="P1513" s="230">
        <f t="shared" si="676"/>
        <v>0</v>
      </c>
      <c r="AP1513" s="242">
        <f ca="1">SUMIFS('Ведомость расчета мин. платы'!$S$10:$S$209,'Ведомость расчета мин. платы'!$AE$10:$AE$209,CONCATENATE(B1508,"/",D1508,"/",E1508,"/",F1508,"/",H1512))</f>
        <v>2537.9499999999998</v>
      </c>
      <c r="AQ1513" s="253">
        <f t="shared" ref="AQ1513" ca="1" si="689">AP1513-N1513</f>
        <v>0</v>
      </c>
    </row>
    <row r="1514" spans="1:43" x14ac:dyDescent="0.2">
      <c r="B1514" s="249"/>
      <c r="C1514" s="249"/>
      <c r="D1514" s="249"/>
      <c r="E1514" s="249"/>
      <c r="F1514" s="249"/>
      <c r="G1514" s="249"/>
      <c r="H1514" s="205" t="s">
        <v>268</v>
      </c>
      <c r="I1514" s="248" t="str">
        <f ca="1">IFERROR(INDEX('Ведомость расчета мин. платы'!$J$10:$AE$214,MATCH(CONCATENATE(РАСЧЕТ!B1508,"/",РАСЧЕТ!D1508,"/",РАСЧЕТ!E1508,"/",F1508,"/",H1514),'Ведомость расчета мин. платы'!$AE$10:$AE$214,0),2),"")</f>
        <v/>
      </c>
      <c r="J1514" s="248" t="str">
        <f ca="1">IFERROR(INDEX('Ведомость расчета мин. платы'!$J$10:$AE$214,MATCH(CONCATENATE(РАСЧЕТ!B1508,"/",РАСЧЕТ!D1508,"/",РАСЧЕТ!E1508,"/",F1508,"/",H1514),'Ведомость расчета мин. платы'!$AE$10:$AE$214,0),3),"")</f>
        <v/>
      </c>
      <c r="K1514" s="248" t="str">
        <f ca="1">IFERROR(INDEX('Ведомость расчета мин. платы'!$J$10:$AE$214,MATCH(CONCATENATE(РАСЧЕТ!B1508,"/",РАСЧЕТ!D1508,"/",РАСЧЕТ!E1508,"/",F1508,"/",H1514),'Ведомость расчета мин. платы'!$AE$10:$AE$214,0),4),"")</f>
        <v/>
      </c>
      <c r="L1514" s="248">
        <f t="shared" ca="1" si="677"/>
        <v>0</v>
      </c>
      <c r="M1514" s="248">
        <v>0</v>
      </c>
      <c r="N1514" s="214">
        <f t="shared" ca="1" si="678"/>
        <v>0</v>
      </c>
      <c r="O1514" s="229">
        <f t="shared" si="682"/>
        <v>1</v>
      </c>
      <c r="P1514" s="230">
        <f t="shared" si="676"/>
        <v>0</v>
      </c>
      <c r="AP1514" s="242"/>
      <c r="AQ1514" s="253"/>
    </row>
    <row r="1515" spans="1:43" x14ac:dyDescent="0.2">
      <c r="B1515" s="249"/>
      <c r="C1515" s="249"/>
      <c r="D1515" s="249"/>
      <c r="E1515" s="249"/>
      <c r="F1515" s="249"/>
      <c r="G1515" s="249"/>
      <c r="H1515" s="250" t="s">
        <v>475</v>
      </c>
      <c r="I1515" s="251" t="str">
        <f ca="1">IFERROR(ROUND(I1514*I1507,2),"")</f>
        <v/>
      </c>
      <c r="J1515" s="251" t="str">
        <f ca="1">IFERROR(ROUND(J1514*J1505,2),"")</f>
        <v/>
      </c>
      <c r="K1515" s="251" t="str">
        <f ca="1">IFERROR(ROUND(K1514*K1505,2),"")</f>
        <v/>
      </c>
      <c r="L1515" s="251">
        <f t="shared" ca="1" si="677"/>
        <v>0</v>
      </c>
      <c r="M1515" s="251">
        <v>0</v>
      </c>
      <c r="N1515" s="252">
        <f t="shared" ca="1" si="678"/>
        <v>0</v>
      </c>
      <c r="O1515" s="229" t="str">
        <f t="shared" si="682"/>
        <v/>
      </c>
      <c r="P1515" s="230">
        <f t="shared" si="676"/>
        <v>0</v>
      </c>
      <c r="AP1515" s="242">
        <f ca="1">SUMIFS('Ведомость расчета мин. платы'!$S$10:$S$209,'Ведомость расчета мин. платы'!$AE$10:$AE$209,CONCATENATE(B1508,"/",D1508,"/",E1508,"/",F1508,"/",H1514))</f>
        <v>0</v>
      </c>
      <c r="AQ1515" s="253">
        <f t="shared" ref="AQ1515" ca="1" si="690">AP1515-N1515</f>
        <v>0</v>
      </c>
    </row>
    <row r="1516" spans="1:43" x14ac:dyDescent="0.2">
      <c r="B1516" s="249"/>
      <c r="C1516" s="249"/>
      <c r="D1516" s="249"/>
      <c r="E1516" s="249"/>
      <c r="F1516" s="249"/>
      <c r="G1516" s="249"/>
      <c r="H1516" s="205" t="s">
        <v>40</v>
      </c>
      <c r="I1516" s="248" t="str">
        <f ca="1">IFERROR(INDEX('Ведомость расчета мин. платы'!$J$10:$AE$214,MATCH(CONCATENATE(РАСЧЕТ!B1508,"/",РАСЧЕТ!D1508,"/",РАСЧЕТ!E1508,"/",F1508,"/",H1516),'Ведомость расчета мин. платы'!$AE$10:$AE$214,0),2),"")</f>
        <v/>
      </c>
      <c r="J1516" s="248" t="str">
        <f ca="1">IFERROR(INDEX('Ведомость расчета мин. платы'!$J$10:$AE$214,MATCH(CONCATENATE(РАСЧЕТ!B1508,"/",РАСЧЕТ!D1508,"/",РАСЧЕТ!E1508,"/",F1508,"/",H1516),'Ведомость расчета мин. платы'!$AE$10:$AE$214,0),3),"")</f>
        <v/>
      </c>
      <c r="K1516" s="248" t="str">
        <f ca="1">IFERROR(INDEX('Ведомость расчета мин. платы'!$J$10:$AE$214,MATCH(CONCATENATE(РАСЧЕТ!B1508,"/",РАСЧЕТ!D1508,"/",РАСЧЕТ!E1508,"/",F1508,"/",H1516),'Ведомость расчета мин. платы'!$AE$10:$AE$214,0),4),"")</f>
        <v/>
      </c>
      <c r="L1516" s="248">
        <f t="shared" ca="1" si="677"/>
        <v>0</v>
      </c>
      <c r="M1516" s="248">
        <v>0</v>
      </c>
      <c r="N1516" s="214">
        <f t="shared" ca="1" si="678"/>
        <v>0</v>
      </c>
      <c r="O1516" s="229">
        <f t="shared" si="682"/>
        <v>1</v>
      </c>
      <c r="P1516" s="230">
        <f t="shared" si="676"/>
        <v>0</v>
      </c>
      <c r="AP1516" s="242"/>
      <c r="AQ1516" s="253"/>
    </row>
    <row r="1517" spans="1:43" x14ac:dyDescent="0.2">
      <c r="B1517" s="249"/>
      <c r="C1517" s="249"/>
      <c r="D1517" s="249"/>
      <c r="E1517" s="249"/>
      <c r="F1517" s="249"/>
      <c r="G1517" s="249"/>
      <c r="H1517" s="250" t="s">
        <v>475</v>
      </c>
      <c r="I1517" s="251" t="str">
        <f ca="1">IFERROR(ROUND(I1516*I1506,2),"")</f>
        <v/>
      </c>
      <c r="J1517" s="251" t="str">
        <f t="shared" ref="J1517" ca="1" si="691">IFERROR(ROUND(J1516*J1506,2),"")</f>
        <v/>
      </c>
      <c r="K1517" s="251" t="str">
        <f t="shared" ref="K1517" ca="1" si="692">IFERROR(ROUND(K1516*K1506,2),"")</f>
        <v/>
      </c>
      <c r="L1517" s="251">
        <f t="shared" ca="1" si="677"/>
        <v>0</v>
      </c>
      <c r="M1517" s="251">
        <v>0</v>
      </c>
      <c r="N1517" s="252">
        <f t="shared" ca="1" si="678"/>
        <v>0</v>
      </c>
      <c r="O1517" s="229" t="str">
        <f t="shared" si="682"/>
        <v/>
      </c>
      <c r="P1517" s="230">
        <f t="shared" si="676"/>
        <v>0</v>
      </c>
      <c r="AP1517" s="242">
        <f ca="1">SUMIFS('Ведомость расчета мин. платы'!$S$10:$S$209,'Ведомость расчета мин. платы'!$AE$10:$AE$209,CONCATENATE(B1508,"/",D1508,"/",E1508,"/",F1508,"/",H1516))</f>
        <v>0</v>
      </c>
      <c r="AQ1517" s="253">
        <f t="shared" ref="AQ1517" ca="1" si="693">AP1517-N1517</f>
        <v>0</v>
      </c>
    </row>
    <row r="1518" spans="1:43" x14ac:dyDescent="0.2">
      <c r="B1518" s="249"/>
      <c r="C1518" s="249"/>
      <c r="D1518" s="249"/>
      <c r="E1518" s="249"/>
      <c r="F1518" s="249"/>
      <c r="G1518" s="249"/>
      <c r="H1518" s="205" t="s">
        <v>18</v>
      </c>
      <c r="I1518" s="248">
        <f ca="1">IFERROR(INDEX('Ведомость расчета мин. платы'!$J$10:$AE$214,MATCH(CONCATENATE(РАСЧЕТ!B1508,"/",РАСЧЕТ!D1508,"/",РАСЧЕТ!E1508,"/",F1508,"/",H1518),'Ведомость расчета мин. платы'!$AE$10:$AE$214,0),2),"")</f>
        <v>56.9</v>
      </c>
      <c r="J1518" s="248">
        <f ca="1">IFERROR(INDEX('Ведомость расчета мин. платы'!$J$10:$AE$214,MATCH(CONCATENATE(РАСЧЕТ!B1508,"/",РАСЧЕТ!D1508,"/",РАСЧЕТ!E1508,"/",F1508,"/",H1518),'Ведомость расчета мин. платы'!$AE$10:$AE$214,0),3),"")</f>
        <v>45.6</v>
      </c>
      <c r="K1518" s="248">
        <f ca="1">IFERROR(INDEX('Ведомость расчета мин. платы'!$J$10:$AE$214,MATCH(CONCATENATE(РАСЧЕТ!B1508,"/",РАСЧЕТ!D1508,"/",РАСЧЕТ!E1508,"/",F1508,"/",H1518),'Ведомость расчета мин. платы'!$AE$10:$AE$214,0),4),"")</f>
        <v>7.8</v>
      </c>
      <c r="L1518" s="248">
        <f t="shared" ca="1" si="677"/>
        <v>110.3</v>
      </c>
      <c r="M1518" s="248">
        <v>109.1</v>
      </c>
      <c r="N1518" s="214">
        <f t="shared" ca="1" si="678"/>
        <v>219.39999999999998</v>
      </c>
      <c r="O1518" s="229">
        <f t="shared" si="682"/>
        <v>1</v>
      </c>
      <c r="P1518" s="230">
        <f t="shared" si="676"/>
        <v>0</v>
      </c>
      <c r="AP1518" s="242"/>
      <c r="AQ1518" s="253"/>
    </row>
    <row r="1519" spans="1:43" x14ac:dyDescent="0.2">
      <c r="B1519" s="249"/>
      <c r="C1519" s="249"/>
      <c r="D1519" s="249"/>
      <c r="E1519" s="249"/>
      <c r="F1519" s="249"/>
      <c r="G1519" s="249"/>
      <c r="H1519" s="250" t="s">
        <v>475</v>
      </c>
      <c r="I1519" s="251">
        <f ca="1">IFERROR(ROUND(I1518*I1507,2),"")</f>
        <v>1237.01</v>
      </c>
      <c r="J1519" s="251">
        <f t="shared" ref="J1519" ca="1" si="694">IFERROR(ROUND(J1518*J1507,2),"")</f>
        <v>756.05</v>
      </c>
      <c r="K1519" s="251">
        <f t="shared" ref="K1519" ca="1" si="695">IFERROR(ROUND(K1518*K1507,2),"")</f>
        <v>65.75</v>
      </c>
      <c r="L1519" s="251">
        <f t="shared" ca="1" si="677"/>
        <v>2058.81</v>
      </c>
      <c r="M1519" s="251">
        <v>58.920000000000215</v>
      </c>
      <c r="N1519" s="252">
        <f t="shared" ca="1" si="678"/>
        <v>2117.73</v>
      </c>
      <c r="O1519" s="229" t="str">
        <f t="shared" si="682"/>
        <v/>
      </c>
      <c r="P1519" s="230">
        <f t="shared" si="676"/>
        <v>0</v>
      </c>
      <c r="AP1519" s="242">
        <f ca="1">SUMIFS('Ведомость расчета мин. платы'!$S$10:$S$209,'Ведомость расчета мин. платы'!$AE$10:$AE$209,CONCATENATE(B1508,"/",D1508,"/",E1508,"/",F1508,"/",H1518))</f>
        <v>2117.73</v>
      </c>
      <c r="AQ1519" s="253">
        <f t="shared" ref="AQ1519" ca="1" si="696">AP1519-N1519</f>
        <v>0</v>
      </c>
    </row>
    <row r="1520" spans="1:43" x14ac:dyDescent="0.2">
      <c r="B1520" s="249"/>
      <c r="C1520" s="249"/>
      <c r="D1520" s="249"/>
      <c r="E1520" s="249"/>
      <c r="F1520" s="249"/>
      <c r="G1520" s="249"/>
      <c r="H1520" s="254" t="s">
        <v>476</v>
      </c>
      <c r="I1520" s="251">
        <f ca="1">SUMIF($O1508:$O1521,1,I1508:I1519)</f>
        <v>75.900000000000006</v>
      </c>
      <c r="J1520" s="251">
        <f ca="1">SUMIF($O1508:$O1521,1,J1508:J1519)</f>
        <v>122.81</v>
      </c>
      <c r="K1520" s="251">
        <f ca="1">SUMIF($O1508:$O1521,1,K1508:K1519)</f>
        <v>40.459999999999994</v>
      </c>
      <c r="L1520" s="251">
        <f t="shared" ca="1" si="677"/>
        <v>239.17000000000002</v>
      </c>
      <c r="M1520" s="251">
        <f ca="1">SUMIF($O1508:$O1521,1,M1508:M1519)</f>
        <v>302.91999999999996</v>
      </c>
      <c r="N1520" s="252">
        <f t="shared" ca="1" si="678"/>
        <v>542.08999999999992</v>
      </c>
      <c r="AP1520" s="242"/>
      <c r="AQ1520" s="253"/>
    </row>
    <row r="1521" spans="2:43" x14ac:dyDescent="0.2">
      <c r="B1521" s="249"/>
      <c r="C1521" s="249"/>
      <c r="D1521" s="249"/>
      <c r="E1521" s="249"/>
      <c r="F1521" s="249"/>
      <c r="G1521" s="249"/>
      <c r="H1521" s="254" t="s">
        <v>491</v>
      </c>
      <c r="I1521" s="251">
        <f ca="1">SUMIF(H1508:H1519,"стоимость",I1508:I1519)</f>
        <v>3294.99</v>
      </c>
      <c r="J1521" s="251">
        <f ca="1">SUMIF(H1508:H1519,"стоимость",J1508:J1519)</f>
        <v>10278.439999999999</v>
      </c>
      <c r="K1521" s="251">
        <f ca="1">SUMIF(H1508:H1519,"стоимость",K1508:K1519)</f>
        <v>4560.2400000000007</v>
      </c>
      <c r="L1521" s="251">
        <f ca="1">IFERROR(SUM(I1521:K1521),"")</f>
        <v>18133.669999999998</v>
      </c>
      <c r="M1521" s="251">
        <f ca="1">SUMIF(H1508:H1519,"стоимость",M1508:M1519)</f>
        <v>1371.5399999999988</v>
      </c>
      <c r="N1521" s="252">
        <f ca="1">IFERROR(SUM(L1521:M1521),"")</f>
        <v>19505.209999999995</v>
      </c>
      <c r="AP1521" s="242">
        <f ca="1">SUMIFS('Ведомость расчета мин. платы'!$S$10:$S$209,'Ведомость расчета мин. платы'!$J$10:$J$209,"Итого",'Ведомость расчета мин. платы'!$AC$10:$AC$209,CONCATENATE(B1508,"/",D1508,"/",E1508,"/",F1508))</f>
        <v>19505.21</v>
      </c>
      <c r="AQ1521" s="253">
        <f ca="1">AP1521-N1521</f>
        <v>0</v>
      </c>
    </row>
    <row r="1522" spans="2:43" x14ac:dyDescent="0.2">
      <c r="B1522" s="255"/>
      <c r="C1522" s="255"/>
      <c r="D1522" s="255"/>
      <c r="E1522" s="255"/>
      <c r="F1522" s="255"/>
      <c r="G1522" s="256"/>
      <c r="H1522" s="257"/>
      <c r="I1522" s="258"/>
      <c r="J1522" s="258"/>
      <c r="K1522" s="258"/>
      <c r="L1522" s="258"/>
      <c r="M1522" s="258"/>
      <c r="N1522" s="258"/>
      <c r="P1522" s="230">
        <f t="shared" ref="P1522:P1540" si="697">IF(A1522&gt;0,1,0)</f>
        <v>0</v>
      </c>
    </row>
    <row r="1523" spans="2:43" x14ac:dyDescent="0.2">
      <c r="B1523" s="282" t="s">
        <v>477</v>
      </c>
      <c r="C1523" s="282"/>
      <c r="D1523" s="282"/>
      <c r="E1523" s="282"/>
      <c r="F1523" s="259"/>
      <c r="G1523" s="225"/>
      <c r="H1523" s="201"/>
      <c r="I1523" s="226"/>
      <c r="J1523" s="258"/>
      <c r="K1523" s="258"/>
      <c r="L1523" s="258"/>
      <c r="M1523" s="258"/>
      <c r="N1523" s="258"/>
      <c r="P1523" s="230">
        <f t="shared" si="697"/>
        <v>0</v>
      </c>
    </row>
    <row r="1524" spans="2:43" x14ac:dyDescent="0.2">
      <c r="B1524" s="283" t="s">
        <v>525</v>
      </c>
      <c r="C1524" s="283"/>
      <c r="D1524" s="283"/>
      <c r="E1524" s="283"/>
      <c r="F1524" s="283"/>
      <c r="G1524" s="283"/>
      <c r="H1524" s="283"/>
      <c r="I1524" s="283"/>
      <c r="J1524" s="261"/>
      <c r="K1524" s="261"/>
      <c r="L1524" s="261"/>
      <c r="M1524" s="261"/>
      <c r="N1524" s="261"/>
      <c r="P1524" s="230">
        <f t="shared" si="697"/>
        <v>0</v>
      </c>
    </row>
    <row r="1525" spans="2:43" x14ac:dyDescent="0.2">
      <c r="B1525" s="284" t="s">
        <v>478</v>
      </c>
      <c r="C1525" s="284"/>
      <c r="D1525" s="284"/>
      <c r="E1525" s="284"/>
      <c r="F1525" s="284"/>
      <c r="G1525" s="284"/>
      <c r="H1525" s="284"/>
      <c r="I1525" s="284"/>
      <c r="J1525" s="258"/>
      <c r="K1525" s="258"/>
      <c r="L1525" s="258"/>
      <c r="M1525" s="258"/>
      <c r="N1525" s="258"/>
      <c r="P1525" s="230">
        <f t="shared" si="697"/>
        <v>0</v>
      </c>
    </row>
    <row r="1526" spans="2:43" x14ac:dyDescent="0.2">
      <c r="B1526" s="284" t="s">
        <v>479</v>
      </c>
      <c r="C1526" s="284"/>
      <c r="D1526" s="284"/>
      <c r="E1526" s="284"/>
      <c r="F1526" s="284"/>
      <c r="G1526" s="284"/>
      <c r="H1526" s="284"/>
      <c r="I1526" s="284"/>
      <c r="J1526" s="258"/>
      <c r="K1526" s="258"/>
      <c r="L1526" s="258"/>
      <c r="M1526" s="258"/>
      <c r="N1526" s="258"/>
      <c r="P1526" s="230">
        <f t="shared" si="697"/>
        <v>0</v>
      </c>
    </row>
    <row r="1527" spans="2:43" x14ac:dyDescent="0.2">
      <c r="B1527" s="284" t="s">
        <v>480</v>
      </c>
      <c r="C1527" s="284"/>
      <c r="D1527" s="284"/>
      <c r="E1527" s="284"/>
      <c r="F1527" s="284"/>
      <c r="G1527" s="284"/>
      <c r="H1527" s="284"/>
      <c r="I1527" s="284"/>
      <c r="J1527" s="258"/>
      <c r="K1527" s="258"/>
      <c r="L1527" s="258"/>
      <c r="M1527" s="258"/>
      <c r="N1527" s="258"/>
      <c r="P1527" s="230">
        <f t="shared" si="697"/>
        <v>0</v>
      </c>
    </row>
    <row r="1528" spans="2:43" x14ac:dyDescent="0.2">
      <c r="B1528" s="284" t="s">
        <v>481</v>
      </c>
      <c r="C1528" s="284"/>
      <c r="D1528" s="284"/>
      <c r="E1528" s="284"/>
      <c r="F1528" s="284"/>
      <c r="G1528" s="284"/>
      <c r="H1528" s="284"/>
      <c r="I1528" s="284"/>
      <c r="J1528" s="226"/>
      <c r="K1528" s="226"/>
      <c r="L1528" s="226"/>
      <c r="M1528" s="226"/>
      <c r="N1528" s="226"/>
      <c r="P1528" s="230">
        <f t="shared" si="697"/>
        <v>0</v>
      </c>
    </row>
    <row r="1529" spans="2:43" x14ac:dyDescent="0.2">
      <c r="B1529" s="284" t="s">
        <v>482</v>
      </c>
      <c r="C1529" s="284"/>
      <c r="D1529" s="284"/>
      <c r="E1529" s="284"/>
      <c r="F1529" s="284"/>
      <c r="G1529" s="284"/>
      <c r="H1529" s="284"/>
      <c r="I1529" s="284"/>
      <c r="J1529" s="226"/>
      <c r="K1529" s="226"/>
      <c r="L1529" s="226"/>
      <c r="M1529" s="226"/>
      <c r="N1529" s="226"/>
      <c r="P1529" s="230">
        <f t="shared" si="697"/>
        <v>0</v>
      </c>
    </row>
    <row r="1530" spans="2:43" x14ac:dyDescent="0.2">
      <c r="B1530" s="284" t="s">
        <v>483</v>
      </c>
      <c r="C1530" s="284"/>
      <c r="D1530" s="284"/>
      <c r="E1530" s="284"/>
      <c r="F1530" s="284"/>
      <c r="G1530" s="284"/>
      <c r="H1530" s="284"/>
      <c r="I1530" s="284"/>
      <c r="J1530" s="226"/>
      <c r="K1530" s="226"/>
      <c r="L1530" s="226"/>
      <c r="M1530" s="226"/>
      <c r="N1530" s="226"/>
      <c r="P1530" s="230">
        <f t="shared" si="697"/>
        <v>0</v>
      </c>
    </row>
    <row r="1531" spans="2:43" x14ac:dyDescent="0.2">
      <c r="B1531" s="284" t="s">
        <v>484</v>
      </c>
      <c r="C1531" s="284"/>
      <c r="D1531" s="284"/>
      <c r="E1531" s="284"/>
      <c r="F1531" s="284"/>
      <c r="G1531" s="284"/>
      <c r="H1531" s="284"/>
      <c r="I1531" s="284"/>
      <c r="J1531" s="226"/>
      <c r="K1531" s="226"/>
      <c r="L1531" s="226"/>
      <c r="M1531" s="226"/>
      <c r="N1531" s="226"/>
      <c r="P1531" s="230">
        <f t="shared" si="697"/>
        <v>0</v>
      </c>
    </row>
    <row r="1532" spans="2:43" x14ac:dyDescent="0.2">
      <c r="B1532" s="264"/>
      <c r="C1532" s="264"/>
      <c r="D1532" s="264"/>
      <c r="E1532" s="264"/>
      <c r="F1532" s="264"/>
      <c r="G1532" s="264"/>
      <c r="H1532" s="264"/>
      <c r="I1532" s="265"/>
      <c r="J1532" s="226"/>
      <c r="K1532" s="226"/>
      <c r="L1532" s="226"/>
      <c r="M1532" s="226"/>
      <c r="N1532" s="226"/>
      <c r="P1532" s="230">
        <f t="shared" si="697"/>
        <v>0</v>
      </c>
    </row>
    <row r="1533" spans="2:43" x14ac:dyDescent="0.2">
      <c r="B1533" s="225" t="s">
        <v>485</v>
      </c>
      <c r="C1533" s="225"/>
      <c r="D1533" s="225"/>
      <c r="E1533" s="225"/>
      <c r="F1533" s="225"/>
      <c r="G1533" s="225"/>
      <c r="H1533" s="201"/>
      <c r="I1533" s="226"/>
      <c r="J1533" s="226" t="s">
        <v>486</v>
      </c>
      <c r="K1533" s="226"/>
      <c r="L1533" s="226"/>
      <c r="M1533" s="226"/>
      <c r="N1533" s="226"/>
      <c r="P1533" s="230">
        <f t="shared" si="697"/>
        <v>0</v>
      </c>
    </row>
    <row r="1534" spans="2:43" x14ac:dyDescent="0.2">
      <c r="B1534" s="266" t="s">
        <v>524</v>
      </c>
      <c r="C1534" s="266"/>
      <c r="D1534" s="225"/>
      <c r="E1534" s="225"/>
      <c r="F1534" s="225"/>
      <c r="G1534" s="225"/>
      <c r="H1534" s="201"/>
      <c r="I1534" s="226"/>
      <c r="J1534" s="267"/>
      <c r="K1534" s="267"/>
      <c r="L1534" s="267"/>
      <c r="M1534" s="226"/>
      <c r="N1534" s="226"/>
      <c r="P1534" s="230">
        <f t="shared" si="697"/>
        <v>0</v>
      </c>
    </row>
    <row r="1535" spans="2:43" x14ac:dyDescent="0.2">
      <c r="B1535" s="268" t="s">
        <v>487</v>
      </c>
      <c r="C1535" s="225"/>
      <c r="D1535" s="225"/>
      <c r="E1535" s="225"/>
      <c r="F1535" s="225"/>
      <c r="G1535" s="225"/>
      <c r="H1535" s="201"/>
      <c r="I1535" s="226"/>
      <c r="J1535" s="226" t="s">
        <v>487</v>
      </c>
      <c r="K1535" s="226"/>
      <c r="L1535" s="226"/>
      <c r="M1535" s="226"/>
      <c r="N1535" s="226"/>
      <c r="P1535" s="230">
        <f t="shared" si="697"/>
        <v>0</v>
      </c>
    </row>
    <row r="1536" spans="2:43" x14ac:dyDescent="0.2">
      <c r="B1536" s="225"/>
      <c r="C1536" s="225"/>
      <c r="D1536" s="225"/>
      <c r="E1536" s="225"/>
      <c r="F1536" s="225"/>
      <c r="G1536" s="225"/>
      <c r="H1536" s="201"/>
      <c r="I1536" s="226"/>
      <c r="J1536" s="226"/>
      <c r="K1536" s="226"/>
      <c r="L1536" s="226"/>
      <c r="M1536" s="226"/>
      <c r="N1536" s="226"/>
      <c r="P1536" s="230">
        <f t="shared" si="697"/>
        <v>0</v>
      </c>
    </row>
    <row r="1537" spans="1:16" x14ac:dyDescent="0.2">
      <c r="B1537" s="266"/>
      <c r="C1537" s="266"/>
      <c r="D1537" s="225"/>
      <c r="E1537" s="225"/>
      <c r="F1537" s="225"/>
      <c r="G1537" s="225"/>
      <c r="H1537" s="201"/>
      <c r="I1537" s="226"/>
      <c r="J1537" s="267"/>
      <c r="K1537" s="267"/>
      <c r="L1537" s="267"/>
      <c r="M1537" s="226"/>
      <c r="N1537" s="226"/>
      <c r="P1537" s="230">
        <f t="shared" si="697"/>
        <v>0</v>
      </c>
    </row>
    <row r="1538" spans="1:16" x14ac:dyDescent="0.2">
      <c r="B1538" s="269" t="s">
        <v>488</v>
      </c>
      <c r="C1538" s="225"/>
      <c r="D1538" s="225"/>
      <c r="E1538" s="225"/>
      <c r="F1538" s="225"/>
      <c r="G1538" s="225"/>
      <c r="H1538" s="201"/>
      <c r="I1538" s="226"/>
      <c r="J1538" s="285" t="s">
        <v>488</v>
      </c>
      <c r="K1538" s="285"/>
      <c r="L1538" s="285"/>
      <c r="M1538" s="226"/>
      <c r="N1538" s="226"/>
      <c r="P1538" s="230">
        <f t="shared" si="697"/>
        <v>0</v>
      </c>
    </row>
    <row r="1539" spans="1:16" x14ac:dyDescent="0.2">
      <c r="B1539" s="225"/>
      <c r="C1539" s="225"/>
      <c r="D1539" s="225"/>
      <c r="E1539" s="225"/>
      <c r="F1539" s="225"/>
      <c r="G1539" s="225"/>
      <c r="H1539" s="201"/>
      <c r="I1539" s="226"/>
      <c r="J1539" s="226"/>
      <c r="K1539" s="226"/>
      <c r="L1539" s="226"/>
      <c r="M1539" s="226"/>
      <c r="N1539" s="226"/>
      <c r="P1539" s="230">
        <f t="shared" si="697"/>
        <v>0</v>
      </c>
    </row>
    <row r="1540" spans="1:16" x14ac:dyDescent="0.2">
      <c r="B1540" s="264" t="s">
        <v>489</v>
      </c>
      <c r="C1540" s="225"/>
      <c r="D1540" s="225"/>
      <c r="E1540" s="225"/>
      <c r="F1540" s="225"/>
      <c r="G1540" s="225"/>
      <c r="H1540" s="201"/>
      <c r="I1540" s="226"/>
      <c r="J1540" s="226" t="s">
        <v>489</v>
      </c>
      <c r="K1540" s="226"/>
      <c r="L1540" s="226"/>
      <c r="M1540" s="226"/>
      <c r="N1540" s="226"/>
      <c r="P1540" s="230">
        <f t="shared" si="697"/>
        <v>0</v>
      </c>
    </row>
    <row r="1541" spans="1:16" x14ac:dyDescent="0.2">
      <c r="A1541" s="272"/>
      <c r="B1541" s="225"/>
      <c r="C1541" s="225"/>
      <c r="D1541" s="225"/>
      <c r="E1541" s="225"/>
      <c r="F1541" s="225"/>
      <c r="G1541" s="225"/>
      <c r="H1541" s="201"/>
      <c r="I1541" s="226"/>
      <c r="J1541" s="226"/>
      <c r="K1541" s="226"/>
      <c r="M1541" s="226"/>
      <c r="N1541" s="228"/>
    </row>
    <row r="1542" spans="1:16" x14ac:dyDescent="0.2">
      <c r="A1542" s="260"/>
      <c r="B1542" s="225"/>
      <c r="C1542" s="225"/>
      <c r="D1542" s="225"/>
      <c r="E1542" s="225"/>
      <c r="F1542" s="225"/>
      <c r="G1542" s="225"/>
      <c r="H1542" s="201"/>
      <c r="I1542" s="226"/>
      <c r="J1542" s="226"/>
      <c r="K1542" s="226"/>
      <c r="M1542" s="226"/>
      <c r="N1542" s="228" t="s">
        <v>455</v>
      </c>
      <c r="P1542" s="230">
        <f t="shared" ref="P1542:P1559" si="698">IF(A1542&gt;0,1,0)</f>
        <v>0</v>
      </c>
    </row>
    <row r="1543" spans="1:16" x14ac:dyDescent="0.2">
      <c r="B1543" s="225"/>
      <c r="C1543" s="225"/>
      <c r="D1543" s="225"/>
      <c r="E1543" s="225"/>
      <c r="F1543" s="225"/>
      <c r="G1543" s="225"/>
      <c r="H1543" s="201"/>
      <c r="I1543" s="226"/>
      <c r="J1543" s="226"/>
      <c r="K1543" s="226"/>
      <c r="M1543" s="226"/>
      <c r="N1543" s="228" t="s">
        <v>456</v>
      </c>
      <c r="P1543" s="230">
        <f t="shared" si="698"/>
        <v>0</v>
      </c>
    </row>
    <row r="1544" spans="1:16" x14ac:dyDescent="0.2">
      <c r="B1544" s="225"/>
      <c r="C1544" s="225"/>
      <c r="D1544" s="225"/>
      <c r="E1544" s="225"/>
      <c r="F1544" s="225"/>
      <c r="G1544" s="225"/>
      <c r="H1544" s="201"/>
      <c r="I1544" s="226"/>
      <c r="J1544" s="226"/>
      <c r="K1544" s="226"/>
      <c r="M1544" s="226"/>
      <c r="N1544" s="228" t="s">
        <v>457</v>
      </c>
      <c r="P1544" s="230">
        <f t="shared" si="698"/>
        <v>0</v>
      </c>
    </row>
    <row r="1545" spans="1:16" x14ac:dyDescent="0.2">
      <c r="B1545" s="225"/>
      <c r="C1545" s="225"/>
      <c r="D1545" s="225"/>
      <c r="E1545" s="225"/>
      <c r="F1545" s="225"/>
      <c r="G1545" s="225"/>
      <c r="H1545" s="201"/>
      <c r="I1545" s="226"/>
      <c r="J1545" s="226"/>
      <c r="K1545" s="226"/>
      <c r="L1545" s="226"/>
      <c r="M1545" s="226"/>
      <c r="N1545" s="226"/>
      <c r="P1545" s="230">
        <f t="shared" si="698"/>
        <v>0</v>
      </c>
    </row>
    <row r="1546" spans="1:16" x14ac:dyDescent="0.2">
      <c r="B1546" s="225"/>
      <c r="C1546" s="286" t="s">
        <v>458</v>
      </c>
      <c r="D1546" s="286"/>
      <c r="E1546" s="286"/>
      <c r="F1546" s="286"/>
      <c r="G1546" s="286"/>
      <c r="H1546" s="286"/>
      <c r="I1546" s="286"/>
      <c r="J1546" s="286"/>
      <c r="K1546" s="286"/>
      <c r="L1546" s="286"/>
      <c r="M1546" s="226"/>
      <c r="N1546" s="226"/>
      <c r="P1546" s="230">
        <f t="shared" si="698"/>
        <v>0</v>
      </c>
    </row>
    <row r="1547" spans="1:16" x14ac:dyDescent="0.2">
      <c r="B1547" s="225"/>
      <c r="C1547" s="286" t="s">
        <v>459</v>
      </c>
      <c r="D1547" s="286"/>
      <c r="E1547" s="286"/>
      <c r="F1547" s="286"/>
      <c r="G1547" s="286"/>
      <c r="H1547" s="286"/>
      <c r="I1547" s="286"/>
      <c r="J1547" s="286"/>
      <c r="K1547" s="286"/>
      <c r="L1547" s="286"/>
      <c r="M1547" s="226"/>
      <c r="N1547" s="226"/>
      <c r="P1547" s="230">
        <f t="shared" si="698"/>
        <v>0</v>
      </c>
    </row>
    <row r="1548" spans="1:16" x14ac:dyDescent="0.2">
      <c r="B1548" s="225" t="s">
        <v>460</v>
      </c>
      <c r="C1548" s="234"/>
      <c r="D1548" s="234"/>
      <c r="E1548" s="234"/>
      <c r="F1548" s="234"/>
      <c r="G1548" s="234"/>
      <c r="H1548" s="234"/>
      <c r="I1548" s="235"/>
      <c r="J1548" s="235"/>
      <c r="K1548" s="235"/>
      <c r="L1548" s="287" t="s">
        <v>461</v>
      </c>
      <c r="M1548" s="287"/>
      <c r="N1548" s="287"/>
      <c r="P1548" s="230">
        <f t="shared" si="698"/>
        <v>0</v>
      </c>
    </row>
    <row r="1549" spans="1:16" x14ac:dyDescent="0.2">
      <c r="B1549" s="225"/>
      <c r="C1549" s="234"/>
      <c r="D1549" s="234"/>
      <c r="E1549" s="234"/>
      <c r="F1549" s="234"/>
      <c r="G1549" s="234"/>
      <c r="H1549" s="234"/>
      <c r="I1549" s="235"/>
      <c r="J1549" s="235"/>
      <c r="K1549" s="235"/>
      <c r="L1549" s="235"/>
      <c r="M1549" s="235"/>
      <c r="N1549" s="235"/>
      <c r="P1549" s="230">
        <f t="shared" si="698"/>
        <v>0</v>
      </c>
    </row>
    <row r="1550" spans="1:16" x14ac:dyDescent="0.2">
      <c r="B1550" s="225" t="s">
        <v>2038</v>
      </c>
      <c r="C1550" s="234"/>
      <c r="D1550" s="234"/>
      <c r="E1550" s="234"/>
      <c r="F1550" s="234"/>
      <c r="G1550" s="234"/>
      <c r="H1550" s="234"/>
      <c r="I1550" s="235"/>
      <c r="J1550" s="235"/>
      <c r="K1550" s="235"/>
      <c r="L1550" s="235"/>
      <c r="M1550" s="235"/>
      <c r="N1550" s="235"/>
      <c r="P1550" s="230">
        <f t="shared" si="698"/>
        <v>0</v>
      </c>
    </row>
    <row r="1551" spans="1:16" x14ac:dyDescent="0.2">
      <c r="B1551" s="225" t="s">
        <v>462</v>
      </c>
      <c r="C1551" s="234"/>
      <c r="D1551" s="234"/>
      <c r="E1551" s="234"/>
      <c r="F1551" s="234"/>
      <c r="G1551" s="234"/>
      <c r="H1551" s="234"/>
      <c r="I1551" s="235"/>
      <c r="J1551" s="235"/>
      <c r="K1551" s="235"/>
      <c r="L1551" s="235"/>
      <c r="M1551" s="235"/>
      <c r="N1551" s="235"/>
      <c r="P1551" s="230">
        <f t="shared" si="698"/>
        <v>0</v>
      </c>
    </row>
    <row r="1552" spans="1:16" x14ac:dyDescent="0.2">
      <c r="B1552" s="225" t="s">
        <v>2037</v>
      </c>
      <c r="C1552" s="234"/>
      <c r="D1552" s="234"/>
      <c r="E1552" s="234"/>
      <c r="F1552" s="234"/>
      <c r="G1552" s="234"/>
      <c r="H1552" s="234"/>
      <c r="I1552" s="235"/>
      <c r="J1552" s="235"/>
      <c r="K1552" s="235"/>
      <c r="L1552" s="235"/>
      <c r="M1552" s="235"/>
      <c r="N1552" s="235"/>
      <c r="P1552" s="230">
        <f t="shared" si="698"/>
        <v>0</v>
      </c>
    </row>
    <row r="1553" spans="1:43" x14ac:dyDescent="0.2">
      <c r="B1553" s="225" t="s">
        <v>2052</v>
      </c>
      <c r="C1553" s="234"/>
      <c r="D1553" s="234"/>
      <c r="E1553" s="234"/>
      <c r="F1553" s="234"/>
      <c r="G1553" s="234"/>
      <c r="H1553" s="234"/>
      <c r="I1553" s="235"/>
      <c r="J1553" s="235"/>
      <c r="K1553" s="235"/>
      <c r="L1553" s="235"/>
      <c r="M1553" s="235"/>
      <c r="N1553" s="235"/>
      <c r="P1553" s="230">
        <f t="shared" si="698"/>
        <v>0</v>
      </c>
    </row>
    <row r="1554" spans="1:43" x14ac:dyDescent="0.2">
      <c r="B1554" s="225"/>
      <c r="C1554" s="225"/>
      <c r="D1554" s="225"/>
      <c r="E1554" s="225"/>
      <c r="F1554" s="225"/>
      <c r="G1554" s="225"/>
      <c r="H1554" s="201"/>
      <c r="I1554" s="226"/>
      <c r="J1554" s="226"/>
      <c r="K1554" s="226"/>
      <c r="L1554" s="226"/>
      <c r="M1554" s="226"/>
      <c r="N1554" s="226"/>
      <c r="P1554" s="230">
        <f t="shared" si="698"/>
        <v>0</v>
      </c>
    </row>
    <row r="1555" spans="1:43" x14ac:dyDescent="0.2">
      <c r="B1555" s="288" t="s">
        <v>106</v>
      </c>
      <c r="C1555" s="290" t="s">
        <v>463</v>
      </c>
      <c r="D1555" s="288" t="s">
        <v>464</v>
      </c>
      <c r="E1555" s="288" t="s">
        <v>465</v>
      </c>
      <c r="F1555" s="288" t="s">
        <v>490</v>
      </c>
      <c r="G1555" s="288" t="s">
        <v>466</v>
      </c>
      <c r="H1555" s="292" t="s">
        <v>8</v>
      </c>
      <c r="I1555" s="294" t="s">
        <v>467</v>
      </c>
      <c r="J1555" s="295"/>
      <c r="K1555" s="295"/>
      <c r="L1555" s="296"/>
      <c r="M1555" s="297" t="s">
        <v>468</v>
      </c>
      <c r="N1555" s="299" t="s">
        <v>469</v>
      </c>
      <c r="P1555" s="230">
        <f t="shared" si="698"/>
        <v>0</v>
      </c>
    </row>
    <row r="1556" spans="1:43" x14ac:dyDescent="0.2">
      <c r="B1556" s="289"/>
      <c r="C1556" s="291"/>
      <c r="D1556" s="289"/>
      <c r="E1556" s="289"/>
      <c r="F1556" s="289"/>
      <c r="G1556" s="289"/>
      <c r="H1556" s="293"/>
      <c r="I1556" s="236" t="s">
        <v>470</v>
      </c>
      <c r="J1556" s="236" t="s">
        <v>471</v>
      </c>
      <c r="K1556" s="236" t="s">
        <v>472</v>
      </c>
      <c r="L1556" s="236" t="s">
        <v>473</v>
      </c>
      <c r="M1556" s="298"/>
      <c r="N1556" s="300"/>
      <c r="P1556" s="230">
        <f t="shared" si="698"/>
        <v>0</v>
      </c>
    </row>
    <row r="1557" spans="1:43" x14ac:dyDescent="0.2">
      <c r="A1557" s="224" t="str">
        <f>CONCATENATE("Лот"," ",A1558)</f>
        <v>Лот 29</v>
      </c>
      <c r="B1557" s="273" t="s">
        <v>2087</v>
      </c>
      <c r="C1557" s="274"/>
      <c r="D1557" s="274"/>
      <c r="E1557" s="274"/>
      <c r="F1557" s="274"/>
      <c r="G1557" s="275"/>
      <c r="H1557" s="238" t="s">
        <v>17</v>
      </c>
      <c r="I1557" s="270">
        <f ca="1">ROUND(VLOOKUP($H1557,$AJ$4:$AN$13,2,0)*$Q1559*1.51,2)</f>
        <v>120.15</v>
      </c>
      <c r="J1557" s="270">
        <f ca="1">ROUND(VLOOKUP($H1557,$AJ$4:$AN$13,3,0)*$Q1559*1.51,2)</f>
        <v>85.62</v>
      </c>
      <c r="K1557" s="270">
        <f ca="1">ROUND(VLOOKUP($H1557,$AJ$4:$AN$13,4,0)*$Q1559*1.51,2)</f>
        <v>43.38</v>
      </c>
      <c r="L1557" s="270"/>
      <c r="M1557" s="270">
        <f ca="1">ROUND(VLOOKUP($H1557,$AJ$4:$AN$13,5,0)*$Q1559*1.51,2)</f>
        <v>6.85</v>
      </c>
      <c r="N1557" s="270"/>
      <c r="P1557" s="230">
        <f t="shared" si="698"/>
        <v>1</v>
      </c>
    </row>
    <row r="1558" spans="1:43" x14ac:dyDescent="0.2">
      <c r="A1558" s="224">
        <f>A1503+1</f>
        <v>29</v>
      </c>
      <c r="B1558" s="276"/>
      <c r="C1558" s="277"/>
      <c r="D1558" s="277"/>
      <c r="E1558" s="277"/>
      <c r="F1558" s="277"/>
      <c r="G1558" s="278"/>
      <c r="H1558" s="238" t="s">
        <v>25</v>
      </c>
      <c r="I1558" s="270">
        <f ca="1">ROUND(VLOOKUP($H1558,$AJ$4:$AN$13,2,0)*$Q1559*1.51,2)</f>
        <v>898.69</v>
      </c>
      <c r="J1558" s="270">
        <f ca="1">ROUND(VLOOKUP($H1558,$AJ$4:$AN$13,3,0)*$Q1559*1.51,2)</f>
        <v>642.13</v>
      </c>
      <c r="K1558" s="270">
        <f ca="1">ROUND(VLOOKUP($H1558,$AJ$4:$AN$13,4,0)*$Q1559*1.51,2)</f>
        <v>323.06</v>
      </c>
      <c r="L1558" s="270"/>
      <c r="M1558" s="270">
        <f ca="1">ROUND(VLOOKUP($H1558,$AJ$4:$AN$13,5,0)*$Q1559*1.51,2)</f>
        <v>27.97</v>
      </c>
      <c r="N1558" s="270"/>
      <c r="P1558" s="230">
        <f t="shared" si="698"/>
        <v>1</v>
      </c>
      <c r="Q1558" s="240" t="s">
        <v>2045</v>
      </c>
      <c r="R1558" s="240" t="s">
        <v>2046</v>
      </c>
    </row>
    <row r="1559" spans="1:43" x14ac:dyDescent="0.2">
      <c r="B1559" s="276"/>
      <c r="C1559" s="277"/>
      <c r="D1559" s="277"/>
      <c r="E1559" s="277"/>
      <c r="F1559" s="277"/>
      <c r="G1559" s="278"/>
      <c r="H1559" s="238" t="s">
        <v>19</v>
      </c>
      <c r="I1559" s="270">
        <f ca="1">ROUND(VLOOKUP($H1559,$AJ$4:$AN$13,2,0)*$Q1559*1.51,2)</f>
        <v>71.349999999999994</v>
      </c>
      <c r="J1559" s="270">
        <f ca="1">ROUND(VLOOKUP($H1559,$AJ$4:$AN$13,3,0)*$Q1559*1.51,2)</f>
        <v>51.94</v>
      </c>
      <c r="K1559" s="270">
        <f ca="1">ROUND(VLOOKUP($H1559,$AJ$4:$AN$13,4,0)*$Q1559*1.51,2)</f>
        <v>26.54</v>
      </c>
      <c r="L1559" s="270"/>
      <c r="M1559" s="270">
        <f ca="1">ROUND(VLOOKUP($H1559,$AJ$4:$AN$13,5,0)*$Q1559*1.51,2)</f>
        <v>1.43</v>
      </c>
      <c r="N1559" s="270"/>
      <c r="P1559" s="230">
        <f t="shared" si="698"/>
        <v>0</v>
      </c>
      <c r="Q1559" s="123">
        <f ca="1">IFERROR(IF(R1559="","",IF(OR(R1559&lt;100,R1559=100),0.9,IF(OR(AND(R1559&gt;100,R1559&lt;150),R1559=150),1,IF(R1559&gt;150,1.05,"")))),"0")</f>
        <v>1.05</v>
      </c>
      <c r="R1559" s="123">
        <f ca="1">N1575/G1563</f>
        <v>183.20327868852459</v>
      </c>
    </row>
    <row r="1560" spans="1:43" x14ac:dyDescent="0.2">
      <c r="B1560" s="276"/>
      <c r="C1560" s="277"/>
      <c r="D1560" s="277"/>
      <c r="E1560" s="277"/>
      <c r="F1560" s="277"/>
      <c r="G1560" s="278"/>
      <c r="H1560" s="238" t="s">
        <v>268</v>
      </c>
      <c r="I1560" s="270">
        <f ca="1">ROUND(VLOOKUP($H1560,$AJ$4:$AN$13,2,0)*$Q1559*1.51,2)</f>
        <v>898.69</v>
      </c>
      <c r="J1560" s="270">
        <f ca="1">ROUND(VLOOKUP($H1560,$AJ$4:$AN$13,3,0)*$Q1559*1.51,2)</f>
        <v>642.13</v>
      </c>
      <c r="K1560" s="270">
        <f ca="1">ROUND(VLOOKUP($H1560,$AJ$4:$AN$13,4,0)*$Q1559*1.51,2)</f>
        <v>323.06</v>
      </c>
      <c r="L1560" s="270"/>
      <c r="M1560" s="270">
        <f ca="1">ROUND(VLOOKUP($H1560,$AJ$4:$AN$13,5,0)*$Q1559*1.51,2)</f>
        <v>27.97</v>
      </c>
      <c r="N1560" s="270"/>
    </row>
    <row r="1561" spans="1:43" x14ac:dyDescent="0.2">
      <c r="B1561" s="276"/>
      <c r="C1561" s="277"/>
      <c r="D1561" s="277"/>
      <c r="E1561" s="277"/>
      <c r="F1561" s="277"/>
      <c r="G1561" s="278"/>
      <c r="H1561" s="238" t="s">
        <v>40</v>
      </c>
      <c r="I1561" s="270">
        <f ca="1">ROUND(VLOOKUP($H1561,$AJ$4:$AN$13,2,0)*$Q1559*1.51,2)</f>
        <v>71.349999999999994</v>
      </c>
      <c r="J1561" s="270">
        <f ca="1">ROUND(VLOOKUP($H1561,$AJ$4:$AN$13,3,0)*$Q1559*1.51,2)</f>
        <v>51.94</v>
      </c>
      <c r="K1561" s="270">
        <f ca="1">ROUND(VLOOKUP($H1561,$AJ$4:$AN$13,4,0)*$Q1559*1.51,2)</f>
        <v>26.54</v>
      </c>
      <c r="L1561" s="270"/>
      <c r="M1561" s="270">
        <f ca="1">ROUND(VLOOKUP($H1561,$AJ$4:$AN$13,5,0)*$Q1559*1.51,2)</f>
        <v>1.43</v>
      </c>
      <c r="N1561" s="270"/>
      <c r="P1561" s="230">
        <f t="shared" ref="P1561:P1574" si="699">IF(A1561&gt;0,1,0)</f>
        <v>0</v>
      </c>
    </row>
    <row r="1562" spans="1:43" x14ac:dyDescent="0.2">
      <c r="B1562" s="279"/>
      <c r="C1562" s="280"/>
      <c r="D1562" s="280"/>
      <c r="E1562" s="280"/>
      <c r="F1562" s="280"/>
      <c r="G1562" s="281"/>
      <c r="H1562" s="238" t="s">
        <v>18</v>
      </c>
      <c r="I1562" s="270">
        <f ca="1">ROUND(VLOOKUP($H1562,$AJ$4:$AN$13,2,0)*$Q1559*1.51,2)</f>
        <v>22.83</v>
      </c>
      <c r="J1562" s="270">
        <f ca="1">ROUND(VLOOKUP($H1562,$AJ$4:$AN$13,3,0)*$Q1559*1.51,2)</f>
        <v>17.41</v>
      </c>
      <c r="K1562" s="270">
        <f ca="1">ROUND(VLOOKUP($H1562,$AJ$4:$AN$13,4,0)*$Q1559*1.51,2)</f>
        <v>8.85</v>
      </c>
      <c r="L1562" s="270"/>
      <c r="M1562" s="270">
        <f ca="1">ROUND(VLOOKUP($H1562,$AJ$4:$AN$13,5,0)*$Q1559*1.51*1,2)</f>
        <v>0.56999999999999995</v>
      </c>
      <c r="N1562" s="270"/>
      <c r="P1562" s="230">
        <f t="shared" si="699"/>
        <v>0</v>
      </c>
      <c r="AP1562" s="241" t="s">
        <v>2053</v>
      </c>
      <c r="AQ1562" s="242"/>
    </row>
    <row r="1563" spans="1:43" x14ac:dyDescent="0.2">
      <c r="A1563" s="224">
        <f>A1508+37</f>
        <v>1036</v>
      </c>
      <c r="B1563" s="243" t="str">
        <f ca="1">OFFSET(ЛОТЫ!$L$5,A1563,0,1,1)</f>
        <v>Мамыковское</v>
      </c>
      <c r="C1563" s="244" t="s">
        <v>474</v>
      </c>
      <c r="D1563" s="243">
        <f ca="1">OFFSET(ЛОТЫ!$M$5,A1563,0,1,1)</f>
        <v>91</v>
      </c>
      <c r="E1563" s="243">
        <f ca="1">OFFSET(ЛОТЫ!$N$5,A1563,0,1,1)</f>
        <v>9</v>
      </c>
      <c r="F1563" s="243">
        <f ca="1">OFFSET(ЛОТЫ!$O$5,A1563,0,1,1)</f>
        <v>1</v>
      </c>
      <c r="G1563" s="271">
        <f ca="1">IFERROR(INDEX('Ведомость расчета мин. платы'!$G$10:$AC$214,MATCH(CONCATENATE(B1563,"/",D1563,"/",E1563,"/",F1563),'Ведомость расчета мин. платы'!$AC$10:$AC$214,0),1),"")</f>
        <v>6.1</v>
      </c>
      <c r="H1563" s="246" t="s">
        <v>17</v>
      </c>
      <c r="I1563" s="247">
        <f ca="1">IFERROR(INDEX('Ведомость расчета мин. платы'!$J$10:$AE$214,MATCH(CONCATENATE(РАСЧЕТ!B1563,"/",РАСЧЕТ!D1563,"/",РАСЧЕТ!E1563,"/",F1563,"/",H1563),'Ведомость расчета мин. платы'!$AE$10:$AE$214,0),2),"")</f>
        <v>28</v>
      </c>
      <c r="J1563" s="247">
        <f ca="1">IFERROR(INDEX('Ведомость расчета мин. платы'!$J$10:$AE$214,MATCH(CONCATENATE(РАСЧЕТ!B1563,"/",РАСЧЕТ!D1563,"/",РАСЧЕТ!E1563,"/",F1563,"/",H1563),'Ведомость расчета мин. платы'!$AE$10:$AE$214,0),3),"")</f>
        <v>58.4</v>
      </c>
      <c r="K1563" s="247">
        <f ca="1">IFERROR(INDEX('Ведомость расчета мин. платы'!$J$10:$AE$214,MATCH(CONCATENATE(РАСЧЕТ!B1563,"/",РАСЧЕТ!D1563,"/",РАСЧЕТ!E1563,"/",F1563,"/",H1563),'Ведомость расчета мин. платы'!$AE$10:$AE$214,0),4),"")</f>
        <v>15.6</v>
      </c>
      <c r="L1563" s="248">
        <f t="shared" ref="L1563:L1575" ca="1" si="700">IFERROR(SUM(I1563:K1563),"")</f>
        <v>102</v>
      </c>
      <c r="M1563" s="214">
        <f ca="1">IFERROR(INDEX('Ведомость расчета мин. платы'!$J$10:$AE$214,MATCH(CONCATENATE(РАСЧЕТ!B1563,"/",РАСЧЕТ!D1563,"/",РАСЧЕТ!E1563,"/",F1563,"/",H1563),'Ведомость расчета мин. платы'!$AE$10:$AE$214,0),6),"")</f>
        <v>122.4</v>
      </c>
      <c r="N1563" s="214">
        <f t="shared" ref="N1563:N1575" ca="1" si="701">IFERROR(SUM(L1563:M1563),"")</f>
        <v>224.4</v>
      </c>
      <c r="O1563" s="229">
        <f>IF(H1563="стоимость","",1)</f>
        <v>1</v>
      </c>
      <c r="P1563" s="230">
        <f t="shared" si="699"/>
        <v>1</v>
      </c>
      <c r="AP1563" s="242"/>
      <c r="AQ1563" s="242"/>
    </row>
    <row r="1564" spans="1:43" x14ac:dyDescent="0.2">
      <c r="B1564" s="249"/>
      <c r="C1564" s="249"/>
      <c r="D1564" s="249"/>
      <c r="E1564" s="249"/>
      <c r="F1564" s="249"/>
      <c r="G1564" s="249"/>
      <c r="H1564" s="250" t="s">
        <v>475</v>
      </c>
      <c r="I1564" s="251">
        <f ca="1">IFERROR(ROUND(I1563*I1557,2),"")</f>
        <v>3364.2</v>
      </c>
      <c r="J1564" s="251">
        <f t="shared" ref="J1564" ca="1" si="702">IFERROR(ROUND(J1563*J1557,2),"")</f>
        <v>5000.21</v>
      </c>
      <c r="K1564" s="251">
        <f t="shared" ref="K1564" ca="1" si="703">IFERROR(ROUND(K1563*K1557,2),"")</f>
        <v>676.73</v>
      </c>
      <c r="L1564" s="251">
        <f t="shared" ca="1" si="700"/>
        <v>9041.14</v>
      </c>
      <c r="M1564" s="251">
        <v>838.45000000000027</v>
      </c>
      <c r="N1564" s="252">
        <f t="shared" ca="1" si="701"/>
        <v>9879.59</v>
      </c>
      <c r="O1564" s="229" t="str">
        <f t="shared" ref="O1564:O1574" si="704">IF(H1564="стоимость","",1)</f>
        <v/>
      </c>
      <c r="P1564" s="230">
        <f t="shared" si="699"/>
        <v>0</v>
      </c>
      <c r="AP1564" s="242">
        <f ca="1">SUMIFS('Ведомость расчета мин. платы'!$S$10:$S$209,'Ведомость расчета мин. платы'!$AE$10:$AE$209,CONCATENATE(B1563,"/",D1563,"/",E1563,"/",F1563,"/",H1563))</f>
        <v>9879.59</v>
      </c>
      <c r="AQ1564" s="253">
        <f t="shared" ref="AQ1564" ca="1" si="705">AP1564-N1564</f>
        <v>0</v>
      </c>
    </row>
    <row r="1565" spans="1:43" x14ac:dyDescent="0.2">
      <c r="B1565" s="249"/>
      <c r="C1565" s="249"/>
      <c r="D1565" s="249"/>
      <c r="E1565" s="249"/>
      <c r="F1565" s="249"/>
      <c r="G1565" s="249"/>
      <c r="H1565" s="246" t="s">
        <v>25</v>
      </c>
      <c r="I1565" s="247">
        <f ca="1">IFERROR(INDEX('Ведомость расчета мин. платы'!$J$10:$AE$214,MATCH(CONCATENATE(РАСЧЕТ!B1563,"/",РАСЧЕТ!D1563,"/",РАСЧЕТ!E1563,"/",F1563,"/",H1565),'Ведомость расчета мин. платы'!$AE$10:$AE$214,0),2),"")</f>
        <v>0</v>
      </c>
      <c r="J1565" s="247">
        <f ca="1">IFERROR(INDEX('Ведомость расчета мин. платы'!$J$10:$AE$214,MATCH(CONCATENATE(РАСЧЕТ!B1563,"/",РАСЧЕТ!D1563,"/",РАСЧЕТ!E1563,"/",F1563,"/",H1565),'Ведомость расчета мин. платы'!$AE$10:$AE$214,0),3),"")</f>
        <v>32.4</v>
      </c>
      <c r="K1565" s="247">
        <f ca="1">IFERROR(INDEX('Ведомость расчета мин. платы'!$J$10:$AE$214,MATCH(CONCATENATE(РАСЧЕТ!B1563,"/",РАСЧЕТ!D1563,"/",РАСЧЕТ!E1563,"/",F1563,"/",H1565),'Ведомость расчета мин. платы'!$AE$10:$AE$214,0),4),"")</f>
        <v>16.600000000000001</v>
      </c>
      <c r="L1565" s="248">
        <f t="shared" ca="1" si="700"/>
        <v>49</v>
      </c>
      <c r="M1565" s="214">
        <v>62.1</v>
      </c>
      <c r="N1565" s="214">
        <f t="shared" ca="1" si="701"/>
        <v>111.1</v>
      </c>
      <c r="O1565" s="229">
        <f t="shared" si="704"/>
        <v>1</v>
      </c>
      <c r="P1565" s="230">
        <f t="shared" si="699"/>
        <v>0</v>
      </c>
      <c r="AP1565" s="242"/>
      <c r="AQ1565" s="253"/>
    </row>
    <row r="1566" spans="1:43" x14ac:dyDescent="0.2">
      <c r="B1566" s="249"/>
      <c r="C1566" s="249"/>
      <c r="D1566" s="249"/>
      <c r="E1566" s="249"/>
      <c r="F1566" s="249"/>
      <c r="G1566" s="249"/>
      <c r="H1566" s="250" t="s">
        <v>475</v>
      </c>
      <c r="I1566" s="251">
        <f ca="1">IFERROR(ROUND(I1565*I1558,2),"")</f>
        <v>0</v>
      </c>
      <c r="J1566" s="251">
        <f t="shared" ref="J1566" ca="1" si="706">IFERROR(ROUND(J1565*J1558,2),"")</f>
        <v>20805.009999999998</v>
      </c>
      <c r="K1566" s="251">
        <f t="shared" ref="K1566" ca="1" si="707">IFERROR(ROUND(K1565*K1558,2),"")</f>
        <v>5362.8</v>
      </c>
      <c r="L1566" s="251">
        <f t="shared" ca="1" si="700"/>
        <v>26167.809999999998</v>
      </c>
      <c r="M1566" s="251">
        <v>1736.9300000000053</v>
      </c>
      <c r="N1566" s="252">
        <f t="shared" ca="1" si="701"/>
        <v>27904.74</v>
      </c>
      <c r="O1566" s="229" t="str">
        <f t="shared" si="704"/>
        <v/>
      </c>
      <c r="P1566" s="230">
        <f t="shared" si="699"/>
        <v>0</v>
      </c>
      <c r="AP1566" s="242">
        <f ca="1">SUMIFS('Ведомость расчета мин. платы'!$S$10:$S$209,'Ведомость расчета мин. платы'!$AE$10:$AE$209,CONCATENATE(B1563,"/",D1563,"/",E1563,"/",F1563,"/",H1565))</f>
        <v>27904.74</v>
      </c>
      <c r="AQ1566" s="253">
        <f t="shared" ref="AQ1566" ca="1" si="708">AP1566-N1566</f>
        <v>0</v>
      </c>
    </row>
    <row r="1567" spans="1:43" x14ac:dyDescent="0.2">
      <c r="B1567" s="249"/>
      <c r="C1567" s="249"/>
      <c r="D1567" s="249"/>
      <c r="E1567" s="249"/>
      <c r="F1567" s="249"/>
      <c r="G1567" s="249"/>
      <c r="H1567" s="205" t="s">
        <v>19</v>
      </c>
      <c r="I1567" s="248">
        <f ca="1">IFERROR(INDEX('Ведомость расчета мин. платы'!$J$10:$AE$214,MATCH(CONCATENATE(РАСЧЕТ!B1563,"/",РАСЧЕТ!D1563,"/",РАСЧЕТ!E1563,"/",F1563,"/",H1567),'Ведомость расчета мин. платы'!$AE$10:$AE$214,0),2),"")</f>
        <v>0.34</v>
      </c>
      <c r="J1567" s="248">
        <f ca="1">IFERROR(INDEX('Ведомость расчета мин. платы'!$J$10:$AE$214,MATCH(CONCATENATE(РАСЧЕТ!B1563,"/",РАСЧЕТ!D1563,"/",РАСЧЕТ!E1563,"/",F1563,"/",H1567),'Ведомость расчета мин. платы'!$AE$10:$AE$214,0),3),"")</f>
        <v>27.48</v>
      </c>
      <c r="K1567" s="248">
        <f ca="1">IFERROR(INDEX('Ведомость расчета мин. платы'!$J$10:$AE$214,MATCH(CONCATENATE(РАСЧЕТ!B1563,"/",РАСЧЕТ!D1563,"/",РАСЧЕТ!E1563,"/",F1563,"/",H1567),'Ведомость расчета мин. платы'!$AE$10:$AE$214,0),4),"")</f>
        <v>10.59</v>
      </c>
      <c r="L1567" s="248">
        <f t="shared" ca="1" si="700"/>
        <v>38.409999999999997</v>
      </c>
      <c r="M1567" s="248">
        <f ca="1">IFERROR(INDEX('Ведомость расчета мин. платы'!$J$10:$AE$214,MATCH(CONCATENATE(РАСЧЕТ!B1563,"/",РАСЧЕТ!D1563,"/",РАСЧЕТ!E1563,"/",F1563,"/",H1567),'Ведомость расчета мин. платы'!$AE$10:$AE$214,0),6),"")</f>
        <v>74.73</v>
      </c>
      <c r="N1567" s="214">
        <f t="shared" ca="1" si="701"/>
        <v>113.14</v>
      </c>
      <c r="O1567" s="229">
        <f t="shared" si="704"/>
        <v>1</v>
      </c>
      <c r="P1567" s="230">
        <f t="shared" si="699"/>
        <v>0</v>
      </c>
      <c r="AP1567" s="242"/>
      <c r="AQ1567" s="253"/>
    </row>
    <row r="1568" spans="1:43" x14ac:dyDescent="0.2">
      <c r="B1568" s="249"/>
      <c r="C1568" s="249"/>
      <c r="D1568" s="249"/>
      <c r="E1568" s="249"/>
      <c r="F1568" s="249"/>
      <c r="G1568" s="249"/>
      <c r="H1568" s="250" t="s">
        <v>475</v>
      </c>
      <c r="I1568" s="251">
        <f ca="1">IFERROR(ROUND(I1567*I1559,2),"")</f>
        <v>24.26</v>
      </c>
      <c r="J1568" s="251">
        <f t="shared" ref="J1568" ca="1" si="709">IFERROR(ROUND(J1567*J1559,2),"")</f>
        <v>1427.31</v>
      </c>
      <c r="K1568" s="251">
        <f t="shared" ref="K1568" ca="1" si="710">IFERROR(ROUND(K1567*K1559,2),"")</f>
        <v>281.06</v>
      </c>
      <c r="L1568" s="251">
        <f t="shared" ca="1" si="700"/>
        <v>1732.6299999999999</v>
      </c>
      <c r="M1568" s="251">
        <f t="shared" ref="M1568" ca="1" si="711">IFERROR(ROUND(M1567*M1559,2),"")</f>
        <v>106.86</v>
      </c>
      <c r="N1568" s="252">
        <f t="shared" ca="1" si="701"/>
        <v>1839.4899999999998</v>
      </c>
      <c r="O1568" s="229" t="str">
        <f t="shared" si="704"/>
        <v/>
      </c>
      <c r="P1568" s="230">
        <f t="shared" si="699"/>
        <v>0</v>
      </c>
      <c r="AP1568" s="242">
        <f ca="1">SUMIFS('Ведомость расчета мин. платы'!$S$10:$S$209,'Ведомость расчета мин. платы'!$AE$10:$AE$209,CONCATENATE(B1563,"/",D1563,"/",E1563,"/",F1563,"/",H1567))</f>
        <v>1839.49</v>
      </c>
      <c r="AQ1568" s="253">
        <f t="shared" ref="AQ1568" ca="1" si="712">AP1568-N1568</f>
        <v>0</v>
      </c>
    </row>
    <row r="1569" spans="2:43" x14ac:dyDescent="0.2">
      <c r="B1569" s="249"/>
      <c r="C1569" s="249"/>
      <c r="D1569" s="249"/>
      <c r="E1569" s="249"/>
      <c r="F1569" s="249"/>
      <c r="G1569" s="249"/>
      <c r="H1569" s="205" t="s">
        <v>268</v>
      </c>
      <c r="I1569" s="248" t="str">
        <f ca="1">IFERROR(INDEX('Ведомость расчета мин. платы'!$J$10:$AE$214,MATCH(CONCATENATE(РАСЧЕТ!B1563,"/",РАСЧЕТ!D1563,"/",РАСЧЕТ!E1563,"/",F1563,"/",H1569),'Ведомость расчета мин. платы'!$AE$10:$AE$214,0),2),"")</f>
        <v/>
      </c>
      <c r="J1569" s="248" t="str">
        <f ca="1">IFERROR(INDEX('Ведомость расчета мин. платы'!$J$10:$AE$214,MATCH(CONCATENATE(РАСЧЕТ!B1563,"/",РАСЧЕТ!D1563,"/",РАСЧЕТ!E1563,"/",F1563,"/",H1569),'Ведомость расчета мин. платы'!$AE$10:$AE$214,0),3),"")</f>
        <v/>
      </c>
      <c r="K1569" s="248" t="str">
        <f ca="1">IFERROR(INDEX('Ведомость расчета мин. платы'!$J$10:$AE$214,MATCH(CONCATENATE(РАСЧЕТ!B1563,"/",РАСЧЕТ!D1563,"/",РАСЧЕТ!E1563,"/",F1563,"/",H1569),'Ведомость расчета мин. платы'!$AE$10:$AE$214,0),4),"")</f>
        <v/>
      </c>
      <c r="L1569" s="248">
        <f t="shared" ca="1" si="700"/>
        <v>0</v>
      </c>
      <c r="M1569" s="248" t="str">
        <f ca="1">IFERROR(INDEX('Ведомость расчета мин. платы'!$J$10:$AE$214,MATCH(CONCATENATE(РАСЧЕТ!B1563,"/",РАСЧЕТ!D1563,"/",РАСЧЕТ!E1563,"/",F1563,"/",H1569),'Ведомость расчета мин. платы'!$AE$10:$AE$214,0),6),"")</f>
        <v/>
      </c>
      <c r="N1569" s="214">
        <f t="shared" ca="1" si="701"/>
        <v>0</v>
      </c>
      <c r="O1569" s="229">
        <f t="shared" si="704"/>
        <v>1</v>
      </c>
      <c r="P1569" s="230">
        <f t="shared" si="699"/>
        <v>0</v>
      </c>
      <c r="AP1569" s="242"/>
      <c r="AQ1569" s="253"/>
    </row>
    <row r="1570" spans="2:43" x14ac:dyDescent="0.2">
      <c r="B1570" s="249"/>
      <c r="C1570" s="249"/>
      <c r="D1570" s="249"/>
      <c r="E1570" s="249"/>
      <c r="F1570" s="249"/>
      <c r="G1570" s="249"/>
      <c r="H1570" s="250" t="s">
        <v>475</v>
      </c>
      <c r="I1570" s="251" t="str">
        <f ca="1">IFERROR(ROUND(I1569*I1562,2),"")</f>
        <v/>
      </c>
      <c r="J1570" s="251" t="str">
        <f ca="1">IFERROR(ROUND(J1569*J1560,2),"")</f>
        <v/>
      </c>
      <c r="K1570" s="251" t="str">
        <f ca="1">IFERROR(ROUND(K1569*K1560,2),"")</f>
        <v/>
      </c>
      <c r="L1570" s="251">
        <f t="shared" ca="1" si="700"/>
        <v>0</v>
      </c>
      <c r="M1570" s="251" t="str">
        <f ca="1">IFERROR(ROUND(M1569*M1560,2),"")</f>
        <v/>
      </c>
      <c r="N1570" s="252">
        <f t="shared" ca="1" si="701"/>
        <v>0</v>
      </c>
      <c r="O1570" s="229" t="str">
        <f t="shared" si="704"/>
        <v/>
      </c>
      <c r="P1570" s="230">
        <f t="shared" si="699"/>
        <v>0</v>
      </c>
      <c r="AP1570" s="242">
        <f ca="1">SUMIFS('Ведомость расчета мин. платы'!$S$10:$S$209,'Ведомость расчета мин. платы'!$AE$10:$AE$209,CONCATENATE(B1563,"/",D1563,"/",E1563,"/",F1563,"/",H1569))</f>
        <v>0</v>
      </c>
      <c r="AQ1570" s="253">
        <f t="shared" ref="AQ1570" ca="1" si="713">AP1570-N1570</f>
        <v>0</v>
      </c>
    </row>
    <row r="1571" spans="2:43" x14ac:dyDescent="0.2">
      <c r="B1571" s="249"/>
      <c r="C1571" s="249"/>
      <c r="D1571" s="249"/>
      <c r="E1571" s="249"/>
      <c r="F1571" s="249"/>
      <c r="G1571" s="249"/>
      <c r="H1571" s="205" t="s">
        <v>40</v>
      </c>
      <c r="I1571" s="248" t="str">
        <f ca="1">IFERROR(INDEX('Ведомость расчета мин. платы'!$J$10:$AE$214,MATCH(CONCATENATE(РАСЧЕТ!B1563,"/",РАСЧЕТ!D1563,"/",РАСЧЕТ!E1563,"/",F1563,"/",H1571),'Ведомость расчета мин. платы'!$AE$10:$AE$214,0),2),"")</f>
        <v/>
      </c>
      <c r="J1571" s="248" t="str">
        <f ca="1">IFERROR(INDEX('Ведомость расчета мин. платы'!$J$10:$AE$214,MATCH(CONCATENATE(РАСЧЕТ!B1563,"/",РАСЧЕТ!D1563,"/",РАСЧЕТ!E1563,"/",F1563,"/",H1571),'Ведомость расчета мин. платы'!$AE$10:$AE$214,0),3),"")</f>
        <v/>
      </c>
      <c r="K1571" s="248" t="str">
        <f ca="1">IFERROR(INDEX('Ведомость расчета мин. платы'!$J$10:$AE$214,MATCH(CONCATENATE(РАСЧЕТ!B1563,"/",РАСЧЕТ!D1563,"/",РАСЧЕТ!E1563,"/",F1563,"/",H1571),'Ведомость расчета мин. платы'!$AE$10:$AE$214,0),4),"")</f>
        <v/>
      </c>
      <c r="L1571" s="248">
        <f t="shared" ca="1" si="700"/>
        <v>0</v>
      </c>
      <c r="M1571" s="248" t="str">
        <f ca="1">IFERROR(INDEX('Ведомость расчета мин. платы'!$J$10:$AE$214,MATCH(CONCATENATE(РАСЧЕТ!B1563,"/",РАСЧЕТ!D1563,"/",РАСЧЕТ!E1563,"/",F1563,"/",H1571),'Ведомость расчета мин. платы'!$AE$10:$AE$214,0),6),"")</f>
        <v/>
      </c>
      <c r="N1571" s="214">
        <f t="shared" ca="1" si="701"/>
        <v>0</v>
      </c>
      <c r="O1571" s="229">
        <f t="shared" si="704"/>
        <v>1</v>
      </c>
      <c r="P1571" s="230">
        <f t="shared" si="699"/>
        <v>0</v>
      </c>
      <c r="AP1571" s="242"/>
      <c r="AQ1571" s="253"/>
    </row>
    <row r="1572" spans="2:43" x14ac:dyDescent="0.2">
      <c r="B1572" s="249"/>
      <c r="C1572" s="249"/>
      <c r="D1572" s="249"/>
      <c r="E1572" s="249"/>
      <c r="F1572" s="249"/>
      <c r="G1572" s="249"/>
      <c r="H1572" s="250" t="s">
        <v>475</v>
      </c>
      <c r="I1572" s="251" t="str">
        <f ca="1">IFERROR(ROUND(I1571*I1561,2),"")</f>
        <v/>
      </c>
      <c r="J1572" s="251" t="str">
        <f t="shared" ref="J1572" ca="1" si="714">IFERROR(ROUND(J1571*J1561,2),"")</f>
        <v/>
      </c>
      <c r="K1572" s="251" t="str">
        <f t="shared" ref="K1572" ca="1" si="715">IFERROR(ROUND(K1571*K1561,2),"")</f>
        <v/>
      </c>
      <c r="L1572" s="251">
        <f t="shared" ca="1" si="700"/>
        <v>0</v>
      </c>
      <c r="M1572" s="251" t="str">
        <f t="shared" ref="M1572" ca="1" si="716">IFERROR(ROUND(M1571*M1561,2),"")</f>
        <v/>
      </c>
      <c r="N1572" s="252">
        <f t="shared" ca="1" si="701"/>
        <v>0</v>
      </c>
      <c r="O1572" s="229" t="str">
        <f t="shared" si="704"/>
        <v/>
      </c>
      <c r="P1572" s="230">
        <f t="shared" si="699"/>
        <v>0</v>
      </c>
      <c r="AP1572" s="242">
        <f ca="1">SUMIFS('Ведомость расчета мин. платы'!$S$10:$S$209,'Ведомость расчета мин. платы'!$AE$10:$AE$209,CONCATENATE(B1563,"/",D1563,"/",E1563,"/",F1563,"/",H1571))</f>
        <v>0</v>
      </c>
      <c r="AQ1572" s="253">
        <f t="shared" ref="AQ1572" ca="1" si="717">AP1572-N1572</f>
        <v>0</v>
      </c>
    </row>
    <row r="1573" spans="2:43" x14ac:dyDescent="0.2">
      <c r="B1573" s="249"/>
      <c r="C1573" s="249"/>
      <c r="D1573" s="249"/>
      <c r="E1573" s="249"/>
      <c r="F1573" s="249"/>
      <c r="G1573" s="249"/>
      <c r="H1573" s="205" t="s">
        <v>18</v>
      </c>
      <c r="I1573" s="248">
        <f ca="1">IFERROR(INDEX('Ведомость расчета мин. платы'!$J$10:$AE$214,MATCH(CONCATENATE(РАСЧЕТ!B1563,"/",РАСЧЕТ!D1563,"/",РАСЧЕТ!E1563,"/",F1563,"/",H1573),'Ведомость расчета мин. платы'!$AE$10:$AE$214,0),2),"")</f>
        <v>275.39999999999998</v>
      </c>
      <c r="J1573" s="248">
        <f ca="1">IFERROR(INDEX('Ведомость расчета мин. платы'!$J$10:$AE$214,MATCH(CONCATENATE(РАСЧЕТ!B1563,"/",РАСЧЕТ!D1563,"/",РАСЧЕТ!E1563,"/",F1563,"/",H1573),'Ведомость расчета мин. платы'!$AE$10:$AE$214,0),3),"")</f>
        <v>54.6</v>
      </c>
      <c r="K1573" s="248">
        <f ca="1">IFERROR(INDEX('Ведомость расчета мин. платы'!$J$10:$AE$214,MATCH(CONCATENATE(РАСЧЕТ!B1563,"/",РАСЧЕТ!D1563,"/",РАСЧЕТ!E1563,"/",F1563,"/",H1573),'Ведомость расчета мин. платы'!$AE$10:$AE$214,0),4),"")</f>
        <v>4.2</v>
      </c>
      <c r="L1573" s="248">
        <f t="shared" ca="1" si="700"/>
        <v>334.2</v>
      </c>
      <c r="M1573" s="248">
        <f ca="1">IFERROR(INDEX('Ведомость расчета мин. платы'!$J$10:$AE$214,MATCH(CONCATENATE(РАСЧЕТ!B1563,"/",РАСЧЕТ!D1563,"/",РАСЧЕТ!E1563,"/",F1563,"/",H1573),'Ведомость расчета мин. платы'!$AE$10:$AE$214,0),6),"")</f>
        <v>334.7</v>
      </c>
      <c r="N1573" s="214">
        <f t="shared" ca="1" si="701"/>
        <v>668.9</v>
      </c>
      <c r="O1573" s="229">
        <f t="shared" si="704"/>
        <v>1</v>
      </c>
      <c r="P1573" s="230">
        <f t="shared" si="699"/>
        <v>0</v>
      </c>
      <c r="AP1573" s="242"/>
      <c r="AQ1573" s="253"/>
    </row>
    <row r="1574" spans="2:43" x14ac:dyDescent="0.2">
      <c r="B1574" s="249"/>
      <c r="C1574" s="249"/>
      <c r="D1574" s="249"/>
      <c r="E1574" s="249"/>
      <c r="F1574" s="249"/>
      <c r="G1574" s="249"/>
      <c r="H1574" s="250" t="s">
        <v>475</v>
      </c>
      <c r="I1574" s="251">
        <f ca="1">IFERROR(ROUND(I1573*I1562,2),"")</f>
        <v>6287.38</v>
      </c>
      <c r="J1574" s="251">
        <f t="shared" ref="J1574" ca="1" si="718">IFERROR(ROUND(J1573*J1562,2),"")</f>
        <v>950.59</v>
      </c>
      <c r="K1574" s="251">
        <f t="shared" ref="K1574" ca="1" si="719">IFERROR(ROUND(K1573*K1562,2),"")</f>
        <v>37.17</v>
      </c>
      <c r="L1574" s="251">
        <f t="shared" ca="1" si="700"/>
        <v>7275.14</v>
      </c>
      <c r="M1574" s="251">
        <f t="shared" ref="M1574" ca="1" si="720">IFERROR(ROUND(M1573*M1562,2),"")</f>
        <v>190.78</v>
      </c>
      <c r="N1574" s="252">
        <f t="shared" ca="1" si="701"/>
        <v>7465.92</v>
      </c>
      <c r="O1574" s="229" t="str">
        <f t="shared" si="704"/>
        <v/>
      </c>
      <c r="P1574" s="230">
        <f t="shared" si="699"/>
        <v>0</v>
      </c>
      <c r="AP1574" s="242">
        <f ca="1">SUMIFS('Ведомость расчета мин. платы'!$S$10:$S$209,'Ведомость расчета мин. платы'!$AE$10:$AE$209,CONCATENATE(B1563,"/",D1563,"/",E1563,"/",F1563,"/",H1573))</f>
        <v>7465.92</v>
      </c>
      <c r="AQ1574" s="253">
        <f t="shared" ref="AQ1574" ca="1" si="721">AP1574-N1574</f>
        <v>0</v>
      </c>
    </row>
    <row r="1575" spans="2:43" x14ac:dyDescent="0.2">
      <c r="B1575" s="249"/>
      <c r="C1575" s="249"/>
      <c r="D1575" s="249"/>
      <c r="E1575" s="249"/>
      <c r="F1575" s="249"/>
      <c r="G1575" s="249"/>
      <c r="H1575" s="254" t="s">
        <v>476</v>
      </c>
      <c r="I1575" s="251">
        <f ca="1">SUMIF($O1563:$O1576,1,I1563:I1574)</f>
        <v>303.73999999999995</v>
      </c>
      <c r="J1575" s="251">
        <f ca="1">SUMIF($O1563:$O1576,1,J1563:J1574)</f>
        <v>172.88</v>
      </c>
      <c r="K1575" s="251">
        <f ca="1">SUMIF($O1563:$O1576,1,K1563:K1574)</f>
        <v>46.990000000000009</v>
      </c>
      <c r="L1575" s="251">
        <f t="shared" ca="1" si="700"/>
        <v>523.6099999999999</v>
      </c>
      <c r="M1575" s="251">
        <f ca="1">SUMIF($O1563:$O1576,1,M1563:M1574)</f>
        <v>593.93000000000006</v>
      </c>
      <c r="N1575" s="252">
        <f t="shared" ca="1" si="701"/>
        <v>1117.54</v>
      </c>
      <c r="AP1575" s="242"/>
      <c r="AQ1575" s="253"/>
    </row>
    <row r="1576" spans="2:43" x14ac:dyDescent="0.2">
      <c r="B1576" s="249"/>
      <c r="C1576" s="249"/>
      <c r="D1576" s="249"/>
      <c r="E1576" s="249"/>
      <c r="F1576" s="249"/>
      <c r="G1576" s="249"/>
      <c r="H1576" s="254" t="s">
        <v>491</v>
      </c>
      <c r="I1576" s="251">
        <f ca="1">SUMIF(H1563:H1574,"стоимость",I1563:I1574)</f>
        <v>9675.84</v>
      </c>
      <c r="J1576" s="251">
        <f ca="1">SUMIF(H1563:H1574,"стоимость",J1563:J1574)</f>
        <v>28183.119999999999</v>
      </c>
      <c r="K1576" s="251">
        <f ca="1">SUMIF(H1563:H1574,"стоимость",K1563:K1574)</f>
        <v>6357.7600000000011</v>
      </c>
      <c r="L1576" s="251">
        <f ca="1">IFERROR(SUM(I1576:K1576),"")</f>
        <v>44216.72</v>
      </c>
      <c r="M1576" s="251">
        <f ca="1">SUMIF(H1563:H1574,"стоимость",M1563:M1574)</f>
        <v>2873.0200000000059</v>
      </c>
      <c r="N1576" s="252">
        <f ca="1">IFERROR(SUM(L1576:M1576),"")</f>
        <v>47089.740000000005</v>
      </c>
      <c r="AP1576" s="242">
        <f ca="1">SUMIFS('Ведомость расчета мин. платы'!$S$10:$S$209,'Ведомость расчета мин. платы'!$J$10:$J$209,"Итого",'Ведомость расчета мин. платы'!$AC$10:$AC$209,CONCATENATE(B1563,"/",D1563,"/",E1563,"/",F1563))</f>
        <v>47089.74</v>
      </c>
      <c r="AQ1576" s="253">
        <f ca="1">AP1576-N1576</f>
        <v>0</v>
      </c>
    </row>
    <row r="1577" spans="2:43" x14ac:dyDescent="0.2">
      <c r="B1577" s="255"/>
      <c r="C1577" s="255"/>
      <c r="D1577" s="255"/>
      <c r="E1577" s="255"/>
      <c r="F1577" s="255"/>
      <c r="G1577" s="256"/>
      <c r="H1577" s="257"/>
      <c r="I1577" s="258"/>
      <c r="J1577" s="258"/>
      <c r="K1577" s="258"/>
      <c r="L1577" s="258"/>
      <c r="M1577" s="258"/>
      <c r="N1577" s="258"/>
      <c r="P1577" s="230">
        <f t="shared" ref="P1577:P1595" si="722">IF(A1577&gt;0,1,0)</f>
        <v>0</v>
      </c>
    </row>
    <row r="1578" spans="2:43" x14ac:dyDescent="0.2">
      <c r="B1578" s="282" t="s">
        <v>477</v>
      </c>
      <c r="C1578" s="282"/>
      <c r="D1578" s="282"/>
      <c r="E1578" s="282"/>
      <c r="F1578" s="259"/>
      <c r="G1578" s="225"/>
      <c r="H1578" s="201"/>
      <c r="I1578" s="226"/>
      <c r="J1578" s="258"/>
      <c r="K1578" s="258"/>
      <c r="L1578" s="258"/>
      <c r="M1578" s="258"/>
      <c r="N1578" s="258"/>
      <c r="P1578" s="230">
        <f t="shared" si="722"/>
        <v>0</v>
      </c>
    </row>
    <row r="1579" spans="2:43" x14ac:dyDescent="0.2">
      <c r="B1579" s="283" t="s">
        <v>525</v>
      </c>
      <c r="C1579" s="283"/>
      <c r="D1579" s="283"/>
      <c r="E1579" s="283"/>
      <c r="F1579" s="283"/>
      <c r="G1579" s="283"/>
      <c r="H1579" s="283"/>
      <c r="I1579" s="283"/>
      <c r="J1579" s="261"/>
      <c r="K1579" s="261"/>
      <c r="L1579" s="261"/>
      <c r="M1579" s="261"/>
      <c r="N1579" s="261"/>
      <c r="P1579" s="230">
        <f t="shared" si="722"/>
        <v>0</v>
      </c>
    </row>
    <row r="1580" spans="2:43" x14ac:dyDescent="0.2">
      <c r="B1580" s="284" t="s">
        <v>478</v>
      </c>
      <c r="C1580" s="284"/>
      <c r="D1580" s="284"/>
      <c r="E1580" s="284"/>
      <c r="F1580" s="284"/>
      <c r="G1580" s="284"/>
      <c r="H1580" s="284"/>
      <c r="I1580" s="284"/>
      <c r="J1580" s="258"/>
      <c r="K1580" s="258"/>
      <c r="L1580" s="258"/>
      <c r="M1580" s="258"/>
      <c r="N1580" s="258"/>
      <c r="P1580" s="230">
        <f t="shared" si="722"/>
        <v>0</v>
      </c>
    </row>
    <row r="1581" spans="2:43" x14ac:dyDescent="0.2">
      <c r="B1581" s="284" t="s">
        <v>479</v>
      </c>
      <c r="C1581" s="284"/>
      <c r="D1581" s="284"/>
      <c r="E1581" s="284"/>
      <c r="F1581" s="284"/>
      <c r="G1581" s="284"/>
      <c r="H1581" s="284"/>
      <c r="I1581" s="284"/>
      <c r="J1581" s="258"/>
      <c r="K1581" s="258"/>
      <c r="L1581" s="258"/>
      <c r="M1581" s="258"/>
      <c r="N1581" s="258"/>
      <c r="P1581" s="230">
        <f t="shared" si="722"/>
        <v>0</v>
      </c>
    </row>
    <row r="1582" spans="2:43" x14ac:dyDescent="0.2">
      <c r="B1582" s="284" t="s">
        <v>480</v>
      </c>
      <c r="C1582" s="284"/>
      <c r="D1582" s="284"/>
      <c r="E1582" s="284"/>
      <c r="F1582" s="284"/>
      <c r="G1582" s="284"/>
      <c r="H1582" s="284"/>
      <c r="I1582" s="284"/>
      <c r="J1582" s="258"/>
      <c r="K1582" s="258"/>
      <c r="L1582" s="258"/>
      <c r="M1582" s="258"/>
      <c r="N1582" s="258"/>
      <c r="P1582" s="230">
        <f t="shared" si="722"/>
        <v>0</v>
      </c>
    </row>
    <row r="1583" spans="2:43" x14ac:dyDescent="0.2">
      <c r="B1583" s="284" t="s">
        <v>481</v>
      </c>
      <c r="C1583" s="284"/>
      <c r="D1583" s="284"/>
      <c r="E1583" s="284"/>
      <c r="F1583" s="284"/>
      <c r="G1583" s="284"/>
      <c r="H1583" s="284"/>
      <c r="I1583" s="284"/>
      <c r="J1583" s="226"/>
      <c r="K1583" s="226"/>
      <c r="L1583" s="226"/>
      <c r="M1583" s="226"/>
      <c r="N1583" s="226"/>
      <c r="P1583" s="230">
        <f t="shared" si="722"/>
        <v>0</v>
      </c>
    </row>
    <row r="1584" spans="2:43" x14ac:dyDescent="0.2">
      <c r="B1584" s="284" t="s">
        <v>482</v>
      </c>
      <c r="C1584" s="284"/>
      <c r="D1584" s="284"/>
      <c r="E1584" s="284"/>
      <c r="F1584" s="284"/>
      <c r="G1584" s="284"/>
      <c r="H1584" s="284"/>
      <c r="I1584" s="284"/>
      <c r="J1584" s="226"/>
      <c r="K1584" s="226"/>
      <c r="L1584" s="226"/>
      <c r="M1584" s="226"/>
      <c r="N1584" s="226"/>
      <c r="P1584" s="230">
        <f t="shared" si="722"/>
        <v>0</v>
      </c>
    </row>
    <row r="1585" spans="1:16" x14ac:dyDescent="0.2">
      <c r="B1585" s="284" t="s">
        <v>483</v>
      </c>
      <c r="C1585" s="284"/>
      <c r="D1585" s="284"/>
      <c r="E1585" s="284"/>
      <c r="F1585" s="284"/>
      <c r="G1585" s="284"/>
      <c r="H1585" s="284"/>
      <c r="I1585" s="284"/>
      <c r="J1585" s="226"/>
      <c r="K1585" s="226"/>
      <c r="L1585" s="226"/>
      <c r="M1585" s="226"/>
      <c r="N1585" s="226"/>
      <c r="P1585" s="230">
        <f t="shared" si="722"/>
        <v>0</v>
      </c>
    </row>
    <row r="1586" spans="1:16" x14ac:dyDescent="0.2">
      <c r="B1586" s="284" t="s">
        <v>484</v>
      </c>
      <c r="C1586" s="284"/>
      <c r="D1586" s="284"/>
      <c r="E1586" s="284"/>
      <c r="F1586" s="284"/>
      <c r="G1586" s="284"/>
      <c r="H1586" s="284"/>
      <c r="I1586" s="284"/>
      <c r="J1586" s="226"/>
      <c r="K1586" s="226"/>
      <c r="L1586" s="226"/>
      <c r="M1586" s="226"/>
      <c r="N1586" s="226"/>
      <c r="P1586" s="230">
        <f t="shared" si="722"/>
        <v>0</v>
      </c>
    </row>
    <row r="1587" spans="1:16" x14ac:dyDescent="0.2">
      <c r="B1587" s="264"/>
      <c r="C1587" s="264"/>
      <c r="D1587" s="264"/>
      <c r="E1587" s="264"/>
      <c r="F1587" s="264"/>
      <c r="G1587" s="264"/>
      <c r="H1587" s="264"/>
      <c r="I1587" s="265"/>
      <c r="J1587" s="226"/>
      <c r="K1587" s="226"/>
      <c r="L1587" s="226"/>
      <c r="M1587" s="226"/>
      <c r="N1587" s="226"/>
      <c r="P1587" s="230">
        <f t="shared" si="722"/>
        <v>0</v>
      </c>
    </row>
    <row r="1588" spans="1:16" x14ac:dyDescent="0.2">
      <c r="B1588" s="225" t="s">
        <v>485</v>
      </c>
      <c r="C1588" s="225"/>
      <c r="D1588" s="225"/>
      <c r="E1588" s="225"/>
      <c r="F1588" s="225"/>
      <c r="G1588" s="225"/>
      <c r="H1588" s="201"/>
      <c r="I1588" s="226"/>
      <c r="J1588" s="226" t="s">
        <v>486</v>
      </c>
      <c r="K1588" s="226"/>
      <c r="L1588" s="226"/>
      <c r="M1588" s="226"/>
      <c r="N1588" s="226"/>
      <c r="P1588" s="230">
        <f t="shared" si="722"/>
        <v>0</v>
      </c>
    </row>
    <row r="1589" spans="1:16" x14ac:dyDescent="0.2">
      <c r="B1589" s="266" t="s">
        <v>524</v>
      </c>
      <c r="C1589" s="266"/>
      <c r="D1589" s="225"/>
      <c r="E1589" s="225"/>
      <c r="F1589" s="225"/>
      <c r="G1589" s="225"/>
      <c r="H1589" s="201"/>
      <c r="I1589" s="226"/>
      <c r="J1589" s="267"/>
      <c r="K1589" s="267"/>
      <c r="L1589" s="267"/>
      <c r="M1589" s="226"/>
      <c r="N1589" s="226"/>
      <c r="P1589" s="230">
        <f t="shared" si="722"/>
        <v>0</v>
      </c>
    </row>
    <row r="1590" spans="1:16" x14ac:dyDescent="0.2">
      <c r="B1590" s="268" t="s">
        <v>487</v>
      </c>
      <c r="C1590" s="225"/>
      <c r="D1590" s="225"/>
      <c r="E1590" s="225"/>
      <c r="F1590" s="225"/>
      <c r="G1590" s="225"/>
      <c r="H1590" s="201"/>
      <c r="I1590" s="226"/>
      <c r="J1590" s="226" t="s">
        <v>487</v>
      </c>
      <c r="K1590" s="226"/>
      <c r="L1590" s="226"/>
      <c r="M1590" s="226"/>
      <c r="N1590" s="226"/>
      <c r="P1590" s="230">
        <f t="shared" si="722"/>
        <v>0</v>
      </c>
    </row>
    <row r="1591" spans="1:16" x14ac:dyDescent="0.2">
      <c r="B1591" s="225"/>
      <c r="C1591" s="225"/>
      <c r="D1591" s="225"/>
      <c r="E1591" s="225"/>
      <c r="F1591" s="225"/>
      <c r="G1591" s="225"/>
      <c r="H1591" s="201"/>
      <c r="I1591" s="226"/>
      <c r="J1591" s="226"/>
      <c r="K1591" s="226"/>
      <c r="L1591" s="226"/>
      <c r="M1591" s="226"/>
      <c r="N1591" s="226"/>
      <c r="P1591" s="230">
        <f t="shared" si="722"/>
        <v>0</v>
      </c>
    </row>
    <row r="1592" spans="1:16" x14ac:dyDescent="0.2">
      <c r="B1592" s="266"/>
      <c r="C1592" s="266"/>
      <c r="D1592" s="225"/>
      <c r="E1592" s="225"/>
      <c r="F1592" s="225"/>
      <c r="G1592" s="225"/>
      <c r="H1592" s="201"/>
      <c r="I1592" s="226"/>
      <c r="J1592" s="267"/>
      <c r="K1592" s="267"/>
      <c r="L1592" s="267"/>
      <c r="M1592" s="226"/>
      <c r="N1592" s="226"/>
      <c r="P1592" s="230">
        <f t="shared" si="722"/>
        <v>0</v>
      </c>
    </row>
    <row r="1593" spans="1:16" x14ac:dyDescent="0.2">
      <c r="B1593" s="269" t="s">
        <v>488</v>
      </c>
      <c r="C1593" s="225"/>
      <c r="D1593" s="225"/>
      <c r="E1593" s="225"/>
      <c r="F1593" s="225"/>
      <c r="G1593" s="225"/>
      <c r="H1593" s="201"/>
      <c r="I1593" s="226"/>
      <c r="J1593" s="285" t="s">
        <v>488</v>
      </c>
      <c r="K1593" s="285"/>
      <c r="L1593" s="285"/>
      <c r="M1593" s="226"/>
      <c r="N1593" s="226"/>
      <c r="P1593" s="230">
        <f t="shared" si="722"/>
        <v>0</v>
      </c>
    </row>
    <row r="1594" spans="1:16" x14ac:dyDescent="0.2">
      <c r="B1594" s="225"/>
      <c r="C1594" s="225"/>
      <c r="D1594" s="225"/>
      <c r="E1594" s="225"/>
      <c r="F1594" s="225"/>
      <c r="G1594" s="225"/>
      <c r="H1594" s="201"/>
      <c r="I1594" s="226"/>
      <c r="J1594" s="226"/>
      <c r="K1594" s="226"/>
      <c r="L1594" s="226"/>
      <c r="M1594" s="226"/>
      <c r="N1594" s="226"/>
      <c r="P1594" s="230">
        <f t="shared" si="722"/>
        <v>0</v>
      </c>
    </row>
    <row r="1595" spans="1:16" x14ac:dyDescent="0.2">
      <c r="B1595" s="264" t="s">
        <v>489</v>
      </c>
      <c r="C1595" s="225"/>
      <c r="D1595" s="225"/>
      <c r="E1595" s="225"/>
      <c r="F1595" s="225"/>
      <c r="G1595" s="225"/>
      <c r="H1595" s="201"/>
      <c r="I1595" s="226"/>
      <c r="J1595" s="226" t="s">
        <v>489</v>
      </c>
      <c r="K1595" s="226"/>
      <c r="L1595" s="226"/>
      <c r="M1595" s="226"/>
      <c r="N1595" s="226"/>
      <c r="P1595" s="230">
        <f t="shared" si="722"/>
        <v>0</v>
      </c>
    </row>
    <row r="1596" spans="1:16" x14ac:dyDescent="0.2">
      <c r="A1596" s="272"/>
      <c r="B1596" s="225"/>
      <c r="C1596" s="225"/>
      <c r="D1596" s="225"/>
      <c r="E1596" s="225"/>
      <c r="F1596" s="225"/>
      <c r="G1596" s="225"/>
      <c r="H1596" s="201"/>
      <c r="I1596" s="226"/>
      <c r="J1596" s="226"/>
      <c r="K1596" s="226"/>
      <c r="M1596" s="226"/>
      <c r="N1596" s="228"/>
    </row>
    <row r="1597" spans="1:16" x14ac:dyDescent="0.2">
      <c r="A1597" s="260"/>
      <c r="B1597" s="225"/>
      <c r="C1597" s="225"/>
      <c r="D1597" s="225"/>
      <c r="E1597" s="225"/>
      <c r="F1597" s="225"/>
      <c r="G1597" s="225"/>
      <c r="H1597" s="201"/>
      <c r="I1597" s="226"/>
      <c r="J1597" s="226"/>
      <c r="K1597" s="226"/>
      <c r="M1597" s="226"/>
      <c r="N1597" s="228" t="s">
        <v>455</v>
      </c>
      <c r="P1597" s="230">
        <f t="shared" ref="P1597:P1614" si="723">IF(A1597&gt;0,1,0)</f>
        <v>0</v>
      </c>
    </row>
    <row r="1598" spans="1:16" x14ac:dyDescent="0.2">
      <c r="B1598" s="225"/>
      <c r="C1598" s="225"/>
      <c r="D1598" s="225"/>
      <c r="E1598" s="225"/>
      <c r="F1598" s="225"/>
      <c r="G1598" s="225"/>
      <c r="H1598" s="201"/>
      <c r="I1598" s="226"/>
      <c r="J1598" s="226"/>
      <c r="K1598" s="226"/>
      <c r="M1598" s="226"/>
      <c r="N1598" s="228" t="s">
        <v>456</v>
      </c>
      <c r="P1598" s="230">
        <f t="shared" si="723"/>
        <v>0</v>
      </c>
    </row>
    <row r="1599" spans="1:16" x14ac:dyDescent="0.2">
      <c r="B1599" s="225"/>
      <c r="C1599" s="225"/>
      <c r="D1599" s="225"/>
      <c r="E1599" s="225"/>
      <c r="F1599" s="225"/>
      <c r="G1599" s="225"/>
      <c r="H1599" s="201"/>
      <c r="I1599" s="226"/>
      <c r="J1599" s="226"/>
      <c r="K1599" s="226"/>
      <c r="M1599" s="226"/>
      <c r="N1599" s="228" t="s">
        <v>457</v>
      </c>
      <c r="P1599" s="230">
        <f t="shared" si="723"/>
        <v>0</v>
      </c>
    </row>
    <row r="1600" spans="1:16" x14ac:dyDescent="0.2">
      <c r="B1600" s="225"/>
      <c r="C1600" s="225"/>
      <c r="D1600" s="225"/>
      <c r="E1600" s="225"/>
      <c r="F1600" s="225"/>
      <c r="G1600" s="225"/>
      <c r="H1600" s="201"/>
      <c r="I1600" s="226"/>
      <c r="J1600" s="226"/>
      <c r="K1600" s="226"/>
      <c r="L1600" s="226"/>
      <c r="M1600" s="226"/>
      <c r="N1600" s="226"/>
      <c r="P1600" s="230">
        <f t="shared" si="723"/>
        <v>0</v>
      </c>
    </row>
    <row r="1601" spans="1:18" x14ac:dyDescent="0.2">
      <c r="B1601" s="225"/>
      <c r="C1601" s="286" t="s">
        <v>458</v>
      </c>
      <c r="D1601" s="286"/>
      <c r="E1601" s="286"/>
      <c r="F1601" s="286"/>
      <c r="G1601" s="286"/>
      <c r="H1601" s="286"/>
      <c r="I1601" s="286"/>
      <c r="J1601" s="286"/>
      <c r="K1601" s="286"/>
      <c r="L1601" s="286"/>
      <c r="M1601" s="226"/>
      <c r="N1601" s="226"/>
      <c r="P1601" s="230">
        <f t="shared" si="723"/>
        <v>0</v>
      </c>
    </row>
    <row r="1602" spans="1:18" x14ac:dyDescent="0.2">
      <c r="B1602" s="225"/>
      <c r="C1602" s="286" t="s">
        <v>459</v>
      </c>
      <c r="D1602" s="286"/>
      <c r="E1602" s="286"/>
      <c r="F1602" s="286"/>
      <c r="G1602" s="286"/>
      <c r="H1602" s="286"/>
      <c r="I1602" s="286"/>
      <c r="J1602" s="286"/>
      <c r="K1602" s="286"/>
      <c r="L1602" s="286"/>
      <c r="M1602" s="226"/>
      <c r="N1602" s="226"/>
      <c r="P1602" s="230">
        <f t="shared" si="723"/>
        <v>0</v>
      </c>
    </row>
    <row r="1603" spans="1:18" x14ac:dyDescent="0.2">
      <c r="B1603" s="225" t="s">
        <v>460</v>
      </c>
      <c r="C1603" s="234"/>
      <c r="D1603" s="234"/>
      <c r="E1603" s="234"/>
      <c r="F1603" s="234"/>
      <c r="G1603" s="234"/>
      <c r="H1603" s="234"/>
      <c r="I1603" s="235"/>
      <c r="J1603" s="235"/>
      <c r="K1603" s="235"/>
      <c r="L1603" s="287" t="s">
        <v>461</v>
      </c>
      <c r="M1603" s="287"/>
      <c r="N1603" s="287"/>
      <c r="P1603" s="230">
        <f t="shared" si="723"/>
        <v>0</v>
      </c>
    </row>
    <row r="1604" spans="1:18" x14ac:dyDescent="0.2">
      <c r="B1604" s="225"/>
      <c r="C1604" s="234"/>
      <c r="D1604" s="234"/>
      <c r="E1604" s="234"/>
      <c r="F1604" s="234"/>
      <c r="G1604" s="234"/>
      <c r="H1604" s="234"/>
      <c r="I1604" s="235"/>
      <c r="J1604" s="235"/>
      <c r="K1604" s="235"/>
      <c r="L1604" s="235"/>
      <c r="M1604" s="235"/>
      <c r="N1604" s="235"/>
      <c r="P1604" s="230">
        <f t="shared" si="723"/>
        <v>0</v>
      </c>
    </row>
    <row r="1605" spans="1:18" x14ac:dyDescent="0.2">
      <c r="B1605" s="225" t="s">
        <v>2038</v>
      </c>
      <c r="C1605" s="234"/>
      <c r="D1605" s="234"/>
      <c r="E1605" s="234"/>
      <c r="F1605" s="234"/>
      <c r="G1605" s="234"/>
      <c r="H1605" s="234"/>
      <c r="I1605" s="235"/>
      <c r="J1605" s="235"/>
      <c r="K1605" s="235"/>
      <c r="L1605" s="235"/>
      <c r="M1605" s="235"/>
      <c r="N1605" s="235"/>
      <c r="P1605" s="230">
        <f t="shared" si="723"/>
        <v>0</v>
      </c>
    </row>
    <row r="1606" spans="1:18" x14ac:dyDescent="0.2">
      <c r="B1606" s="225" t="s">
        <v>462</v>
      </c>
      <c r="C1606" s="234"/>
      <c r="D1606" s="234"/>
      <c r="E1606" s="234"/>
      <c r="F1606" s="234"/>
      <c r="G1606" s="234"/>
      <c r="H1606" s="234"/>
      <c r="I1606" s="235"/>
      <c r="J1606" s="235"/>
      <c r="K1606" s="235"/>
      <c r="L1606" s="235"/>
      <c r="M1606" s="235"/>
      <c r="N1606" s="235"/>
      <c r="P1606" s="230">
        <f t="shared" si="723"/>
        <v>0</v>
      </c>
    </row>
    <row r="1607" spans="1:18" x14ac:dyDescent="0.2">
      <c r="B1607" s="225" t="s">
        <v>2037</v>
      </c>
      <c r="C1607" s="234"/>
      <c r="D1607" s="234"/>
      <c r="E1607" s="234"/>
      <c r="F1607" s="234"/>
      <c r="G1607" s="234"/>
      <c r="H1607" s="234"/>
      <c r="I1607" s="235"/>
      <c r="J1607" s="235"/>
      <c r="K1607" s="235"/>
      <c r="L1607" s="235"/>
      <c r="M1607" s="235"/>
      <c r="N1607" s="235"/>
      <c r="P1607" s="230">
        <f t="shared" si="723"/>
        <v>0</v>
      </c>
    </row>
    <row r="1608" spans="1:18" x14ac:dyDescent="0.2">
      <c r="B1608" s="225" t="s">
        <v>2052</v>
      </c>
      <c r="C1608" s="234"/>
      <c r="D1608" s="234"/>
      <c r="E1608" s="234"/>
      <c r="F1608" s="234"/>
      <c r="G1608" s="234"/>
      <c r="H1608" s="234"/>
      <c r="I1608" s="235"/>
      <c r="J1608" s="235"/>
      <c r="K1608" s="235"/>
      <c r="L1608" s="235"/>
      <c r="M1608" s="235"/>
      <c r="N1608" s="235"/>
      <c r="P1608" s="230">
        <f t="shared" si="723"/>
        <v>0</v>
      </c>
    </row>
    <row r="1609" spans="1:18" x14ac:dyDescent="0.2">
      <c r="B1609" s="225"/>
      <c r="C1609" s="225"/>
      <c r="D1609" s="225"/>
      <c r="E1609" s="225"/>
      <c r="F1609" s="225"/>
      <c r="G1609" s="225"/>
      <c r="H1609" s="201"/>
      <c r="I1609" s="226"/>
      <c r="J1609" s="226"/>
      <c r="K1609" s="226"/>
      <c r="L1609" s="226"/>
      <c r="M1609" s="226"/>
      <c r="N1609" s="226"/>
      <c r="P1609" s="230">
        <f t="shared" si="723"/>
        <v>0</v>
      </c>
    </row>
    <row r="1610" spans="1:18" x14ac:dyDescent="0.2">
      <c r="B1610" s="288" t="s">
        <v>106</v>
      </c>
      <c r="C1610" s="290" t="s">
        <v>463</v>
      </c>
      <c r="D1610" s="288" t="s">
        <v>464</v>
      </c>
      <c r="E1610" s="288" t="s">
        <v>465</v>
      </c>
      <c r="F1610" s="288" t="s">
        <v>490</v>
      </c>
      <c r="G1610" s="288" t="s">
        <v>466</v>
      </c>
      <c r="H1610" s="292" t="s">
        <v>8</v>
      </c>
      <c r="I1610" s="294" t="s">
        <v>467</v>
      </c>
      <c r="J1610" s="295"/>
      <c r="K1610" s="295"/>
      <c r="L1610" s="296"/>
      <c r="M1610" s="297" t="s">
        <v>468</v>
      </c>
      <c r="N1610" s="299" t="s">
        <v>469</v>
      </c>
      <c r="P1610" s="230">
        <f t="shared" si="723"/>
        <v>0</v>
      </c>
    </row>
    <row r="1611" spans="1:18" x14ac:dyDescent="0.2">
      <c r="B1611" s="289"/>
      <c r="C1611" s="291"/>
      <c r="D1611" s="289"/>
      <c r="E1611" s="289"/>
      <c r="F1611" s="289"/>
      <c r="G1611" s="289"/>
      <c r="H1611" s="293"/>
      <c r="I1611" s="236" t="s">
        <v>470</v>
      </c>
      <c r="J1611" s="236" t="s">
        <v>471</v>
      </c>
      <c r="K1611" s="236" t="s">
        <v>472</v>
      </c>
      <c r="L1611" s="236" t="s">
        <v>473</v>
      </c>
      <c r="M1611" s="298"/>
      <c r="N1611" s="300"/>
      <c r="P1611" s="230">
        <f t="shared" si="723"/>
        <v>0</v>
      </c>
    </row>
    <row r="1612" spans="1:18" x14ac:dyDescent="0.2">
      <c r="A1612" s="224" t="str">
        <f>CONCATENATE("Лот"," ",A1613)</f>
        <v>Лот 30</v>
      </c>
      <c r="B1612" s="273" t="s">
        <v>2087</v>
      </c>
      <c r="C1612" s="274"/>
      <c r="D1612" s="274"/>
      <c r="E1612" s="274"/>
      <c r="F1612" s="274"/>
      <c r="G1612" s="275"/>
      <c r="H1612" s="238" t="s">
        <v>17</v>
      </c>
      <c r="I1612" s="270">
        <f ca="1">ROUND(VLOOKUP($H1612,$AJ$4:$AN$13,2,0)*$Q1614*1.51,2)</f>
        <v>120.15</v>
      </c>
      <c r="J1612" s="270">
        <f ca="1">ROUND(VLOOKUP($H1612,$AJ$4:$AN$13,3,0)*$Q1614*1.51,2)</f>
        <v>85.62</v>
      </c>
      <c r="K1612" s="270">
        <f ca="1">ROUND(VLOOKUP($H1612,$AJ$4:$AN$13,4,0)*$Q1614*1.51,2)</f>
        <v>43.38</v>
      </c>
      <c r="L1612" s="270"/>
      <c r="M1612" s="270">
        <f ca="1">ROUND(VLOOKUP($H1612,$AJ$4:$AN$13,5,0)*$Q1614*1.51,2)</f>
        <v>6.85</v>
      </c>
      <c r="N1612" s="270"/>
      <c r="P1612" s="230">
        <f t="shared" si="723"/>
        <v>1</v>
      </c>
    </row>
    <row r="1613" spans="1:18" x14ac:dyDescent="0.2">
      <c r="A1613" s="224">
        <f>A1558+1</f>
        <v>30</v>
      </c>
      <c r="B1613" s="276"/>
      <c r="C1613" s="277"/>
      <c r="D1613" s="277"/>
      <c r="E1613" s="277"/>
      <c r="F1613" s="277"/>
      <c r="G1613" s="278"/>
      <c r="H1613" s="238" t="s">
        <v>25</v>
      </c>
      <c r="I1613" s="270">
        <f ca="1">ROUND(VLOOKUP($H1613,$AJ$4:$AN$13,2,0)*$Q1614*1.51,2)</f>
        <v>898.69</v>
      </c>
      <c r="J1613" s="270">
        <f ca="1">ROUND(VLOOKUP($H1613,$AJ$4:$AN$13,3,0)*$Q1614*1.51,2)</f>
        <v>642.13</v>
      </c>
      <c r="K1613" s="270">
        <f ca="1">ROUND(VLOOKUP($H1613,$AJ$4:$AN$13,4,0)*$Q1614*1.51,2)</f>
        <v>323.06</v>
      </c>
      <c r="L1613" s="270"/>
      <c r="M1613" s="270">
        <f ca="1">ROUND(VLOOKUP($H1613,$AJ$4:$AN$13,5,0)*$Q1614*1.51,2)</f>
        <v>27.97</v>
      </c>
      <c r="N1613" s="270"/>
      <c r="P1613" s="230">
        <f t="shared" si="723"/>
        <v>1</v>
      </c>
      <c r="Q1613" s="240" t="s">
        <v>2045</v>
      </c>
      <c r="R1613" s="240" t="s">
        <v>2046</v>
      </c>
    </row>
    <row r="1614" spans="1:18" x14ac:dyDescent="0.2">
      <c r="B1614" s="276"/>
      <c r="C1614" s="277"/>
      <c r="D1614" s="277"/>
      <c r="E1614" s="277"/>
      <c r="F1614" s="277"/>
      <c r="G1614" s="278"/>
      <c r="H1614" s="238" t="s">
        <v>19</v>
      </c>
      <c r="I1614" s="270">
        <f ca="1">ROUND(VLOOKUP($H1614,$AJ$4:$AN$13,2,0)*$Q1614*1.51,2)</f>
        <v>71.349999999999994</v>
      </c>
      <c r="J1614" s="270">
        <f ca="1">ROUND(VLOOKUP($H1614,$AJ$4:$AN$13,3,0)*$Q1614*1.51,2)</f>
        <v>51.94</v>
      </c>
      <c r="K1614" s="270">
        <f ca="1">ROUND(VLOOKUP($H1614,$AJ$4:$AN$13,4,0)*$Q1614*1.51,2)</f>
        <v>26.54</v>
      </c>
      <c r="L1614" s="270"/>
      <c r="M1614" s="270">
        <f ca="1">ROUND(VLOOKUP($H1614,$AJ$4:$AN$13,5,0)*$Q1614*1.51,2)</f>
        <v>1.43</v>
      </c>
      <c r="N1614" s="270"/>
      <c r="P1614" s="230">
        <f t="shared" si="723"/>
        <v>0</v>
      </c>
      <c r="Q1614" s="123">
        <f ca="1">IFERROR(IF(R1614="","",IF(OR(R1614&lt;100,R1614=100),0.9,IF(OR(AND(R1614&gt;100,R1614&lt;150),R1614=150),1,IF(R1614&gt;150,1.05,"")))),"0")</f>
        <v>1.05</v>
      </c>
      <c r="R1614" s="123">
        <f ca="1">N1630/G1618</f>
        <v>164.90357142857144</v>
      </c>
    </row>
    <row r="1615" spans="1:18" x14ac:dyDescent="0.2">
      <c r="B1615" s="276"/>
      <c r="C1615" s="277"/>
      <c r="D1615" s="277"/>
      <c r="E1615" s="277"/>
      <c r="F1615" s="277"/>
      <c r="G1615" s="278"/>
      <c r="H1615" s="238" t="s">
        <v>268</v>
      </c>
      <c r="I1615" s="270">
        <f ca="1">ROUND(VLOOKUP($H1615,$AJ$4:$AN$13,2,0)*$Q1614*1.51,2)</f>
        <v>898.69</v>
      </c>
      <c r="J1615" s="270">
        <f ca="1">ROUND(VLOOKUP($H1615,$AJ$4:$AN$13,3,0)*$Q1614*1.51,2)</f>
        <v>642.13</v>
      </c>
      <c r="K1615" s="270">
        <f ca="1">ROUND(VLOOKUP($H1615,$AJ$4:$AN$13,4,0)*$Q1614*1.51,2)</f>
        <v>323.06</v>
      </c>
      <c r="L1615" s="270"/>
      <c r="M1615" s="270">
        <f ca="1">ROUND(VLOOKUP($H1615,$AJ$4:$AN$13,5,0)*$Q1614*1.51,2)</f>
        <v>27.97</v>
      </c>
      <c r="N1615" s="270"/>
    </row>
    <row r="1616" spans="1:18" x14ac:dyDescent="0.2">
      <c r="B1616" s="276"/>
      <c r="C1616" s="277"/>
      <c r="D1616" s="277"/>
      <c r="E1616" s="277"/>
      <c r="F1616" s="277"/>
      <c r="G1616" s="278"/>
      <c r="H1616" s="238" t="s">
        <v>40</v>
      </c>
      <c r="I1616" s="270">
        <f ca="1">ROUND(VLOOKUP($H1616,$AJ$4:$AN$13,2,0)*$Q1614*1.51,2)</f>
        <v>71.349999999999994</v>
      </c>
      <c r="J1616" s="270">
        <f ca="1">ROUND(VLOOKUP($H1616,$AJ$4:$AN$13,3,0)*$Q1614*1.51,2)</f>
        <v>51.94</v>
      </c>
      <c r="K1616" s="270">
        <f ca="1">ROUND(VLOOKUP($H1616,$AJ$4:$AN$13,4,0)*$Q1614*1.51,2)</f>
        <v>26.54</v>
      </c>
      <c r="L1616" s="270"/>
      <c r="M1616" s="270">
        <f ca="1">ROUND(VLOOKUP($H1616,$AJ$4:$AN$13,5,0)*$Q1614*1.51,2)</f>
        <v>1.43</v>
      </c>
      <c r="N1616" s="270"/>
      <c r="P1616" s="230">
        <f t="shared" ref="P1616:P1629" si="724">IF(A1616&gt;0,1,0)</f>
        <v>0</v>
      </c>
    </row>
    <row r="1617" spans="1:43" x14ac:dyDescent="0.2">
      <c r="B1617" s="279"/>
      <c r="C1617" s="280"/>
      <c r="D1617" s="280"/>
      <c r="E1617" s="280"/>
      <c r="F1617" s="280"/>
      <c r="G1617" s="281"/>
      <c r="H1617" s="238" t="s">
        <v>18</v>
      </c>
      <c r="I1617" s="270">
        <f ca="1">ROUND(VLOOKUP($H1617,$AJ$4:$AN$13,2,0)*$Q1614*1.51,2)</f>
        <v>22.83</v>
      </c>
      <c r="J1617" s="270">
        <f ca="1">ROUND(VLOOKUP($H1617,$AJ$4:$AN$13,3,0)*$Q1614*1.51,2)</f>
        <v>17.41</v>
      </c>
      <c r="K1617" s="270">
        <f ca="1">ROUND(VLOOKUP($H1617,$AJ$4:$AN$13,4,0)*$Q1614*1.51,2)</f>
        <v>8.85</v>
      </c>
      <c r="L1617" s="270"/>
      <c r="M1617" s="270">
        <f ca="1">ROUND(VLOOKUP($H1617,$AJ$4:$AN$13,5,0)*$Q1614*1.51*1,2)</f>
        <v>0.56999999999999995</v>
      </c>
      <c r="N1617" s="270"/>
      <c r="P1617" s="230">
        <f t="shared" si="724"/>
        <v>0</v>
      </c>
      <c r="AP1617" s="241" t="s">
        <v>2053</v>
      </c>
      <c r="AQ1617" s="242"/>
    </row>
    <row r="1618" spans="1:43" x14ac:dyDescent="0.2">
      <c r="A1618" s="224">
        <f>A1563+37</f>
        <v>1073</v>
      </c>
      <c r="B1618" s="243" t="str">
        <f ca="1">OFFSET(ЛОТЫ!$L$5,A1618,0,1,1)</f>
        <v>Мамыковское</v>
      </c>
      <c r="C1618" s="244" t="s">
        <v>474</v>
      </c>
      <c r="D1618" s="243">
        <f ca="1">OFFSET(ЛОТЫ!$M$5,A1618,0,1,1)</f>
        <v>96</v>
      </c>
      <c r="E1618" s="243">
        <f ca="1">OFFSET(ЛОТЫ!$N$5,A1618,0,1,1)</f>
        <v>5</v>
      </c>
      <c r="F1618" s="243">
        <f ca="1">OFFSET(ЛОТЫ!$O$5,A1618,0,1,1)</f>
        <v>1</v>
      </c>
      <c r="G1618" s="271">
        <f ca="1">IFERROR(INDEX('Ведомость расчета мин. платы'!$G$10:$AC$214,MATCH(CONCATENATE(B1618,"/",D1618,"/",E1618,"/",F1618),'Ведомость расчета мин. платы'!$AC$10:$AC$214,0),1),"")</f>
        <v>5.6</v>
      </c>
      <c r="H1618" s="246" t="s">
        <v>17</v>
      </c>
      <c r="I1618" s="247">
        <f ca="1">IFERROR(INDEX('Ведомость расчета мин. платы'!$J$10:$AE$214,MATCH(CONCATENATE(РАСЧЕТ!B1618,"/",РАСЧЕТ!D1618,"/",РАСЧЕТ!E1618,"/",F1618,"/",H1618),'Ведомость расчета мин. платы'!$AE$10:$AE$214,0),2),"")</f>
        <v>14</v>
      </c>
      <c r="J1618" s="247">
        <f ca="1">IFERROR(INDEX('Ведомость расчета мин. платы'!$J$10:$AE$214,MATCH(CONCATENATE(РАСЧЕТ!B1618,"/",РАСЧЕТ!D1618,"/",РАСЧЕТ!E1618,"/",F1618,"/",H1618),'Ведомость расчета мин. платы'!$AE$10:$AE$214,0),3),"")</f>
        <v>26.6</v>
      </c>
      <c r="K1618" s="247">
        <f ca="1">IFERROR(INDEX('Ведомость расчета мин. платы'!$J$10:$AE$214,MATCH(CONCATENATE(РАСЧЕТ!B1618,"/",РАСЧЕТ!D1618,"/",РАСЧЕТ!E1618,"/",F1618,"/",H1618),'Ведомость расчета мин. платы'!$AE$10:$AE$214,0),4),"")</f>
        <v>5.4</v>
      </c>
      <c r="L1618" s="248">
        <f t="shared" ref="L1618:L1630" ca="1" si="725">IFERROR(SUM(I1618:K1618),"")</f>
        <v>46</v>
      </c>
      <c r="M1618" s="214">
        <f ca="1">IFERROR(INDEX('Ведомость расчета мин. платы'!$J$10:$AE$214,MATCH(CONCATENATE(РАСЧЕТ!B1618,"/",РАСЧЕТ!D1618,"/",РАСЧЕТ!E1618,"/",F1618,"/",H1618),'Ведомость расчета мин. платы'!$AE$10:$AE$214,0),6),"")</f>
        <v>45.8</v>
      </c>
      <c r="N1618" s="214">
        <f t="shared" ref="N1618:N1630" ca="1" si="726">IFERROR(SUM(L1618:M1618),"")</f>
        <v>91.8</v>
      </c>
      <c r="O1618" s="229">
        <f>IF(H1618="стоимость","",1)</f>
        <v>1</v>
      </c>
      <c r="P1618" s="230">
        <f t="shared" si="724"/>
        <v>1</v>
      </c>
      <c r="AP1618" s="242"/>
      <c r="AQ1618" s="242"/>
    </row>
    <row r="1619" spans="1:43" x14ac:dyDescent="0.2">
      <c r="B1619" s="249"/>
      <c r="C1619" s="249"/>
      <c r="D1619" s="249"/>
      <c r="E1619" s="249"/>
      <c r="F1619" s="249"/>
      <c r="G1619" s="249"/>
      <c r="H1619" s="250" t="s">
        <v>475</v>
      </c>
      <c r="I1619" s="251">
        <f ca="1">IFERROR(ROUND(I1618*I1612,2),"")</f>
        <v>1682.1</v>
      </c>
      <c r="J1619" s="251">
        <f t="shared" ref="J1619" ca="1" si="727">IFERROR(ROUND(J1618*J1612,2),"")</f>
        <v>2277.4899999999998</v>
      </c>
      <c r="K1619" s="251">
        <f t="shared" ref="K1619" ca="1" si="728">IFERROR(ROUND(K1618*K1612,2),"")</f>
        <v>234.25</v>
      </c>
      <c r="L1619" s="251">
        <f t="shared" ca="1" si="725"/>
        <v>4193.84</v>
      </c>
      <c r="M1619" s="251">
        <v>313.74000000000024</v>
      </c>
      <c r="N1619" s="252">
        <f t="shared" ca="1" si="726"/>
        <v>4507.58</v>
      </c>
      <c r="O1619" s="229" t="str">
        <f t="shared" ref="O1619:O1629" si="729">IF(H1619="стоимость","",1)</f>
        <v/>
      </c>
      <c r="P1619" s="230">
        <f t="shared" si="724"/>
        <v>0</v>
      </c>
      <c r="AP1619" s="242">
        <f ca="1">SUMIFS('Ведомость расчета мин. платы'!$S$10:$S$209,'Ведомость расчета мин. платы'!$AE$10:$AE$209,CONCATENATE(B1618,"/",D1618,"/",E1618,"/",F1618,"/",H1618))</f>
        <v>4507.58</v>
      </c>
      <c r="AQ1619" s="253">
        <f t="shared" ref="AQ1619" ca="1" si="730">AP1619-N1619</f>
        <v>0</v>
      </c>
    </row>
    <row r="1620" spans="1:43" x14ac:dyDescent="0.2">
      <c r="B1620" s="249"/>
      <c r="C1620" s="249"/>
      <c r="D1620" s="249"/>
      <c r="E1620" s="249"/>
      <c r="F1620" s="249"/>
      <c r="G1620" s="249"/>
      <c r="H1620" s="246" t="s">
        <v>25</v>
      </c>
      <c r="I1620" s="247">
        <f ca="1">IFERROR(INDEX('Ведомость расчета мин. платы'!$J$10:$AE$214,MATCH(CONCATENATE(РАСЧЕТ!B1618,"/",РАСЧЕТ!D1618,"/",РАСЧЕТ!E1618,"/",F1618,"/",H1620),'Ведомость расчета мин. платы'!$AE$10:$AE$214,0),2),"")</f>
        <v>0</v>
      </c>
      <c r="J1620" s="247">
        <f ca="1">IFERROR(INDEX('Ведомость расчета мин. платы'!$J$10:$AE$214,MATCH(CONCATENATE(РАСЧЕТ!B1618,"/",РАСЧЕТ!D1618,"/",РАСЧЕТ!E1618,"/",F1618,"/",H1620),'Ведомость расчета мин. платы'!$AE$10:$AE$214,0),3),"")</f>
        <v>28</v>
      </c>
      <c r="K1620" s="247">
        <f ca="1">IFERROR(INDEX('Ведомость расчета мин. платы'!$J$10:$AE$214,MATCH(CONCATENATE(РАСЧЕТ!B1618,"/",РАСЧЕТ!D1618,"/",РАСЧЕТ!E1618,"/",F1618,"/",H1620),'Ведомость расчета мин. платы'!$AE$10:$AE$214,0),4),"")</f>
        <v>9.9</v>
      </c>
      <c r="L1620" s="248">
        <f t="shared" ca="1" si="725"/>
        <v>37.9</v>
      </c>
      <c r="M1620" s="214">
        <v>47.1</v>
      </c>
      <c r="N1620" s="214">
        <f t="shared" ca="1" si="726"/>
        <v>85</v>
      </c>
      <c r="O1620" s="229">
        <f t="shared" si="729"/>
        <v>1</v>
      </c>
      <c r="P1620" s="230">
        <f t="shared" si="724"/>
        <v>0</v>
      </c>
      <c r="AP1620" s="242"/>
      <c r="AQ1620" s="253"/>
    </row>
    <row r="1621" spans="1:43" x14ac:dyDescent="0.2">
      <c r="B1621" s="249"/>
      <c r="C1621" s="249"/>
      <c r="D1621" s="249"/>
      <c r="E1621" s="249"/>
      <c r="F1621" s="249"/>
      <c r="G1621" s="249"/>
      <c r="H1621" s="250" t="s">
        <v>475</v>
      </c>
      <c r="I1621" s="251">
        <f ca="1">IFERROR(ROUND(I1620*I1613,2),"")</f>
        <v>0</v>
      </c>
      <c r="J1621" s="251">
        <f t="shared" ref="J1621" ca="1" si="731">IFERROR(ROUND(J1620*J1613,2),"")</f>
        <v>17979.64</v>
      </c>
      <c r="K1621" s="251">
        <f t="shared" ref="K1621" ca="1" si="732">IFERROR(ROUND(K1620*K1613,2),"")</f>
        <v>3198.29</v>
      </c>
      <c r="L1621" s="251">
        <f t="shared" ca="1" si="725"/>
        <v>21177.93</v>
      </c>
      <c r="M1621" s="251">
        <v>1317.4000000000021</v>
      </c>
      <c r="N1621" s="252">
        <f t="shared" ca="1" si="726"/>
        <v>22495.33</v>
      </c>
      <c r="O1621" s="229" t="str">
        <f t="shared" si="729"/>
        <v/>
      </c>
      <c r="P1621" s="230">
        <f t="shared" si="724"/>
        <v>0</v>
      </c>
      <c r="AP1621" s="242">
        <f ca="1">SUMIFS('Ведомость расчета мин. платы'!$S$10:$S$209,'Ведомость расчета мин. платы'!$AE$10:$AE$209,CONCATENATE(B1618,"/",D1618,"/",E1618,"/",F1618,"/",H1620))</f>
        <v>22495.33</v>
      </c>
      <c r="AQ1621" s="253">
        <f t="shared" ref="AQ1621" ca="1" si="733">AP1621-N1621</f>
        <v>0</v>
      </c>
    </row>
    <row r="1622" spans="1:43" x14ac:dyDescent="0.2">
      <c r="B1622" s="249"/>
      <c r="C1622" s="249"/>
      <c r="D1622" s="249"/>
      <c r="E1622" s="249"/>
      <c r="F1622" s="249"/>
      <c r="G1622" s="249"/>
      <c r="H1622" s="205" t="s">
        <v>19</v>
      </c>
      <c r="I1622" s="248">
        <f ca="1">IFERROR(INDEX('Ведомость расчета мин. платы'!$J$10:$AE$214,MATCH(CONCATENATE(РАСЧЕТ!B1618,"/",РАСЧЕТ!D1618,"/",РАСЧЕТ!E1618,"/",F1618,"/",H1622),'Ведомость расчета мин. платы'!$AE$10:$AE$214,0),2),"")</f>
        <v>8.1</v>
      </c>
      <c r="J1622" s="248">
        <f ca="1">IFERROR(INDEX('Ведомость расчета мин. платы'!$J$10:$AE$214,MATCH(CONCATENATE(РАСЧЕТ!B1618,"/",РАСЧЕТ!D1618,"/",РАСЧЕТ!E1618,"/",F1618,"/",H1622),'Ведомость расчета мин. платы'!$AE$10:$AE$214,0),3),"")</f>
        <v>49.76</v>
      </c>
      <c r="K1622" s="248">
        <f ca="1">IFERROR(INDEX('Ведомость расчета мин. платы'!$J$10:$AE$214,MATCH(CONCATENATE(РАСЧЕТ!B1618,"/",РАСЧЕТ!D1618,"/",РАСЧЕТ!E1618,"/",F1618,"/",H1622),'Ведомость расчета мин. платы'!$AE$10:$AE$214,0),4),"")</f>
        <v>7.77</v>
      </c>
      <c r="L1622" s="248">
        <f t="shared" ca="1" si="725"/>
        <v>65.63</v>
      </c>
      <c r="M1622" s="248">
        <v>119.61</v>
      </c>
      <c r="N1622" s="214">
        <f t="shared" ca="1" si="726"/>
        <v>185.24</v>
      </c>
      <c r="O1622" s="229">
        <f t="shared" si="729"/>
        <v>1</v>
      </c>
      <c r="P1622" s="230">
        <f t="shared" si="724"/>
        <v>0</v>
      </c>
      <c r="AP1622" s="242"/>
      <c r="AQ1622" s="253"/>
    </row>
    <row r="1623" spans="1:43" x14ac:dyDescent="0.2">
      <c r="B1623" s="249"/>
      <c r="C1623" s="249"/>
      <c r="D1623" s="249"/>
      <c r="E1623" s="249"/>
      <c r="F1623" s="249"/>
      <c r="G1623" s="249"/>
      <c r="H1623" s="250" t="s">
        <v>475</v>
      </c>
      <c r="I1623" s="251">
        <f ca="1">IFERROR(ROUND(I1622*I1614,2),"")</f>
        <v>577.94000000000005</v>
      </c>
      <c r="J1623" s="251">
        <f t="shared" ref="J1623" ca="1" si="734">IFERROR(ROUND(J1622*J1614,2),"")</f>
        <v>2584.5300000000002</v>
      </c>
      <c r="K1623" s="251">
        <f t="shared" ref="K1623" ca="1" si="735">IFERROR(ROUND(K1622*K1614,2),"")</f>
        <v>206.22</v>
      </c>
      <c r="L1623" s="251">
        <f t="shared" ca="1" si="725"/>
        <v>3368.69</v>
      </c>
      <c r="M1623" s="251">
        <v>171.04</v>
      </c>
      <c r="N1623" s="252">
        <f t="shared" ca="1" si="726"/>
        <v>3539.73</v>
      </c>
      <c r="O1623" s="229" t="str">
        <f t="shared" si="729"/>
        <v/>
      </c>
      <c r="P1623" s="230">
        <f t="shared" si="724"/>
        <v>0</v>
      </c>
      <c r="AP1623" s="242">
        <f ca="1">SUMIFS('Ведомость расчета мин. платы'!$S$10:$S$209,'Ведомость расчета мин. платы'!$AE$10:$AE$209,CONCATENATE(B1618,"/",D1618,"/",E1618,"/",F1618,"/",H1622))</f>
        <v>3539.73</v>
      </c>
      <c r="AQ1623" s="253">
        <f t="shared" ref="AQ1623" ca="1" si="736">AP1623-N1623</f>
        <v>0</v>
      </c>
    </row>
    <row r="1624" spans="1:43" x14ac:dyDescent="0.2">
      <c r="B1624" s="249"/>
      <c r="C1624" s="249"/>
      <c r="D1624" s="249"/>
      <c r="E1624" s="249"/>
      <c r="F1624" s="249"/>
      <c r="G1624" s="249"/>
      <c r="H1624" s="205" t="s">
        <v>268</v>
      </c>
      <c r="I1624" s="248">
        <f ca="1">IFERROR(INDEX('Ведомость расчета мин. платы'!$J$10:$AE$214,MATCH(CONCATENATE(РАСЧЕТ!B1618,"/",РАСЧЕТ!D1618,"/",РАСЧЕТ!E1618,"/",F1618,"/",H1624),'Ведомость расчета мин. платы'!$AE$10:$AE$214,0),2),"")</f>
        <v>0</v>
      </c>
      <c r="J1624" s="248">
        <f ca="1">IFERROR(INDEX('Ведомость расчета мин. платы'!$J$10:$AE$214,MATCH(CONCATENATE(РАСЧЕТ!B1618,"/",РАСЧЕТ!D1618,"/",РАСЧЕТ!E1618,"/",F1618,"/",H1624),'Ведомость расчета мин. платы'!$AE$10:$AE$214,0),3),"")</f>
        <v>2.5</v>
      </c>
      <c r="K1624" s="248">
        <f ca="1">IFERROR(INDEX('Ведомость расчета мин. платы'!$J$10:$AE$214,MATCH(CONCATENATE(РАСЧЕТ!B1618,"/",РАСЧЕТ!D1618,"/",РАСЧЕТ!E1618,"/",F1618,"/",H1624),'Ведомость расчета мин. платы'!$AE$10:$AE$214,0),4),"")</f>
        <v>5.2</v>
      </c>
      <c r="L1624" s="248">
        <f t="shared" ca="1" si="725"/>
        <v>7.7</v>
      </c>
      <c r="M1624" s="248">
        <v>9.52</v>
      </c>
      <c r="N1624" s="214">
        <f t="shared" ca="1" si="726"/>
        <v>17.22</v>
      </c>
      <c r="O1624" s="229">
        <f t="shared" si="729"/>
        <v>1</v>
      </c>
      <c r="P1624" s="230">
        <f t="shared" si="724"/>
        <v>0</v>
      </c>
      <c r="AP1624" s="242"/>
      <c r="AQ1624" s="253"/>
    </row>
    <row r="1625" spans="1:43" x14ac:dyDescent="0.2">
      <c r="B1625" s="249"/>
      <c r="C1625" s="249"/>
      <c r="D1625" s="249"/>
      <c r="E1625" s="249"/>
      <c r="F1625" s="249"/>
      <c r="G1625" s="249"/>
      <c r="H1625" s="250" t="s">
        <v>475</v>
      </c>
      <c r="I1625" s="251">
        <f ca="1">IFERROR(ROUND(I1624*I1617,2),"")</f>
        <v>0</v>
      </c>
      <c r="J1625" s="251">
        <f ca="1">IFERROR(ROUND(J1624*J1615,2),"")</f>
        <v>1605.33</v>
      </c>
      <c r="K1625" s="251">
        <f ca="1">IFERROR(ROUND(K1624*K1615,2),"")</f>
        <v>1679.91</v>
      </c>
      <c r="L1625" s="251">
        <f t="shared" ca="1" si="725"/>
        <v>3285.24</v>
      </c>
      <c r="M1625" s="251">
        <v>266.27</v>
      </c>
      <c r="N1625" s="252">
        <f t="shared" ca="1" si="726"/>
        <v>3551.5099999999998</v>
      </c>
      <c r="O1625" s="229" t="str">
        <f t="shared" si="729"/>
        <v/>
      </c>
      <c r="P1625" s="230">
        <f t="shared" si="724"/>
        <v>0</v>
      </c>
      <c r="AP1625" s="242">
        <f ca="1">SUMIFS('Ведомость расчета мин. платы'!$S$10:$S$209,'Ведомость расчета мин. платы'!$AE$10:$AE$209,CONCATENATE(B1618,"/",D1618,"/",E1618,"/",F1618,"/",H1624))</f>
        <v>3551.51</v>
      </c>
      <c r="AQ1625" s="253">
        <f t="shared" ref="AQ1625" ca="1" si="737">AP1625-N1625</f>
        <v>0</v>
      </c>
    </row>
    <row r="1626" spans="1:43" x14ac:dyDescent="0.2">
      <c r="B1626" s="249"/>
      <c r="C1626" s="249"/>
      <c r="D1626" s="249"/>
      <c r="E1626" s="249"/>
      <c r="F1626" s="249"/>
      <c r="G1626" s="249"/>
      <c r="H1626" s="205" t="s">
        <v>40</v>
      </c>
      <c r="I1626" s="248" t="str">
        <f ca="1">IFERROR(INDEX('Ведомость расчета мин. платы'!$J$10:$AE$214,MATCH(CONCATENATE(РАСЧЕТ!B1618,"/",РАСЧЕТ!D1618,"/",РАСЧЕТ!E1618,"/",F1618,"/",H1626),'Ведомость расчета мин. платы'!$AE$10:$AE$214,0),2),"")</f>
        <v/>
      </c>
      <c r="J1626" s="248" t="str">
        <f ca="1">IFERROR(INDEX('Ведомость расчета мин. платы'!$J$10:$AE$214,MATCH(CONCATENATE(РАСЧЕТ!B1618,"/",РАСЧЕТ!D1618,"/",РАСЧЕТ!E1618,"/",F1618,"/",H1626),'Ведомость расчета мин. платы'!$AE$10:$AE$214,0),3),"")</f>
        <v/>
      </c>
      <c r="K1626" s="248" t="str">
        <f ca="1">IFERROR(INDEX('Ведомость расчета мин. платы'!$J$10:$AE$214,MATCH(CONCATENATE(РАСЧЕТ!B1618,"/",РАСЧЕТ!D1618,"/",РАСЧЕТ!E1618,"/",F1618,"/",H1626),'Ведомость расчета мин. платы'!$AE$10:$AE$214,0),4),"")</f>
        <v/>
      </c>
      <c r="L1626" s="248">
        <f t="shared" ca="1" si="725"/>
        <v>0</v>
      </c>
      <c r="M1626" s="248">
        <v>0</v>
      </c>
      <c r="N1626" s="214">
        <f t="shared" ca="1" si="726"/>
        <v>0</v>
      </c>
      <c r="O1626" s="229">
        <f t="shared" si="729"/>
        <v>1</v>
      </c>
      <c r="P1626" s="230">
        <f t="shared" si="724"/>
        <v>0</v>
      </c>
      <c r="AP1626" s="242"/>
      <c r="AQ1626" s="253"/>
    </row>
    <row r="1627" spans="1:43" x14ac:dyDescent="0.2">
      <c r="B1627" s="249"/>
      <c r="C1627" s="249"/>
      <c r="D1627" s="249"/>
      <c r="E1627" s="249"/>
      <c r="F1627" s="249"/>
      <c r="G1627" s="249"/>
      <c r="H1627" s="250" t="s">
        <v>475</v>
      </c>
      <c r="I1627" s="251" t="str">
        <f ca="1">IFERROR(ROUND(I1626*I1616,2),"")</f>
        <v/>
      </c>
      <c r="J1627" s="251" t="str">
        <f t="shared" ref="J1627" ca="1" si="738">IFERROR(ROUND(J1626*J1616,2),"")</f>
        <v/>
      </c>
      <c r="K1627" s="251" t="str">
        <f t="shared" ref="K1627" ca="1" si="739">IFERROR(ROUND(K1626*K1616,2),"")</f>
        <v/>
      </c>
      <c r="L1627" s="251">
        <f t="shared" ca="1" si="725"/>
        <v>0</v>
      </c>
      <c r="M1627" s="251">
        <v>0</v>
      </c>
      <c r="N1627" s="252">
        <f t="shared" ca="1" si="726"/>
        <v>0</v>
      </c>
      <c r="O1627" s="229" t="str">
        <f t="shared" si="729"/>
        <v/>
      </c>
      <c r="P1627" s="230">
        <f t="shared" si="724"/>
        <v>0</v>
      </c>
      <c r="AP1627" s="242">
        <f ca="1">SUMIFS('Ведомость расчета мин. платы'!$S$10:$S$209,'Ведомость расчета мин. платы'!$AE$10:$AE$209,CONCATENATE(B1618,"/",D1618,"/",E1618,"/",F1618,"/",H1626))</f>
        <v>0</v>
      </c>
      <c r="AQ1627" s="253">
        <f t="shared" ref="AQ1627" ca="1" si="740">AP1627-N1627</f>
        <v>0</v>
      </c>
    </row>
    <row r="1628" spans="1:43" x14ac:dyDescent="0.2">
      <c r="B1628" s="249"/>
      <c r="C1628" s="249"/>
      <c r="D1628" s="249"/>
      <c r="E1628" s="249"/>
      <c r="F1628" s="249"/>
      <c r="G1628" s="249"/>
      <c r="H1628" s="205" t="s">
        <v>18</v>
      </c>
      <c r="I1628" s="248">
        <f ca="1">IFERROR(INDEX('Ведомость расчета мин. платы'!$J$10:$AE$214,MATCH(CONCATENATE(РАСЧЕТ!B1618,"/",РАСЧЕТ!D1618,"/",РАСЧЕТ!E1618,"/",F1618,"/",H1628),'Ведомость расчета мин. платы'!$AE$10:$AE$214,0),2),"")</f>
        <v>195.1</v>
      </c>
      <c r="J1628" s="248">
        <f ca="1">IFERROR(INDEX('Ведомость расчета мин. платы'!$J$10:$AE$214,MATCH(CONCATENATE(РАСЧЕТ!B1618,"/",РАСЧЕТ!D1618,"/",РАСЧЕТ!E1618,"/",F1618,"/",H1628),'Ведомость расчета мин. платы'!$AE$10:$AE$214,0),3),"")</f>
        <v>73.7</v>
      </c>
      <c r="K1628" s="248">
        <f ca="1">IFERROR(INDEX('Ведомость расчета мин. платы'!$J$10:$AE$214,MATCH(CONCATENATE(РАСЧЕТ!B1618,"/",РАСЧЕТ!D1618,"/",РАСЧЕТ!E1618,"/",F1618,"/",H1628),'Ведомость расчета мин. платы'!$AE$10:$AE$214,0),4),"")</f>
        <v>13.2</v>
      </c>
      <c r="L1628" s="248">
        <f t="shared" ca="1" si="725"/>
        <v>282</v>
      </c>
      <c r="M1628" s="248">
        <v>262.2</v>
      </c>
      <c r="N1628" s="214">
        <f t="shared" ca="1" si="726"/>
        <v>544.20000000000005</v>
      </c>
      <c r="O1628" s="229">
        <f t="shared" si="729"/>
        <v>1</v>
      </c>
      <c r="P1628" s="230">
        <f t="shared" si="724"/>
        <v>0</v>
      </c>
      <c r="AP1628" s="242"/>
      <c r="AQ1628" s="253"/>
    </row>
    <row r="1629" spans="1:43" x14ac:dyDescent="0.2">
      <c r="B1629" s="249"/>
      <c r="C1629" s="249"/>
      <c r="D1629" s="249"/>
      <c r="E1629" s="249"/>
      <c r="F1629" s="249"/>
      <c r="G1629" s="249"/>
      <c r="H1629" s="250" t="s">
        <v>475</v>
      </c>
      <c r="I1629" s="251">
        <f ca="1">IFERROR(ROUND(I1628*I1617,2),"")</f>
        <v>4454.13</v>
      </c>
      <c r="J1629" s="251">
        <f t="shared" ref="J1629" ca="1" si="741">IFERROR(ROUND(J1628*J1617,2),"")</f>
        <v>1283.1199999999999</v>
      </c>
      <c r="K1629" s="251">
        <f t="shared" ref="K1629" ca="1" si="742">IFERROR(ROUND(K1628*K1617,2),"")</f>
        <v>116.82</v>
      </c>
      <c r="L1629" s="251">
        <f t="shared" ca="1" si="725"/>
        <v>5854.07</v>
      </c>
      <c r="M1629" s="251">
        <v>149.46000000000021</v>
      </c>
      <c r="N1629" s="252">
        <f t="shared" ca="1" si="726"/>
        <v>6003.53</v>
      </c>
      <c r="O1629" s="229" t="str">
        <f t="shared" si="729"/>
        <v/>
      </c>
      <c r="P1629" s="230">
        <f t="shared" si="724"/>
        <v>0</v>
      </c>
      <c r="AP1629" s="242">
        <f ca="1">SUMIFS('Ведомость расчета мин. платы'!$S$10:$S$209,'Ведомость расчета мин. платы'!$AE$10:$AE$209,CONCATENATE(B1618,"/",D1618,"/",E1618,"/",F1618,"/",H1628))</f>
        <v>6003.53</v>
      </c>
      <c r="AQ1629" s="253">
        <f t="shared" ref="AQ1629" ca="1" si="743">AP1629-N1629</f>
        <v>0</v>
      </c>
    </row>
    <row r="1630" spans="1:43" x14ac:dyDescent="0.2">
      <c r="B1630" s="249"/>
      <c r="C1630" s="249"/>
      <c r="D1630" s="249"/>
      <c r="E1630" s="249"/>
      <c r="F1630" s="249"/>
      <c r="G1630" s="249"/>
      <c r="H1630" s="254" t="s">
        <v>476</v>
      </c>
      <c r="I1630" s="251">
        <f ca="1">SUMIF($O1618:$O1631,1,I1618:I1629)</f>
        <v>217.2</v>
      </c>
      <c r="J1630" s="251">
        <f ca="1">SUMIF($O1618:$O1631,1,J1618:J1629)</f>
        <v>180.56</v>
      </c>
      <c r="K1630" s="251">
        <f ca="1">SUMIF($O1618:$O1631,1,K1618:K1629)</f>
        <v>41.47</v>
      </c>
      <c r="L1630" s="251">
        <f t="shared" ca="1" si="725"/>
        <v>439.23</v>
      </c>
      <c r="M1630" s="251">
        <f ca="1">SUMIF($O1618:$O1631,1,M1618:M1629)</f>
        <v>484.23</v>
      </c>
      <c r="N1630" s="252">
        <f t="shared" ca="1" si="726"/>
        <v>923.46</v>
      </c>
      <c r="AP1630" s="242"/>
      <c r="AQ1630" s="253"/>
    </row>
    <row r="1631" spans="1:43" x14ac:dyDescent="0.2">
      <c r="B1631" s="249"/>
      <c r="C1631" s="249"/>
      <c r="D1631" s="249"/>
      <c r="E1631" s="249"/>
      <c r="F1631" s="249"/>
      <c r="G1631" s="249"/>
      <c r="H1631" s="254" t="s">
        <v>491</v>
      </c>
      <c r="I1631" s="251">
        <f ca="1">SUMIF(H1618:H1629,"стоимость",I1618:I1629)</f>
        <v>6714.17</v>
      </c>
      <c r="J1631" s="251">
        <f ca="1">SUMIF(H1618:H1629,"стоимость",J1618:J1629)</f>
        <v>25730.109999999997</v>
      </c>
      <c r="K1631" s="251">
        <f ca="1">SUMIF(H1618:H1629,"стоимость",K1618:K1629)</f>
        <v>5435.49</v>
      </c>
      <c r="L1631" s="251">
        <f ca="1">IFERROR(SUM(I1631:K1631),"")</f>
        <v>37879.769999999997</v>
      </c>
      <c r="M1631" s="251">
        <f>SUMIF(H1618:H1629,"стоимость",M1618:M1629)</f>
        <v>2217.9100000000026</v>
      </c>
      <c r="N1631" s="252">
        <f ca="1">IFERROR(SUM(L1631:M1631),"")</f>
        <v>40097.68</v>
      </c>
      <c r="AP1631" s="242">
        <f ca="1">SUMIFS('Ведомость расчета мин. платы'!$S$10:$S$209,'Ведомость расчета мин. платы'!$J$10:$J$209,"Итого",'Ведомость расчета мин. платы'!$AC$10:$AC$209,CONCATENATE(B1618,"/",D1618,"/",E1618,"/",F1618))</f>
        <v>40097.680000000008</v>
      </c>
      <c r="AQ1631" s="253">
        <f ca="1">AP1631-N1631</f>
        <v>0</v>
      </c>
    </row>
    <row r="1632" spans="1:43" x14ac:dyDescent="0.2">
      <c r="B1632" s="255"/>
      <c r="C1632" s="255"/>
      <c r="D1632" s="255"/>
      <c r="E1632" s="255"/>
      <c r="F1632" s="255"/>
      <c r="G1632" s="256"/>
      <c r="H1632" s="257"/>
      <c r="I1632" s="258"/>
      <c r="J1632" s="258"/>
      <c r="K1632" s="258"/>
      <c r="L1632" s="258"/>
      <c r="M1632" s="258"/>
      <c r="N1632" s="258"/>
      <c r="P1632" s="230">
        <f t="shared" ref="P1632:P1650" si="744">IF(A1632&gt;0,1,0)</f>
        <v>0</v>
      </c>
    </row>
    <row r="1633" spans="2:16" x14ac:dyDescent="0.2">
      <c r="B1633" s="282" t="s">
        <v>477</v>
      </c>
      <c r="C1633" s="282"/>
      <c r="D1633" s="282"/>
      <c r="E1633" s="282"/>
      <c r="F1633" s="259"/>
      <c r="G1633" s="225"/>
      <c r="H1633" s="201"/>
      <c r="I1633" s="226"/>
      <c r="J1633" s="258"/>
      <c r="K1633" s="258"/>
      <c r="L1633" s="258"/>
      <c r="M1633" s="258"/>
      <c r="N1633" s="258"/>
      <c r="P1633" s="230">
        <f t="shared" si="744"/>
        <v>0</v>
      </c>
    </row>
    <row r="1634" spans="2:16" x14ac:dyDescent="0.2">
      <c r="B1634" s="283" t="s">
        <v>525</v>
      </c>
      <c r="C1634" s="283"/>
      <c r="D1634" s="283"/>
      <c r="E1634" s="283"/>
      <c r="F1634" s="283"/>
      <c r="G1634" s="283"/>
      <c r="H1634" s="283"/>
      <c r="I1634" s="283"/>
      <c r="J1634" s="261"/>
      <c r="K1634" s="261"/>
      <c r="L1634" s="261"/>
      <c r="M1634" s="261"/>
      <c r="N1634" s="261"/>
      <c r="P1634" s="230">
        <f t="shared" si="744"/>
        <v>0</v>
      </c>
    </row>
    <row r="1635" spans="2:16" x14ac:dyDescent="0.2">
      <c r="B1635" s="284" t="s">
        <v>478</v>
      </c>
      <c r="C1635" s="284"/>
      <c r="D1635" s="284"/>
      <c r="E1635" s="284"/>
      <c r="F1635" s="284"/>
      <c r="G1635" s="284"/>
      <c r="H1635" s="284"/>
      <c r="I1635" s="284"/>
      <c r="J1635" s="258"/>
      <c r="K1635" s="258"/>
      <c r="L1635" s="258"/>
      <c r="M1635" s="258"/>
      <c r="N1635" s="258"/>
      <c r="P1635" s="230">
        <f t="shared" si="744"/>
        <v>0</v>
      </c>
    </row>
    <row r="1636" spans="2:16" x14ac:dyDescent="0.2">
      <c r="B1636" s="284" t="s">
        <v>479</v>
      </c>
      <c r="C1636" s="284"/>
      <c r="D1636" s="284"/>
      <c r="E1636" s="284"/>
      <c r="F1636" s="284"/>
      <c r="G1636" s="284"/>
      <c r="H1636" s="284"/>
      <c r="I1636" s="284"/>
      <c r="J1636" s="258"/>
      <c r="K1636" s="258"/>
      <c r="L1636" s="258"/>
      <c r="M1636" s="258"/>
      <c r="N1636" s="258"/>
      <c r="P1636" s="230">
        <f t="shared" si="744"/>
        <v>0</v>
      </c>
    </row>
    <row r="1637" spans="2:16" x14ac:dyDescent="0.2">
      <c r="B1637" s="284" t="s">
        <v>480</v>
      </c>
      <c r="C1637" s="284"/>
      <c r="D1637" s="284"/>
      <c r="E1637" s="284"/>
      <c r="F1637" s="284"/>
      <c r="G1637" s="284"/>
      <c r="H1637" s="284"/>
      <c r="I1637" s="284"/>
      <c r="J1637" s="258"/>
      <c r="K1637" s="258"/>
      <c r="L1637" s="258"/>
      <c r="M1637" s="258"/>
      <c r="N1637" s="258"/>
      <c r="P1637" s="230">
        <f t="shared" si="744"/>
        <v>0</v>
      </c>
    </row>
    <row r="1638" spans="2:16" x14ac:dyDescent="0.2">
      <c r="B1638" s="284" t="s">
        <v>481</v>
      </c>
      <c r="C1638" s="284"/>
      <c r="D1638" s="284"/>
      <c r="E1638" s="284"/>
      <c r="F1638" s="284"/>
      <c r="G1638" s="284"/>
      <c r="H1638" s="284"/>
      <c r="I1638" s="284"/>
      <c r="J1638" s="226"/>
      <c r="K1638" s="226"/>
      <c r="L1638" s="226"/>
      <c r="M1638" s="226"/>
      <c r="N1638" s="226"/>
      <c r="P1638" s="230">
        <f t="shared" si="744"/>
        <v>0</v>
      </c>
    </row>
    <row r="1639" spans="2:16" x14ac:dyDescent="0.2">
      <c r="B1639" s="284" t="s">
        <v>482</v>
      </c>
      <c r="C1639" s="284"/>
      <c r="D1639" s="284"/>
      <c r="E1639" s="284"/>
      <c r="F1639" s="284"/>
      <c r="G1639" s="284"/>
      <c r="H1639" s="284"/>
      <c r="I1639" s="284"/>
      <c r="J1639" s="226"/>
      <c r="K1639" s="226"/>
      <c r="L1639" s="226"/>
      <c r="M1639" s="226"/>
      <c r="N1639" s="226"/>
      <c r="P1639" s="230">
        <f t="shared" si="744"/>
        <v>0</v>
      </c>
    </row>
    <row r="1640" spans="2:16" x14ac:dyDescent="0.2">
      <c r="B1640" s="284" t="s">
        <v>483</v>
      </c>
      <c r="C1640" s="284"/>
      <c r="D1640" s="284"/>
      <c r="E1640" s="284"/>
      <c r="F1640" s="284"/>
      <c r="G1640" s="284"/>
      <c r="H1640" s="284"/>
      <c r="I1640" s="284"/>
      <c r="J1640" s="226"/>
      <c r="K1640" s="226"/>
      <c r="L1640" s="226"/>
      <c r="M1640" s="226"/>
      <c r="N1640" s="226"/>
      <c r="P1640" s="230">
        <f t="shared" si="744"/>
        <v>0</v>
      </c>
    </row>
    <row r="1641" spans="2:16" x14ac:dyDescent="0.2">
      <c r="B1641" s="284" t="s">
        <v>484</v>
      </c>
      <c r="C1641" s="284"/>
      <c r="D1641" s="284"/>
      <c r="E1641" s="284"/>
      <c r="F1641" s="284"/>
      <c r="G1641" s="284"/>
      <c r="H1641" s="284"/>
      <c r="I1641" s="284"/>
      <c r="J1641" s="226"/>
      <c r="K1641" s="226"/>
      <c r="L1641" s="226"/>
      <c r="M1641" s="226"/>
      <c r="N1641" s="226"/>
      <c r="P1641" s="230">
        <f t="shared" si="744"/>
        <v>0</v>
      </c>
    </row>
    <row r="1642" spans="2:16" x14ac:dyDescent="0.2">
      <c r="B1642" s="264"/>
      <c r="C1642" s="264"/>
      <c r="D1642" s="264"/>
      <c r="E1642" s="264"/>
      <c r="F1642" s="264"/>
      <c r="G1642" s="264"/>
      <c r="H1642" s="264"/>
      <c r="I1642" s="265"/>
      <c r="J1642" s="226"/>
      <c r="K1642" s="226"/>
      <c r="L1642" s="226"/>
      <c r="M1642" s="226"/>
      <c r="N1642" s="226"/>
      <c r="P1642" s="230">
        <f t="shared" si="744"/>
        <v>0</v>
      </c>
    </row>
    <row r="1643" spans="2:16" x14ac:dyDescent="0.2">
      <c r="B1643" s="225" t="s">
        <v>485</v>
      </c>
      <c r="C1643" s="225"/>
      <c r="D1643" s="225"/>
      <c r="E1643" s="225"/>
      <c r="F1643" s="225"/>
      <c r="G1643" s="225"/>
      <c r="H1643" s="201"/>
      <c r="I1643" s="226"/>
      <c r="J1643" s="226" t="s">
        <v>486</v>
      </c>
      <c r="K1643" s="226"/>
      <c r="L1643" s="226"/>
      <c r="M1643" s="226"/>
      <c r="N1643" s="226"/>
      <c r="P1643" s="230">
        <f t="shared" si="744"/>
        <v>0</v>
      </c>
    </row>
    <row r="1644" spans="2:16" x14ac:dyDescent="0.2">
      <c r="B1644" s="266" t="s">
        <v>524</v>
      </c>
      <c r="C1644" s="266"/>
      <c r="D1644" s="225"/>
      <c r="E1644" s="225"/>
      <c r="F1644" s="225"/>
      <c r="G1644" s="225"/>
      <c r="H1644" s="201"/>
      <c r="I1644" s="226"/>
      <c r="J1644" s="267"/>
      <c r="K1644" s="267"/>
      <c r="L1644" s="267"/>
      <c r="M1644" s="226"/>
      <c r="N1644" s="226"/>
      <c r="P1644" s="230">
        <f t="shared" si="744"/>
        <v>0</v>
      </c>
    </row>
    <row r="1645" spans="2:16" x14ac:dyDescent="0.2">
      <c r="B1645" s="268" t="s">
        <v>487</v>
      </c>
      <c r="C1645" s="225"/>
      <c r="D1645" s="225"/>
      <c r="E1645" s="225"/>
      <c r="F1645" s="225"/>
      <c r="G1645" s="225"/>
      <c r="H1645" s="201"/>
      <c r="I1645" s="226"/>
      <c r="J1645" s="226" t="s">
        <v>487</v>
      </c>
      <c r="K1645" s="226"/>
      <c r="L1645" s="226"/>
      <c r="M1645" s="226"/>
      <c r="N1645" s="226"/>
      <c r="P1645" s="230">
        <f t="shared" si="744"/>
        <v>0</v>
      </c>
    </row>
    <row r="1646" spans="2:16" x14ac:dyDescent="0.2">
      <c r="B1646" s="225"/>
      <c r="C1646" s="225"/>
      <c r="D1646" s="225"/>
      <c r="E1646" s="225"/>
      <c r="F1646" s="225"/>
      <c r="G1646" s="225"/>
      <c r="H1646" s="201"/>
      <c r="I1646" s="226"/>
      <c r="J1646" s="226"/>
      <c r="K1646" s="226"/>
      <c r="L1646" s="226"/>
      <c r="M1646" s="226"/>
      <c r="N1646" s="226"/>
      <c r="P1646" s="230">
        <f t="shared" si="744"/>
        <v>0</v>
      </c>
    </row>
    <row r="1647" spans="2:16" x14ac:dyDescent="0.2">
      <c r="B1647" s="266"/>
      <c r="C1647" s="266"/>
      <c r="D1647" s="225"/>
      <c r="E1647" s="225"/>
      <c r="F1647" s="225"/>
      <c r="G1647" s="225"/>
      <c r="H1647" s="201"/>
      <c r="I1647" s="226"/>
      <c r="J1647" s="267"/>
      <c r="K1647" s="267"/>
      <c r="L1647" s="267"/>
      <c r="M1647" s="226"/>
      <c r="N1647" s="226"/>
      <c r="P1647" s="230">
        <f t="shared" si="744"/>
        <v>0</v>
      </c>
    </row>
    <row r="1648" spans="2:16" x14ac:dyDescent="0.2">
      <c r="B1648" s="269" t="s">
        <v>488</v>
      </c>
      <c r="C1648" s="225"/>
      <c r="D1648" s="225"/>
      <c r="E1648" s="225"/>
      <c r="F1648" s="225"/>
      <c r="G1648" s="225"/>
      <c r="H1648" s="201"/>
      <c r="I1648" s="226"/>
      <c r="J1648" s="285" t="s">
        <v>488</v>
      </c>
      <c r="K1648" s="285"/>
      <c r="L1648" s="285"/>
      <c r="M1648" s="226"/>
      <c r="N1648" s="226"/>
      <c r="P1648" s="230">
        <f t="shared" si="744"/>
        <v>0</v>
      </c>
    </row>
    <row r="1649" spans="1:16" x14ac:dyDescent="0.2">
      <c r="B1649" s="225"/>
      <c r="C1649" s="225"/>
      <c r="D1649" s="225"/>
      <c r="E1649" s="225"/>
      <c r="F1649" s="225"/>
      <c r="G1649" s="225"/>
      <c r="H1649" s="201"/>
      <c r="I1649" s="226"/>
      <c r="J1649" s="226"/>
      <c r="K1649" s="226"/>
      <c r="L1649" s="226"/>
      <c r="M1649" s="226"/>
      <c r="N1649" s="226"/>
      <c r="P1649" s="230">
        <f t="shared" si="744"/>
        <v>0</v>
      </c>
    </row>
    <row r="1650" spans="1:16" x14ac:dyDescent="0.2">
      <c r="B1650" s="264" t="s">
        <v>489</v>
      </c>
      <c r="C1650" s="225"/>
      <c r="D1650" s="225"/>
      <c r="E1650" s="225"/>
      <c r="F1650" s="225"/>
      <c r="G1650" s="225"/>
      <c r="H1650" s="201"/>
      <c r="I1650" s="226"/>
      <c r="J1650" s="226" t="s">
        <v>489</v>
      </c>
      <c r="K1650" s="226"/>
      <c r="L1650" s="226"/>
      <c r="M1650" s="226"/>
      <c r="N1650" s="226"/>
      <c r="P1650" s="230">
        <f t="shared" si="744"/>
        <v>0</v>
      </c>
    </row>
    <row r="1651" spans="1:16" x14ac:dyDescent="0.2">
      <c r="A1651" s="272"/>
      <c r="B1651" s="225"/>
      <c r="C1651" s="225"/>
      <c r="D1651" s="225"/>
      <c r="E1651" s="225"/>
      <c r="F1651" s="225"/>
      <c r="G1651" s="225"/>
      <c r="H1651" s="201"/>
      <c r="I1651" s="226"/>
      <c r="J1651" s="226"/>
      <c r="K1651" s="226"/>
      <c r="M1651" s="226"/>
      <c r="N1651" s="228"/>
    </row>
    <row r="1652" spans="1:16" x14ac:dyDescent="0.2">
      <c r="A1652" s="260"/>
      <c r="B1652" s="225"/>
      <c r="C1652" s="225"/>
      <c r="D1652" s="225"/>
      <c r="E1652" s="225"/>
      <c r="F1652" s="225"/>
      <c r="G1652" s="225"/>
      <c r="H1652" s="201"/>
      <c r="I1652" s="226"/>
      <c r="J1652" s="226"/>
      <c r="K1652" s="226"/>
      <c r="M1652" s="226"/>
      <c r="N1652" s="228" t="s">
        <v>455</v>
      </c>
      <c r="P1652" s="230">
        <f t="shared" ref="P1652:P1669" si="745">IF(A1652&gt;0,1,0)</f>
        <v>0</v>
      </c>
    </row>
    <row r="1653" spans="1:16" x14ac:dyDescent="0.2">
      <c r="B1653" s="225"/>
      <c r="C1653" s="225"/>
      <c r="D1653" s="225"/>
      <c r="E1653" s="225"/>
      <c r="F1653" s="225"/>
      <c r="G1653" s="225"/>
      <c r="H1653" s="201"/>
      <c r="I1653" s="226"/>
      <c r="J1653" s="226"/>
      <c r="K1653" s="226"/>
      <c r="M1653" s="226"/>
      <c r="N1653" s="228" t="s">
        <v>456</v>
      </c>
      <c r="P1653" s="230">
        <f t="shared" si="745"/>
        <v>0</v>
      </c>
    </row>
    <row r="1654" spans="1:16" x14ac:dyDescent="0.2">
      <c r="B1654" s="225"/>
      <c r="C1654" s="225"/>
      <c r="D1654" s="225"/>
      <c r="E1654" s="225"/>
      <c r="F1654" s="225"/>
      <c r="G1654" s="225"/>
      <c r="H1654" s="201"/>
      <c r="I1654" s="226"/>
      <c r="J1654" s="226"/>
      <c r="K1654" s="226"/>
      <c r="M1654" s="226"/>
      <c r="N1654" s="228" t="s">
        <v>457</v>
      </c>
      <c r="P1654" s="230">
        <f t="shared" si="745"/>
        <v>0</v>
      </c>
    </row>
    <row r="1655" spans="1:16" x14ac:dyDescent="0.2">
      <c r="B1655" s="225"/>
      <c r="C1655" s="225"/>
      <c r="D1655" s="225"/>
      <c r="E1655" s="225"/>
      <c r="F1655" s="225"/>
      <c r="G1655" s="225"/>
      <c r="H1655" s="201"/>
      <c r="I1655" s="226"/>
      <c r="J1655" s="226"/>
      <c r="K1655" s="226"/>
      <c r="L1655" s="226"/>
      <c r="M1655" s="226"/>
      <c r="N1655" s="226"/>
      <c r="P1655" s="230">
        <f t="shared" si="745"/>
        <v>0</v>
      </c>
    </row>
    <row r="1656" spans="1:16" x14ac:dyDescent="0.2">
      <c r="B1656" s="225"/>
      <c r="C1656" s="286" t="s">
        <v>458</v>
      </c>
      <c r="D1656" s="286"/>
      <c r="E1656" s="286"/>
      <c r="F1656" s="286"/>
      <c r="G1656" s="286"/>
      <c r="H1656" s="286"/>
      <c r="I1656" s="286"/>
      <c r="J1656" s="286"/>
      <c r="K1656" s="286"/>
      <c r="L1656" s="286"/>
      <c r="M1656" s="226"/>
      <c r="N1656" s="226"/>
      <c r="P1656" s="230">
        <f t="shared" si="745"/>
        <v>0</v>
      </c>
    </row>
    <row r="1657" spans="1:16" x14ac:dyDescent="0.2">
      <c r="B1657" s="225"/>
      <c r="C1657" s="286" t="s">
        <v>459</v>
      </c>
      <c r="D1657" s="286"/>
      <c r="E1657" s="286"/>
      <c r="F1657" s="286"/>
      <c r="G1657" s="286"/>
      <c r="H1657" s="286"/>
      <c r="I1657" s="286"/>
      <c r="J1657" s="286"/>
      <c r="K1657" s="286"/>
      <c r="L1657" s="286"/>
      <c r="M1657" s="226"/>
      <c r="N1657" s="226"/>
      <c r="P1657" s="230">
        <f t="shared" si="745"/>
        <v>0</v>
      </c>
    </row>
    <row r="1658" spans="1:16" x14ac:dyDescent="0.2">
      <c r="B1658" s="225" t="s">
        <v>460</v>
      </c>
      <c r="C1658" s="234"/>
      <c r="D1658" s="234"/>
      <c r="E1658" s="234"/>
      <c r="F1658" s="234"/>
      <c r="G1658" s="234"/>
      <c r="H1658" s="234"/>
      <c r="I1658" s="235"/>
      <c r="J1658" s="235"/>
      <c r="K1658" s="235"/>
      <c r="L1658" s="287" t="s">
        <v>461</v>
      </c>
      <c r="M1658" s="287"/>
      <c r="N1658" s="287"/>
      <c r="P1658" s="230">
        <f t="shared" si="745"/>
        <v>0</v>
      </c>
    </row>
    <row r="1659" spans="1:16" x14ac:dyDescent="0.2">
      <c r="B1659" s="225"/>
      <c r="C1659" s="234"/>
      <c r="D1659" s="234"/>
      <c r="E1659" s="234"/>
      <c r="F1659" s="234"/>
      <c r="G1659" s="234"/>
      <c r="H1659" s="234"/>
      <c r="I1659" s="235"/>
      <c r="J1659" s="235"/>
      <c r="K1659" s="235"/>
      <c r="L1659" s="235"/>
      <c r="M1659" s="235"/>
      <c r="N1659" s="235"/>
      <c r="P1659" s="230">
        <f t="shared" si="745"/>
        <v>0</v>
      </c>
    </row>
    <row r="1660" spans="1:16" x14ac:dyDescent="0.2">
      <c r="B1660" s="225" t="s">
        <v>2038</v>
      </c>
      <c r="C1660" s="234"/>
      <c r="D1660" s="234"/>
      <c r="E1660" s="234"/>
      <c r="F1660" s="234"/>
      <c r="G1660" s="234"/>
      <c r="H1660" s="234"/>
      <c r="I1660" s="235"/>
      <c r="J1660" s="235"/>
      <c r="K1660" s="235"/>
      <c r="L1660" s="235"/>
      <c r="M1660" s="235"/>
      <c r="N1660" s="235"/>
      <c r="P1660" s="230">
        <f t="shared" si="745"/>
        <v>0</v>
      </c>
    </row>
    <row r="1661" spans="1:16" x14ac:dyDescent="0.2">
      <c r="B1661" s="225" t="s">
        <v>462</v>
      </c>
      <c r="C1661" s="234"/>
      <c r="D1661" s="234"/>
      <c r="E1661" s="234"/>
      <c r="F1661" s="234"/>
      <c r="G1661" s="234"/>
      <c r="H1661" s="234"/>
      <c r="I1661" s="235"/>
      <c r="J1661" s="235"/>
      <c r="K1661" s="235"/>
      <c r="L1661" s="235"/>
      <c r="M1661" s="235"/>
      <c r="N1661" s="235"/>
      <c r="P1661" s="230">
        <f t="shared" si="745"/>
        <v>0</v>
      </c>
    </row>
    <row r="1662" spans="1:16" x14ac:dyDescent="0.2">
      <c r="B1662" s="225" t="s">
        <v>2037</v>
      </c>
      <c r="C1662" s="234"/>
      <c r="D1662" s="234"/>
      <c r="E1662" s="234"/>
      <c r="F1662" s="234"/>
      <c r="G1662" s="234"/>
      <c r="H1662" s="234"/>
      <c r="I1662" s="235"/>
      <c r="J1662" s="235"/>
      <c r="K1662" s="235"/>
      <c r="L1662" s="235"/>
      <c r="M1662" s="235"/>
      <c r="N1662" s="235"/>
      <c r="P1662" s="230">
        <f t="shared" si="745"/>
        <v>0</v>
      </c>
    </row>
    <row r="1663" spans="1:16" x14ac:dyDescent="0.2">
      <c r="B1663" s="225" t="s">
        <v>2052</v>
      </c>
      <c r="C1663" s="234"/>
      <c r="D1663" s="234"/>
      <c r="E1663" s="234"/>
      <c r="F1663" s="234"/>
      <c r="G1663" s="234"/>
      <c r="H1663" s="234"/>
      <c r="I1663" s="235"/>
      <c r="J1663" s="235"/>
      <c r="K1663" s="235"/>
      <c r="L1663" s="235"/>
      <c r="M1663" s="235"/>
      <c r="N1663" s="235"/>
      <c r="P1663" s="230">
        <f t="shared" si="745"/>
        <v>0</v>
      </c>
    </row>
    <row r="1664" spans="1:16" x14ac:dyDescent="0.2">
      <c r="B1664" s="225"/>
      <c r="C1664" s="225"/>
      <c r="D1664" s="225"/>
      <c r="E1664" s="225"/>
      <c r="F1664" s="225"/>
      <c r="G1664" s="225"/>
      <c r="H1664" s="201"/>
      <c r="I1664" s="226"/>
      <c r="J1664" s="226"/>
      <c r="K1664" s="226"/>
      <c r="L1664" s="226"/>
      <c r="M1664" s="226"/>
      <c r="N1664" s="226"/>
      <c r="P1664" s="230">
        <f t="shared" si="745"/>
        <v>0</v>
      </c>
    </row>
    <row r="1665" spans="1:43" x14ac:dyDescent="0.2">
      <c r="B1665" s="288" t="s">
        <v>106</v>
      </c>
      <c r="C1665" s="290" t="s">
        <v>463</v>
      </c>
      <c r="D1665" s="288" t="s">
        <v>464</v>
      </c>
      <c r="E1665" s="288" t="s">
        <v>465</v>
      </c>
      <c r="F1665" s="288" t="s">
        <v>490</v>
      </c>
      <c r="G1665" s="288" t="s">
        <v>466</v>
      </c>
      <c r="H1665" s="292" t="s">
        <v>8</v>
      </c>
      <c r="I1665" s="294" t="s">
        <v>467</v>
      </c>
      <c r="J1665" s="295"/>
      <c r="K1665" s="295"/>
      <c r="L1665" s="296"/>
      <c r="M1665" s="297" t="s">
        <v>468</v>
      </c>
      <c r="N1665" s="299" t="s">
        <v>469</v>
      </c>
      <c r="P1665" s="230">
        <f t="shared" si="745"/>
        <v>0</v>
      </c>
    </row>
    <row r="1666" spans="1:43" x14ac:dyDescent="0.2">
      <c r="B1666" s="289"/>
      <c r="C1666" s="291"/>
      <c r="D1666" s="289"/>
      <c r="E1666" s="289"/>
      <c r="F1666" s="289"/>
      <c r="G1666" s="289"/>
      <c r="H1666" s="293"/>
      <c r="I1666" s="236" t="s">
        <v>470</v>
      </c>
      <c r="J1666" s="236" t="s">
        <v>471</v>
      </c>
      <c r="K1666" s="236" t="s">
        <v>472</v>
      </c>
      <c r="L1666" s="236" t="s">
        <v>473</v>
      </c>
      <c r="M1666" s="298"/>
      <c r="N1666" s="300"/>
      <c r="P1666" s="230">
        <f t="shared" si="745"/>
        <v>0</v>
      </c>
    </row>
    <row r="1667" spans="1:43" x14ac:dyDescent="0.2">
      <c r="A1667" s="224" t="str">
        <f>CONCATENATE("Лот"," ",A1668)</f>
        <v>Лот 31</v>
      </c>
      <c r="B1667" s="273" t="s">
        <v>2087</v>
      </c>
      <c r="C1667" s="274"/>
      <c r="D1667" s="274"/>
      <c r="E1667" s="274"/>
      <c r="F1667" s="274"/>
      <c r="G1667" s="275"/>
      <c r="H1667" s="238" t="s">
        <v>17</v>
      </c>
      <c r="I1667" s="270">
        <f ca="1">ROUND(VLOOKUP($H1667,$AJ$4:$AN$13,2,0)*$Q1669*1.51,2)</f>
        <v>120.15</v>
      </c>
      <c r="J1667" s="270">
        <f ca="1">ROUND(VLOOKUP($H1667,$AJ$4:$AN$13,3,0)*$Q1669*1.51,2)</f>
        <v>85.62</v>
      </c>
      <c r="K1667" s="270">
        <f ca="1">ROUND(VLOOKUP($H1667,$AJ$4:$AN$13,4,0)*$Q1669*1.51,2)</f>
        <v>43.38</v>
      </c>
      <c r="L1667" s="270"/>
      <c r="M1667" s="270">
        <f ca="1">ROUND(VLOOKUP($H1667,$AJ$4:$AN$13,5,0)*$Q1669*1.51,2)</f>
        <v>6.85</v>
      </c>
      <c r="N1667" s="270"/>
      <c r="P1667" s="230">
        <f t="shared" si="745"/>
        <v>1</v>
      </c>
    </row>
    <row r="1668" spans="1:43" x14ac:dyDescent="0.2">
      <c r="A1668" s="224">
        <f>A1613+1</f>
        <v>31</v>
      </c>
      <c r="B1668" s="276"/>
      <c r="C1668" s="277"/>
      <c r="D1668" s="277"/>
      <c r="E1668" s="277"/>
      <c r="F1668" s="277"/>
      <c r="G1668" s="278"/>
      <c r="H1668" s="238" t="s">
        <v>25</v>
      </c>
      <c r="I1668" s="270">
        <f ca="1">ROUND(VLOOKUP($H1668,$AJ$4:$AN$13,2,0)*$Q1669*1.51,2)</f>
        <v>898.69</v>
      </c>
      <c r="J1668" s="270">
        <f ca="1">ROUND(VLOOKUP($H1668,$AJ$4:$AN$13,3,0)*$Q1669*1.51,2)</f>
        <v>642.13</v>
      </c>
      <c r="K1668" s="270">
        <f ca="1">ROUND(VLOOKUP($H1668,$AJ$4:$AN$13,4,0)*$Q1669*1.51,2)</f>
        <v>323.06</v>
      </c>
      <c r="L1668" s="270"/>
      <c r="M1668" s="270">
        <f ca="1">ROUND(VLOOKUP($H1668,$AJ$4:$AN$13,5,0)*$Q1669*1.51,2)</f>
        <v>27.97</v>
      </c>
      <c r="N1668" s="270"/>
      <c r="P1668" s="230">
        <f t="shared" si="745"/>
        <v>1</v>
      </c>
      <c r="Q1668" s="240" t="s">
        <v>2045</v>
      </c>
      <c r="R1668" s="240" t="s">
        <v>2046</v>
      </c>
    </row>
    <row r="1669" spans="1:43" x14ac:dyDescent="0.2">
      <c r="B1669" s="276"/>
      <c r="C1669" s="277"/>
      <c r="D1669" s="277"/>
      <c r="E1669" s="277"/>
      <c r="F1669" s="277"/>
      <c r="G1669" s="278"/>
      <c r="H1669" s="238" t="s">
        <v>19</v>
      </c>
      <c r="I1669" s="270">
        <f ca="1">ROUND(VLOOKUP($H1669,$AJ$4:$AN$13,2,0)*$Q1669*1.51,2)</f>
        <v>71.349999999999994</v>
      </c>
      <c r="J1669" s="270">
        <f ca="1">ROUND(VLOOKUP($H1669,$AJ$4:$AN$13,3,0)*$Q1669*1.51,2)</f>
        <v>51.94</v>
      </c>
      <c r="K1669" s="270">
        <f ca="1">ROUND(VLOOKUP($H1669,$AJ$4:$AN$13,4,0)*$Q1669*1.51,2)</f>
        <v>26.54</v>
      </c>
      <c r="L1669" s="270"/>
      <c r="M1669" s="270">
        <f ca="1">ROUND(VLOOKUP($H1669,$AJ$4:$AN$13,5,0)*$Q1669*1.51,2)</f>
        <v>1.43</v>
      </c>
      <c r="N1669" s="270"/>
      <c r="P1669" s="230">
        <f t="shared" si="745"/>
        <v>0</v>
      </c>
      <c r="Q1669" s="123">
        <f ca="1">IFERROR(IF(R1669="","",IF(OR(R1669&lt;100,R1669=100),0.9,IF(OR(AND(R1669&gt;100,R1669&lt;150),R1669=150),1,IF(R1669&gt;150,1.05,"")))),"0")</f>
        <v>1.05</v>
      </c>
      <c r="R1669" s="123">
        <f ca="1">N1685/G1673</f>
        <v>189.55813953488374</v>
      </c>
    </row>
    <row r="1670" spans="1:43" x14ac:dyDescent="0.2">
      <c r="B1670" s="276"/>
      <c r="C1670" s="277"/>
      <c r="D1670" s="277"/>
      <c r="E1670" s="277"/>
      <c r="F1670" s="277"/>
      <c r="G1670" s="278"/>
      <c r="H1670" s="238" t="s">
        <v>268</v>
      </c>
      <c r="I1670" s="270">
        <f ca="1">ROUND(VLOOKUP($H1670,$AJ$4:$AN$13,2,0)*$Q1669*1.51,2)</f>
        <v>898.69</v>
      </c>
      <c r="J1670" s="270">
        <f ca="1">ROUND(VLOOKUP($H1670,$AJ$4:$AN$13,3,0)*$Q1669*1.51,2)</f>
        <v>642.13</v>
      </c>
      <c r="K1670" s="270">
        <f ca="1">ROUND(VLOOKUP($H1670,$AJ$4:$AN$13,4,0)*$Q1669*1.51,2)</f>
        <v>323.06</v>
      </c>
      <c r="L1670" s="270"/>
      <c r="M1670" s="270">
        <f ca="1">ROUND(VLOOKUP($H1670,$AJ$4:$AN$13,5,0)*$Q1669*1.51,2)</f>
        <v>27.97</v>
      </c>
      <c r="N1670" s="270"/>
    </row>
    <row r="1671" spans="1:43" x14ac:dyDescent="0.2">
      <c r="B1671" s="276"/>
      <c r="C1671" s="277"/>
      <c r="D1671" s="277"/>
      <c r="E1671" s="277"/>
      <c r="F1671" s="277"/>
      <c r="G1671" s="278"/>
      <c r="H1671" s="238" t="s">
        <v>40</v>
      </c>
      <c r="I1671" s="270">
        <f ca="1">ROUND(VLOOKUP($H1671,$AJ$4:$AN$13,2,0)*$Q1669*1.51,2)</f>
        <v>71.349999999999994</v>
      </c>
      <c r="J1671" s="270">
        <f ca="1">ROUND(VLOOKUP($H1671,$AJ$4:$AN$13,3,0)*$Q1669*1.51,2)</f>
        <v>51.94</v>
      </c>
      <c r="K1671" s="270">
        <f ca="1">ROUND(VLOOKUP($H1671,$AJ$4:$AN$13,4,0)*$Q1669*1.51,2)</f>
        <v>26.54</v>
      </c>
      <c r="L1671" s="270"/>
      <c r="M1671" s="270">
        <f ca="1">ROUND(VLOOKUP($H1671,$AJ$4:$AN$13,5,0)*$Q1669*1.51,2)</f>
        <v>1.43</v>
      </c>
      <c r="N1671" s="270"/>
      <c r="P1671" s="230">
        <f t="shared" ref="P1671:P1684" si="746">IF(A1671&gt;0,1,0)</f>
        <v>0</v>
      </c>
    </row>
    <row r="1672" spans="1:43" x14ac:dyDescent="0.2">
      <c r="B1672" s="279"/>
      <c r="C1672" s="280"/>
      <c r="D1672" s="280"/>
      <c r="E1672" s="280"/>
      <c r="F1672" s="280"/>
      <c r="G1672" s="281"/>
      <c r="H1672" s="238" t="s">
        <v>18</v>
      </c>
      <c r="I1672" s="270">
        <f ca="1">ROUND(VLOOKUP($H1672,$AJ$4:$AN$13,2,0)*$Q1669*1.51,2)</f>
        <v>22.83</v>
      </c>
      <c r="J1672" s="270">
        <f ca="1">ROUND(VLOOKUP($H1672,$AJ$4:$AN$13,3,0)*$Q1669*1.51,2)</f>
        <v>17.41</v>
      </c>
      <c r="K1672" s="270">
        <f ca="1">ROUND(VLOOKUP($H1672,$AJ$4:$AN$13,4,0)*$Q1669*1.51,2)</f>
        <v>8.85</v>
      </c>
      <c r="L1672" s="270"/>
      <c r="M1672" s="270">
        <f ca="1">ROUND(VLOOKUP($H1672,$AJ$4:$AN$13,5,0)*$Q1669*1.51*1,2)</f>
        <v>0.56999999999999995</v>
      </c>
      <c r="N1672" s="270"/>
      <c r="P1672" s="230">
        <f t="shared" si="746"/>
        <v>0</v>
      </c>
      <c r="AP1672" s="241" t="s">
        <v>2053</v>
      </c>
      <c r="AQ1672" s="242"/>
    </row>
    <row r="1673" spans="1:43" x14ac:dyDescent="0.2">
      <c r="A1673" s="224">
        <f>A1618+37</f>
        <v>1110</v>
      </c>
      <c r="B1673" s="243" t="str">
        <f ca="1">OFFSET(ЛОТЫ!$L$5,A1673,0,1,1)</f>
        <v>Тимерликовское</v>
      </c>
      <c r="C1673" s="244" t="s">
        <v>474</v>
      </c>
      <c r="D1673" s="243">
        <f ca="1">OFFSET(ЛОТЫ!$M$5,A1673,0,1,1)</f>
        <v>11</v>
      </c>
      <c r="E1673" s="243">
        <f ca="1">OFFSET(ЛОТЫ!$N$5,A1673,0,1,1)</f>
        <v>3</v>
      </c>
      <c r="F1673" s="243">
        <f ca="1">OFFSET(ЛОТЫ!$O$5,A1673,0,1,1)</f>
        <v>1</v>
      </c>
      <c r="G1673" s="271">
        <f ca="1">IFERROR(INDEX('Ведомость расчета мин. платы'!$G$10:$AC$214,MATCH(CONCATENATE(B1673,"/",D1673,"/",E1673,"/",F1673),'Ведомость расчета мин. платы'!$AC$10:$AC$214,0),1),"")</f>
        <v>4.3</v>
      </c>
      <c r="H1673" s="246" t="s">
        <v>17</v>
      </c>
      <c r="I1673" s="247">
        <f ca="1">IFERROR(INDEX('Ведомость расчета мин. платы'!$J$10:$AE$214,MATCH(CONCATENATE(РАСЧЕТ!B1673,"/",РАСЧЕТ!D1673,"/",РАСЧЕТ!E1673,"/",F1673,"/",H1673),'Ведомость расчета мин. платы'!$AE$10:$AE$214,0),2),"")</f>
        <v>11.13</v>
      </c>
      <c r="J1673" s="247">
        <f ca="1">IFERROR(INDEX('Ведомость расчета мин. платы'!$J$10:$AE$214,MATCH(CONCATENATE(РАСЧЕТ!B1673,"/",РАСЧЕТ!D1673,"/",РАСЧЕТ!E1673,"/",F1673,"/",H1673),'Ведомость расчета мин. платы'!$AE$10:$AE$214,0),3),"")</f>
        <v>67.42</v>
      </c>
      <c r="K1673" s="247">
        <f ca="1">IFERROR(INDEX('Ведомость расчета мин. платы'!$J$10:$AE$214,MATCH(CONCATENATE(РАСЧЕТ!B1673,"/",РАСЧЕТ!D1673,"/",РАСЧЕТ!E1673,"/",F1673,"/",H1673),'Ведомость расчета мин. платы'!$AE$10:$AE$214,0),4),"")</f>
        <v>18.579999999999998</v>
      </c>
      <c r="L1673" s="248">
        <f t="shared" ref="L1673:L1685" ca="1" si="747">IFERROR(SUM(I1673:K1673),"")</f>
        <v>97.13</v>
      </c>
      <c r="M1673" s="214">
        <f ca="1">IFERROR(INDEX('Ведомость расчета мин. платы'!$J$10:$AE$214,MATCH(CONCATENATE(РАСЧЕТ!B1673,"/",РАСЧЕТ!D1673,"/",РАСЧЕТ!E1673,"/",F1673,"/",H1673),'Ведомость расчета мин. платы'!$AE$10:$AE$214,0),6),"")</f>
        <v>79.5</v>
      </c>
      <c r="N1673" s="214">
        <f t="shared" ref="N1673:N1685" ca="1" si="748">IFERROR(SUM(L1673:M1673),"")</f>
        <v>176.63</v>
      </c>
      <c r="O1673" s="229">
        <f>IF(H1673="стоимость","",1)</f>
        <v>1</v>
      </c>
      <c r="P1673" s="230">
        <f t="shared" si="746"/>
        <v>1</v>
      </c>
      <c r="AP1673" s="242"/>
      <c r="AQ1673" s="242"/>
    </row>
    <row r="1674" spans="1:43" x14ac:dyDescent="0.2">
      <c r="B1674" s="249"/>
      <c r="C1674" s="249"/>
      <c r="D1674" s="249"/>
      <c r="E1674" s="249"/>
      <c r="F1674" s="249"/>
      <c r="G1674" s="249"/>
      <c r="H1674" s="250" t="s">
        <v>475</v>
      </c>
      <c r="I1674" s="251">
        <f ca="1">IFERROR(ROUND(I1673*I1667,2),"")</f>
        <v>1337.27</v>
      </c>
      <c r="J1674" s="251">
        <f t="shared" ref="J1674" ca="1" si="749">IFERROR(ROUND(J1673*J1667,2),"")</f>
        <v>5772.5</v>
      </c>
      <c r="K1674" s="251">
        <f t="shared" ref="K1674" ca="1" si="750">IFERROR(ROUND(K1673*K1667,2),"")</f>
        <v>806</v>
      </c>
      <c r="L1674" s="251">
        <f t="shared" ca="1" si="747"/>
        <v>7915.77</v>
      </c>
      <c r="M1674" s="251">
        <v>544.56999999999982</v>
      </c>
      <c r="N1674" s="252">
        <f t="shared" ca="1" si="748"/>
        <v>8460.34</v>
      </c>
      <c r="O1674" s="229" t="str">
        <f t="shared" ref="O1674:O1684" si="751">IF(H1674="стоимость","",1)</f>
        <v/>
      </c>
      <c r="P1674" s="230">
        <f t="shared" si="746"/>
        <v>0</v>
      </c>
      <c r="AP1674" s="242">
        <f ca="1">SUMIFS('Ведомость расчета мин. платы'!$S$10:$S$209,'Ведомость расчета мин. платы'!$AE$10:$AE$209,CONCATENATE(B1673,"/",D1673,"/",E1673,"/",F1673,"/",H1673))</f>
        <v>8460.34</v>
      </c>
      <c r="AQ1674" s="253">
        <f t="shared" ref="AQ1674" ca="1" si="752">AP1674-N1674</f>
        <v>0</v>
      </c>
    </row>
    <row r="1675" spans="1:43" x14ac:dyDescent="0.2">
      <c r="B1675" s="249"/>
      <c r="C1675" s="249"/>
      <c r="D1675" s="249"/>
      <c r="E1675" s="249"/>
      <c r="F1675" s="249"/>
      <c r="G1675" s="249"/>
      <c r="H1675" s="246" t="s">
        <v>25</v>
      </c>
      <c r="I1675" s="247" t="str">
        <f ca="1">IFERROR(INDEX('Ведомость расчета мин. платы'!$J$10:$AE$214,MATCH(CONCATENATE(РАСЧЕТ!B1673,"/",РАСЧЕТ!D1673,"/",РАСЧЕТ!E1673,"/",F1673,"/",H1675),'Ведомость расчета мин. платы'!$AE$10:$AE$214,0),2),"")</f>
        <v/>
      </c>
      <c r="J1675" s="247" t="str">
        <f ca="1">IFERROR(INDEX('Ведомость расчета мин. платы'!$J$10:$AE$214,MATCH(CONCATENATE(РАСЧЕТ!B1673,"/",РАСЧЕТ!D1673,"/",РАСЧЕТ!E1673,"/",F1673,"/",H1675),'Ведомость расчета мин. платы'!$AE$10:$AE$214,0),3),"")</f>
        <v/>
      </c>
      <c r="K1675" s="247" t="str">
        <f ca="1">IFERROR(INDEX('Ведомость расчета мин. платы'!$J$10:$AE$214,MATCH(CONCATENATE(РАСЧЕТ!B1673,"/",РАСЧЕТ!D1673,"/",РАСЧЕТ!E1673,"/",F1673,"/",H1675),'Ведомость расчета мин. платы'!$AE$10:$AE$214,0),4),"")</f>
        <v/>
      </c>
      <c r="L1675" s="248">
        <f t="shared" ca="1" si="747"/>
        <v>0</v>
      </c>
      <c r="M1675" s="214">
        <v>0</v>
      </c>
      <c r="N1675" s="214">
        <f t="shared" ca="1" si="748"/>
        <v>0</v>
      </c>
      <c r="O1675" s="229">
        <f t="shared" si="751"/>
        <v>1</v>
      </c>
      <c r="P1675" s="230">
        <f t="shared" si="746"/>
        <v>0</v>
      </c>
      <c r="AP1675" s="242"/>
      <c r="AQ1675" s="253"/>
    </row>
    <row r="1676" spans="1:43" x14ac:dyDescent="0.2">
      <c r="B1676" s="249"/>
      <c r="C1676" s="249"/>
      <c r="D1676" s="249"/>
      <c r="E1676" s="249"/>
      <c r="F1676" s="249"/>
      <c r="G1676" s="249"/>
      <c r="H1676" s="250" t="s">
        <v>475</v>
      </c>
      <c r="I1676" s="251" t="str">
        <f ca="1">IFERROR(ROUND(I1675*I1668,2),"")</f>
        <v/>
      </c>
      <c r="J1676" s="251" t="str">
        <f t="shared" ref="J1676" ca="1" si="753">IFERROR(ROUND(J1675*J1668,2),"")</f>
        <v/>
      </c>
      <c r="K1676" s="251" t="str">
        <f t="shared" ref="K1676" ca="1" si="754">IFERROR(ROUND(K1675*K1668,2),"")</f>
        <v/>
      </c>
      <c r="L1676" s="251">
        <f t="shared" ca="1" si="747"/>
        <v>0</v>
      </c>
      <c r="M1676" s="251">
        <v>0</v>
      </c>
      <c r="N1676" s="252">
        <f t="shared" ca="1" si="748"/>
        <v>0</v>
      </c>
      <c r="O1676" s="229" t="str">
        <f t="shared" si="751"/>
        <v/>
      </c>
      <c r="P1676" s="230">
        <f t="shared" si="746"/>
        <v>0</v>
      </c>
      <c r="AP1676" s="242">
        <f ca="1">SUMIFS('Ведомость расчета мин. платы'!$S$10:$S$209,'Ведомость расчета мин. платы'!$AE$10:$AE$209,CONCATENATE(B1673,"/",D1673,"/",E1673,"/",F1673,"/",H1675))</f>
        <v>0</v>
      </c>
      <c r="AQ1676" s="253">
        <f t="shared" ref="AQ1676" ca="1" si="755">AP1676-N1676</f>
        <v>0</v>
      </c>
    </row>
    <row r="1677" spans="1:43" x14ac:dyDescent="0.2">
      <c r="B1677" s="249"/>
      <c r="C1677" s="249"/>
      <c r="D1677" s="249"/>
      <c r="E1677" s="249"/>
      <c r="F1677" s="249"/>
      <c r="G1677" s="249"/>
      <c r="H1677" s="205" t="s">
        <v>19</v>
      </c>
      <c r="I1677" s="248" t="str">
        <f ca="1">IFERROR(INDEX('Ведомость расчета мин. платы'!$J$10:$AE$214,MATCH(CONCATENATE(РАСЧЕТ!B1673,"/",РАСЧЕТ!D1673,"/",РАСЧЕТ!E1673,"/",F1673,"/",H1677),'Ведомость расчета мин. платы'!$AE$10:$AE$214,0),2),"")</f>
        <v/>
      </c>
      <c r="J1677" s="248" t="str">
        <f ca="1">IFERROR(INDEX('Ведомость расчета мин. платы'!$J$10:$AE$214,MATCH(CONCATENATE(РАСЧЕТ!B1673,"/",РАСЧЕТ!D1673,"/",РАСЧЕТ!E1673,"/",F1673,"/",H1677),'Ведомость расчета мин. платы'!$AE$10:$AE$214,0),3),"")</f>
        <v/>
      </c>
      <c r="K1677" s="248" t="str">
        <f ca="1">IFERROR(INDEX('Ведомость расчета мин. платы'!$J$10:$AE$214,MATCH(CONCATENATE(РАСЧЕТ!B1673,"/",РАСЧЕТ!D1673,"/",РАСЧЕТ!E1673,"/",F1673,"/",H1677),'Ведомость расчета мин. платы'!$AE$10:$AE$214,0),4),"")</f>
        <v/>
      </c>
      <c r="L1677" s="248">
        <f t="shared" ca="1" si="747"/>
        <v>0</v>
      </c>
      <c r="M1677" s="248">
        <v>0</v>
      </c>
      <c r="N1677" s="214">
        <f t="shared" ca="1" si="748"/>
        <v>0</v>
      </c>
      <c r="O1677" s="229">
        <f t="shared" si="751"/>
        <v>1</v>
      </c>
      <c r="P1677" s="230">
        <f t="shared" si="746"/>
        <v>0</v>
      </c>
      <c r="AP1677" s="242"/>
      <c r="AQ1677" s="253"/>
    </row>
    <row r="1678" spans="1:43" x14ac:dyDescent="0.2">
      <c r="B1678" s="249"/>
      <c r="C1678" s="249"/>
      <c r="D1678" s="249"/>
      <c r="E1678" s="249"/>
      <c r="F1678" s="249"/>
      <c r="G1678" s="249"/>
      <c r="H1678" s="250" t="s">
        <v>475</v>
      </c>
      <c r="I1678" s="251" t="str">
        <f ca="1">IFERROR(ROUND(I1677*I1669,2),"")</f>
        <v/>
      </c>
      <c r="J1678" s="251" t="str">
        <f t="shared" ref="J1678" ca="1" si="756">IFERROR(ROUND(J1677*J1669,2),"")</f>
        <v/>
      </c>
      <c r="K1678" s="251" t="str">
        <f t="shared" ref="K1678" ca="1" si="757">IFERROR(ROUND(K1677*K1669,2),"")</f>
        <v/>
      </c>
      <c r="L1678" s="251">
        <f t="shared" ca="1" si="747"/>
        <v>0</v>
      </c>
      <c r="M1678" s="251">
        <v>0</v>
      </c>
      <c r="N1678" s="252">
        <f t="shared" ca="1" si="748"/>
        <v>0</v>
      </c>
      <c r="O1678" s="229" t="str">
        <f t="shared" si="751"/>
        <v/>
      </c>
      <c r="P1678" s="230">
        <f t="shared" si="746"/>
        <v>0</v>
      </c>
      <c r="AP1678" s="242">
        <f ca="1">SUMIFS('Ведомость расчета мин. платы'!$S$10:$S$209,'Ведомость расчета мин. платы'!$AE$10:$AE$209,CONCATENATE(B1673,"/",D1673,"/",E1673,"/",F1673,"/",H1677))</f>
        <v>0</v>
      </c>
      <c r="AQ1678" s="253">
        <f t="shared" ref="AQ1678" ca="1" si="758">AP1678-N1678</f>
        <v>0</v>
      </c>
    </row>
    <row r="1679" spans="1:43" x14ac:dyDescent="0.2">
      <c r="B1679" s="249"/>
      <c r="C1679" s="249"/>
      <c r="D1679" s="249"/>
      <c r="E1679" s="249"/>
      <c r="F1679" s="249"/>
      <c r="G1679" s="249"/>
      <c r="H1679" s="205" t="s">
        <v>268</v>
      </c>
      <c r="I1679" s="248" t="str">
        <f ca="1">IFERROR(INDEX('Ведомость расчета мин. платы'!$J$10:$AE$214,MATCH(CONCATENATE(РАСЧЕТ!B1673,"/",РАСЧЕТ!D1673,"/",РАСЧЕТ!E1673,"/",F1673,"/",H1679),'Ведомость расчета мин. платы'!$AE$10:$AE$214,0),2),"")</f>
        <v/>
      </c>
      <c r="J1679" s="248" t="str">
        <f ca="1">IFERROR(INDEX('Ведомость расчета мин. платы'!$J$10:$AE$214,MATCH(CONCATENATE(РАСЧЕТ!B1673,"/",РАСЧЕТ!D1673,"/",РАСЧЕТ!E1673,"/",F1673,"/",H1679),'Ведомость расчета мин. платы'!$AE$10:$AE$214,0),3),"")</f>
        <v/>
      </c>
      <c r="K1679" s="248" t="str">
        <f ca="1">IFERROR(INDEX('Ведомость расчета мин. платы'!$J$10:$AE$214,MATCH(CONCATENATE(РАСЧЕТ!B1673,"/",РАСЧЕТ!D1673,"/",РАСЧЕТ!E1673,"/",F1673,"/",H1679),'Ведомость расчета мин. платы'!$AE$10:$AE$214,0),4),"")</f>
        <v/>
      </c>
      <c r="L1679" s="248">
        <f t="shared" ca="1" si="747"/>
        <v>0</v>
      </c>
      <c r="M1679" s="248">
        <v>0</v>
      </c>
      <c r="N1679" s="214">
        <f t="shared" ca="1" si="748"/>
        <v>0</v>
      </c>
      <c r="O1679" s="229">
        <f t="shared" si="751"/>
        <v>1</v>
      </c>
      <c r="P1679" s="230">
        <f t="shared" si="746"/>
        <v>0</v>
      </c>
      <c r="AP1679" s="242"/>
      <c r="AQ1679" s="253"/>
    </row>
    <row r="1680" spans="1:43" x14ac:dyDescent="0.2">
      <c r="B1680" s="249"/>
      <c r="C1680" s="249"/>
      <c r="D1680" s="249"/>
      <c r="E1680" s="249"/>
      <c r="F1680" s="249"/>
      <c r="G1680" s="249"/>
      <c r="H1680" s="250" t="s">
        <v>475</v>
      </c>
      <c r="I1680" s="251" t="str">
        <f ca="1">IFERROR(ROUND(I1679*I1672,2),"")</f>
        <v/>
      </c>
      <c r="J1680" s="251" t="str">
        <f ca="1">IFERROR(ROUND(J1679*J1670,2),"")</f>
        <v/>
      </c>
      <c r="K1680" s="251" t="str">
        <f ca="1">IFERROR(ROUND(K1679*K1670,2),"")</f>
        <v/>
      </c>
      <c r="L1680" s="251">
        <f t="shared" ca="1" si="747"/>
        <v>0</v>
      </c>
      <c r="M1680" s="251">
        <v>0</v>
      </c>
      <c r="N1680" s="252">
        <f t="shared" ca="1" si="748"/>
        <v>0</v>
      </c>
      <c r="O1680" s="229" t="str">
        <f t="shared" si="751"/>
        <v/>
      </c>
      <c r="P1680" s="230">
        <f t="shared" si="746"/>
        <v>0</v>
      </c>
      <c r="AP1680" s="242">
        <f ca="1">SUMIFS('Ведомость расчета мин. платы'!$S$10:$S$209,'Ведомость расчета мин. платы'!$AE$10:$AE$209,CONCATENATE(B1673,"/",D1673,"/",E1673,"/",F1673,"/",H1679))</f>
        <v>0</v>
      </c>
      <c r="AQ1680" s="253">
        <f t="shared" ref="AQ1680" ca="1" si="759">AP1680-N1680</f>
        <v>0</v>
      </c>
    </row>
    <row r="1681" spans="2:43" x14ac:dyDescent="0.2">
      <c r="B1681" s="249"/>
      <c r="C1681" s="249"/>
      <c r="D1681" s="249"/>
      <c r="E1681" s="249"/>
      <c r="F1681" s="249"/>
      <c r="G1681" s="249"/>
      <c r="H1681" s="205" t="s">
        <v>40</v>
      </c>
      <c r="I1681" s="248" t="str">
        <f ca="1">IFERROR(INDEX('Ведомость расчета мин. платы'!$J$10:$AE$214,MATCH(CONCATENATE(РАСЧЕТ!B1673,"/",РАСЧЕТ!D1673,"/",РАСЧЕТ!E1673,"/",F1673,"/",H1681),'Ведомость расчета мин. платы'!$AE$10:$AE$214,0),2),"")</f>
        <v/>
      </c>
      <c r="J1681" s="248" t="str">
        <f ca="1">IFERROR(INDEX('Ведомость расчета мин. платы'!$J$10:$AE$214,MATCH(CONCATENATE(РАСЧЕТ!B1673,"/",РАСЧЕТ!D1673,"/",РАСЧЕТ!E1673,"/",F1673,"/",H1681),'Ведомость расчета мин. платы'!$AE$10:$AE$214,0),3),"")</f>
        <v/>
      </c>
      <c r="K1681" s="248" t="str">
        <f ca="1">IFERROR(INDEX('Ведомость расчета мин. платы'!$J$10:$AE$214,MATCH(CONCATENATE(РАСЧЕТ!B1673,"/",РАСЧЕТ!D1673,"/",РАСЧЕТ!E1673,"/",F1673,"/",H1681),'Ведомость расчета мин. платы'!$AE$10:$AE$214,0),4),"")</f>
        <v/>
      </c>
      <c r="L1681" s="248">
        <f t="shared" ca="1" si="747"/>
        <v>0</v>
      </c>
      <c r="M1681" s="248">
        <v>0</v>
      </c>
      <c r="N1681" s="214">
        <f t="shared" ca="1" si="748"/>
        <v>0</v>
      </c>
      <c r="O1681" s="229">
        <f t="shared" si="751"/>
        <v>1</v>
      </c>
      <c r="P1681" s="230">
        <f t="shared" si="746"/>
        <v>0</v>
      </c>
      <c r="AP1681" s="242"/>
      <c r="AQ1681" s="253"/>
    </row>
    <row r="1682" spans="2:43" x14ac:dyDescent="0.2">
      <c r="B1682" s="249"/>
      <c r="C1682" s="249"/>
      <c r="D1682" s="249"/>
      <c r="E1682" s="249"/>
      <c r="F1682" s="249"/>
      <c r="G1682" s="249"/>
      <c r="H1682" s="250" t="s">
        <v>475</v>
      </c>
      <c r="I1682" s="251" t="str">
        <f ca="1">IFERROR(ROUND(I1681*I1671,2),"")</f>
        <v/>
      </c>
      <c r="J1682" s="251" t="str">
        <f t="shared" ref="J1682" ca="1" si="760">IFERROR(ROUND(J1681*J1671,2),"")</f>
        <v/>
      </c>
      <c r="K1682" s="251" t="str">
        <f t="shared" ref="K1682" ca="1" si="761">IFERROR(ROUND(K1681*K1671,2),"")</f>
        <v/>
      </c>
      <c r="L1682" s="251">
        <f t="shared" ca="1" si="747"/>
        <v>0</v>
      </c>
      <c r="M1682" s="251">
        <v>0</v>
      </c>
      <c r="N1682" s="252">
        <f t="shared" ca="1" si="748"/>
        <v>0</v>
      </c>
      <c r="O1682" s="229" t="str">
        <f t="shared" si="751"/>
        <v/>
      </c>
      <c r="P1682" s="230">
        <f t="shared" si="746"/>
        <v>0</v>
      </c>
      <c r="AP1682" s="242">
        <f ca="1">SUMIFS('Ведомость расчета мин. платы'!$S$10:$S$209,'Ведомость расчета мин. платы'!$AE$10:$AE$209,CONCATENATE(B1673,"/",D1673,"/",E1673,"/",F1673,"/",H1681))</f>
        <v>0</v>
      </c>
      <c r="AQ1682" s="253">
        <f t="shared" ref="AQ1682" ca="1" si="762">AP1682-N1682</f>
        <v>0</v>
      </c>
    </row>
    <row r="1683" spans="2:43" x14ac:dyDescent="0.2">
      <c r="B1683" s="249"/>
      <c r="C1683" s="249"/>
      <c r="D1683" s="249"/>
      <c r="E1683" s="249"/>
      <c r="F1683" s="249"/>
      <c r="G1683" s="249"/>
      <c r="H1683" s="205" t="s">
        <v>18</v>
      </c>
      <c r="I1683" s="248">
        <f ca="1">IFERROR(INDEX('Ведомость расчета мин. платы'!$J$10:$AE$214,MATCH(CONCATENATE(РАСЧЕТ!B1673,"/",РАСЧЕТ!D1673,"/",РАСЧЕТ!E1673,"/",F1673,"/",H1683),'Ведомость расчета мин. платы'!$AE$10:$AE$214,0),2),"")</f>
        <v>122.81</v>
      </c>
      <c r="J1683" s="248">
        <f ca="1">IFERROR(INDEX('Ведомость расчета мин. платы'!$J$10:$AE$214,MATCH(CONCATENATE(РАСЧЕТ!B1673,"/",РАСЧЕТ!D1673,"/",РАСЧЕТ!E1673,"/",F1673,"/",H1683),'Ведомость расчета мин. платы'!$AE$10:$AE$214,0),3),"")</f>
        <v>276.19</v>
      </c>
      <c r="K1683" s="248">
        <f ca="1">IFERROR(INDEX('Ведомость расчета мин. платы'!$J$10:$AE$214,MATCH(CONCATENATE(РАСЧЕТ!B1673,"/",РАСЧЕТ!D1673,"/",РАСЧЕТ!E1673,"/",F1673,"/",H1683),'Ведомость расчета мин. платы'!$AE$10:$AE$214,0),4),"")</f>
        <v>20.48</v>
      </c>
      <c r="L1683" s="248">
        <f t="shared" ca="1" si="747"/>
        <v>419.48</v>
      </c>
      <c r="M1683" s="248">
        <v>218.99</v>
      </c>
      <c r="N1683" s="214">
        <f t="shared" ca="1" si="748"/>
        <v>638.47</v>
      </c>
      <c r="O1683" s="229">
        <f t="shared" si="751"/>
        <v>1</v>
      </c>
      <c r="P1683" s="230">
        <f t="shared" si="746"/>
        <v>0</v>
      </c>
      <c r="AP1683" s="242"/>
      <c r="AQ1683" s="253"/>
    </row>
    <row r="1684" spans="2:43" x14ac:dyDescent="0.2">
      <c r="B1684" s="249"/>
      <c r="C1684" s="249"/>
      <c r="D1684" s="249"/>
      <c r="E1684" s="249"/>
      <c r="F1684" s="249"/>
      <c r="G1684" s="249"/>
      <c r="H1684" s="250" t="s">
        <v>475</v>
      </c>
      <c r="I1684" s="251">
        <f ca="1">IFERROR(ROUND(I1683*I1672,2),"")</f>
        <v>2803.75</v>
      </c>
      <c r="J1684" s="251">
        <f t="shared" ref="J1684" ca="1" si="763">IFERROR(ROUND(J1683*J1672,2),"")</f>
        <v>4808.47</v>
      </c>
      <c r="K1684" s="251">
        <f t="shared" ref="K1684" ca="1" si="764">IFERROR(ROUND(K1683*K1672,2),"")</f>
        <v>181.25</v>
      </c>
      <c r="L1684" s="251">
        <f t="shared" ca="1" si="747"/>
        <v>7793.47</v>
      </c>
      <c r="M1684" s="251">
        <v>124.83000000000021</v>
      </c>
      <c r="N1684" s="252">
        <f t="shared" ca="1" si="748"/>
        <v>7918.3</v>
      </c>
      <c r="O1684" s="229" t="str">
        <f t="shared" si="751"/>
        <v/>
      </c>
      <c r="P1684" s="230">
        <f t="shared" si="746"/>
        <v>0</v>
      </c>
      <c r="AP1684" s="242">
        <f ca="1">SUMIFS('Ведомость расчета мин. платы'!$S$10:$S$209,'Ведомость расчета мин. платы'!$AE$10:$AE$209,CONCATENATE(B1673,"/",D1673,"/",E1673,"/",F1673,"/",H1683))</f>
        <v>7918.3</v>
      </c>
      <c r="AQ1684" s="253">
        <f t="shared" ref="AQ1684" ca="1" si="765">AP1684-N1684</f>
        <v>0</v>
      </c>
    </row>
    <row r="1685" spans="2:43" x14ac:dyDescent="0.2">
      <c r="B1685" s="249"/>
      <c r="C1685" s="249"/>
      <c r="D1685" s="249"/>
      <c r="E1685" s="249"/>
      <c r="F1685" s="249"/>
      <c r="G1685" s="249"/>
      <c r="H1685" s="254" t="s">
        <v>476</v>
      </c>
      <c r="I1685" s="251">
        <f ca="1">SUMIF($O1673:$O1686,1,I1673:I1684)</f>
        <v>133.94</v>
      </c>
      <c r="J1685" s="251">
        <f ca="1">SUMIF($O1673:$O1686,1,J1673:J1684)</f>
        <v>343.61</v>
      </c>
      <c r="K1685" s="251">
        <f ca="1">SUMIF($O1673:$O1686,1,K1673:K1684)</f>
        <v>39.06</v>
      </c>
      <c r="L1685" s="251">
        <f t="shared" ca="1" si="747"/>
        <v>516.61</v>
      </c>
      <c r="M1685" s="251">
        <f ca="1">SUMIF($O1673:$O1686,1,M1673:M1684)</f>
        <v>298.49</v>
      </c>
      <c r="N1685" s="252">
        <f t="shared" ca="1" si="748"/>
        <v>815.1</v>
      </c>
      <c r="AP1685" s="242"/>
      <c r="AQ1685" s="253"/>
    </row>
    <row r="1686" spans="2:43" x14ac:dyDescent="0.2">
      <c r="B1686" s="249"/>
      <c r="C1686" s="249"/>
      <c r="D1686" s="249"/>
      <c r="E1686" s="249"/>
      <c r="F1686" s="249"/>
      <c r="G1686" s="249"/>
      <c r="H1686" s="254" t="s">
        <v>491</v>
      </c>
      <c r="I1686" s="251">
        <f ca="1">SUMIF(H1673:H1684,"стоимость",I1673:I1684)</f>
        <v>4141.0200000000004</v>
      </c>
      <c r="J1686" s="251">
        <f ca="1">SUMIF(H1673:H1684,"стоимость",J1673:J1684)</f>
        <v>10580.970000000001</v>
      </c>
      <c r="K1686" s="251">
        <f ca="1">SUMIF(H1673:H1684,"стоимость",K1673:K1684)</f>
        <v>987.25</v>
      </c>
      <c r="L1686" s="251">
        <f ca="1">IFERROR(SUM(I1686:K1686),"")</f>
        <v>15709.240000000002</v>
      </c>
      <c r="M1686" s="251">
        <f>SUMIF(H1673:H1684,"стоимость",M1673:M1684)</f>
        <v>669.40000000000009</v>
      </c>
      <c r="N1686" s="252">
        <f ca="1">IFERROR(SUM(L1686:M1686),"")</f>
        <v>16378.640000000001</v>
      </c>
      <c r="AP1686" s="242">
        <f ca="1">SUMIFS('Ведомость расчета мин. платы'!$S$10:$S$209,'Ведомость расчета мин. платы'!$J$10:$J$209,"Итого",'Ведомость расчета мин. платы'!$AC$10:$AC$209,CONCATENATE(B1673,"/",D1673,"/",E1673,"/",F1673))</f>
        <v>16378.64</v>
      </c>
      <c r="AQ1686" s="253">
        <f ca="1">AP1686-N1686</f>
        <v>0</v>
      </c>
    </row>
    <row r="1687" spans="2:43" x14ac:dyDescent="0.2">
      <c r="B1687" s="255"/>
      <c r="C1687" s="255"/>
      <c r="D1687" s="255"/>
      <c r="E1687" s="255"/>
      <c r="F1687" s="255"/>
      <c r="G1687" s="256"/>
      <c r="H1687" s="257"/>
      <c r="I1687" s="258"/>
      <c r="J1687" s="258"/>
      <c r="K1687" s="258"/>
      <c r="L1687" s="258"/>
      <c r="M1687" s="258"/>
      <c r="N1687" s="258"/>
      <c r="P1687" s="230">
        <f t="shared" ref="P1687:P1705" si="766">IF(A1687&gt;0,1,0)</f>
        <v>0</v>
      </c>
    </row>
    <row r="1688" spans="2:43" x14ac:dyDescent="0.2">
      <c r="B1688" s="282" t="s">
        <v>477</v>
      </c>
      <c r="C1688" s="282"/>
      <c r="D1688" s="282"/>
      <c r="E1688" s="282"/>
      <c r="F1688" s="259"/>
      <c r="G1688" s="225"/>
      <c r="H1688" s="201"/>
      <c r="I1688" s="226"/>
      <c r="J1688" s="258"/>
      <c r="K1688" s="258"/>
      <c r="L1688" s="258"/>
      <c r="M1688" s="258"/>
      <c r="N1688" s="258"/>
      <c r="P1688" s="230">
        <f t="shared" si="766"/>
        <v>0</v>
      </c>
    </row>
    <row r="1689" spans="2:43" x14ac:dyDescent="0.2">
      <c r="B1689" s="283" t="s">
        <v>525</v>
      </c>
      <c r="C1689" s="283"/>
      <c r="D1689" s="283"/>
      <c r="E1689" s="283"/>
      <c r="F1689" s="283"/>
      <c r="G1689" s="283"/>
      <c r="H1689" s="283"/>
      <c r="I1689" s="283"/>
      <c r="J1689" s="261"/>
      <c r="K1689" s="261"/>
      <c r="L1689" s="261"/>
      <c r="M1689" s="261"/>
      <c r="N1689" s="261"/>
      <c r="P1689" s="230">
        <f t="shared" si="766"/>
        <v>0</v>
      </c>
    </row>
    <row r="1690" spans="2:43" x14ac:dyDescent="0.2">
      <c r="B1690" s="284" t="s">
        <v>478</v>
      </c>
      <c r="C1690" s="284"/>
      <c r="D1690" s="284"/>
      <c r="E1690" s="284"/>
      <c r="F1690" s="284"/>
      <c r="G1690" s="284"/>
      <c r="H1690" s="284"/>
      <c r="I1690" s="284"/>
      <c r="J1690" s="258"/>
      <c r="K1690" s="258"/>
      <c r="L1690" s="258"/>
      <c r="M1690" s="258"/>
      <c r="N1690" s="258"/>
      <c r="P1690" s="230">
        <f t="shared" si="766"/>
        <v>0</v>
      </c>
    </row>
    <row r="1691" spans="2:43" x14ac:dyDescent="0.2">
      <c r="B1691" s="284" t="s">
        <v>479</v>
      </c>
      <c r="C1691" s="284"/>
      <c r="D1691" s="284"/>
      <c r="E1691" s="284"/>
      <c r="F1691" s="284"/>
      <c r="G1691" s="284"/>
      <c r="H1691" s="284"/>
      <c r="I1691" s="284"/>
      <c r="J1691" s="258"/>
      <c r="K1691" s="258"/>
      <c r="L1691" s="258"/>
      <c r="M1691" s="258"/>
      <c r="N1691" s="258"/>
      <c r="P1691" s="230">
        <f t="shared" si="766"/>
        <v>0</v>
      </c>
    </row>
    <row r="1692" spans="2:43" x14ac:dyDescent="0.2">
      <c r="B1692" s="284" t="s">
        <v>480</v>
      </c>
      <c r="C1692" s="284"/>
      <c r="D1692" s="284"/>
      <c r="E1692" s="284"/>
      <c r="F1692" s="284"/>
      <c r="G1692" s="284"/>
      <c r="H1692" s="284"/>
      <c r="I1692" s="284"/>
      <c r="J1692" s="258"/>
      <c r="K1692" s="258"/>
      <c r="L1692" s="258"/>
      <c r="M1692" s="258"/>
      <c r="N1692" s="258"/>
      <c r="P1692" s="230">
        <f t="shared" si="766"/>
        <v>0</v>
      </c>
    </row>
    <row r="1693" spans="2:43" x14ac:dyDescent="0.2">
      <c r="B1693" s="284" t="s">
        <v>481</v>
      </c>
      <c r="C1693" s="284"/>
      <c r="D1693" s="284"/>
      <c r="E1693" s="284"/>
      <c r="F1693" s="284"/>
      <c r="G1693" s="284"/>
      <c r="H1693" s="284"/>
      <c r="I1693" s="284"/>
      <c r="J1693" s="226"/>
      <c r="K1693" s="226"/>
      <c r="L1693" s="226"/>
      <c r="M1693" s="226"/>
      <c r="N1693" s="226"/>
      <c r="P1693" s="230">
        <f t="shared" si="766"/>
        <v>0</v>
      </c>
    </row>
    <row r="1694" spans="2:43" x14ac:dyDescent="0.2">
      <c r="B1694" s="284" t="s">
        <v>482</v>
      </c>
      <c r="C1694" s="284"/>
      <c r="D1694" s="284"/>
      <c r="E1694" s="284"/>
      <c r="F1694" s="284"/>
      <c r="G1694" s="284"/>
      <c r="H1694" s="284"/>
      <c r="I1694" s="284"/>
      <c r="J1694" s="226"/>
      <c r="K1694" s="226"/>
      <c r="L1694" s="226"/>
      <c r="M1694" s="226"/>
      <c r="N1694" s="226"/>
      <c r="P1694" s="230">
        <f t="shared" si="766"/>
        <v>0</v>
      </c>
    </row>
    <row r="1695" spans="2:43" x14ac:dyDescent="0.2">
      <c r="B1695" s="284" t="s">
        <v>483</v>
      </c>
      <c r="C1695" s="284"/>
      <c r="D1695" s="284"/>
      <c r="E1695" s="284"/>
      <c r="F1695" s="284"/>
      <c r="G1695" s="284"/>
      <c r="H1695" s="284"/>
      <c r="I1695" s="284"/>
      <c r="J1695" s="226"/>
      <c r="K1695" s="226"/>
      <c r="L1695" s="226"/>
      <c r="M1695" s="226"/>
      <c r="N1695" s="226"/>
      <c r="P1695" s="230">
        <f t="shared" si="766"/>
        <v>0</v>
      </c>
    </row>
    <row r="1696" spans="2:43" x14ac:dyDescent="0.2">
      <c r="B1696" s="284" t="s">
        <v>484</v>
      </c>
      <c r="C1696" s="284"/>
      <c r="D1696" s="284"/>
      <c r="E1696" s="284"/>
      <c r="F1696" s="284"/>
      <c r="G1696" s="284"/>
      <c r="H1696" s="284"/>
      <c r="I1696" s="284"/>
      <c r="J1696" s="226"/>
      <c r="K1696" s="226"/>
      <c r="L1696" s="226"/>
      <c r="M1696" s="226"/>
      <c r="N1696" s="226"/>
      <c r="P1696" s="230">
        <f t="shared" si="766"/>
        <v>0</v>
      </c>
    </row>
    <row r="1697" spans="1:16" x14ac:dyDescent="0.2">
      <c r="B1697" s="264"/>
      <c r="C1697" s="264"/>
      <c r="D1697" s="264"/>
      <c r="E1697" s="264"/>
      <c r="F1697" s="264"/>
      <c r="G1697" s="264"/>
      <c r="H1697" s="264"/>
      <c r="I1697" s="265"/>
      <c r="J1697" s="226"/>
      <c r="K1697" s="226"/>
      <c r="L1697" s="226"/>
      <c r="M1697" s="226"/>
      <c r="N1697" s="226"/>
      <c r="P1697" s="230">
        <f t="shared" si="766"/>
        <v>0</v>
      </c>
    </row>
    <row r="1698" spans="1:16" x14ac:dyDescent="0.2">
      <c r="B1698" s="225" t="s">
        <v>485</v>
      </c>
      <c r="C1698" s="225"/>
      <c r="D1698" s="225"/>
      <c r="E1698" s="225"/>
      <c r="F1698" s="225"/>
      <c r="G1698" s="225"/>
      <c r="H1698" s="201"/>
      <c r="I1698" s="226"/>
      <c r="J1698" s="226" t="s">
        <v>486</v>
      </c>
      <c r="K1698" s="226"/>
      <c r="L1698" s="226"/>
      <c r="M1698" s="226"/>
      <c r="N1698" s="226"/>
      <c r="P1698" s="230">
        <f t="shared" si="766"/>
        <v>0</v>
      </c>
    </row>
    <row r="1699" spans="1:16" x14ac:dyDescent="0.2">
      <c r="B1699" s="266" t="s">
        <v>524</v>
      </c>
      <c r="C1699" s="266"/>
      <c r="D1699" s="225"/>
      <c r="E1699" s="225"/>
      <c r="F1699" s="225"/>
      <c r="G1699" s="225"/>
      <c r="H1699" s="201"/>
      <c r="I1699" s="226"/>
      <c r="J1699" s="267"/>
      <c r="K1699" s="267"/>
      <c r="L1699" s="267"/>
      <c r="M1699" s="226"/>
      <c r="N1699" s="226"/>
      <c r="P1699" s="230">
        <f t="shared" si="766"/>
        <v>0</v>
      </c>
    </row>
    <row r="1700" spans="1:16" x14ac:dyDescent="0.2">
      <c r="B1700" s="268" t="s">
        <v>487</v>
      </c>
      <c r="C1700" s="225"/>
      <c r="D1700" s="225"/>
      <c r="E1700" s="225"/>
      <c r="F1700" s="225"/>
      <c r="G1700" s="225"/>
      <c r="H1700" s="201"/>
      <c r="I1700" s="226"/>
      <c r="J1700" s="226" t="s">
        <v>487</v>
      </c>
      <c r="K1700" s="226"/>
      <c r="L1700" s="226"/>
      <c r="M1700" s="226"/>
      <c r="N1700" s="226"/>
      <c r="P1700" s="230">
        <f t="shared" si="766"/>
        <v>0</v>
      </c>
    </row>
    <row r="1701" spans="1:16" x14ac:dyDescent="0.2">
      <c r="B1701" s="225"/>
      <c r="C1701" s="225"/>
      <c r="D1701" s="225"/>
      <c r="E1701" s="225"/>
      <c r="F1701" s="225"/>
      <c r="G1701" s="225"/>
      <c r="H1701" s="201"/>
      <c r="I1701" s="226"/>
      <c r="J1701" s="226"/>
      <c r="K1701" s="226"/>
      <c r="L1701" s="226"/>
      <c r="M1701" s="226"/>
      <c r="N1701" s="226"/>
      <c r="P1701" s="230">
        <f t="shared" si="766"/>
        <v>0</v>
      </c>
    </row>
    <row r="1702" spans="1:16" x14ac:dyDescent="0.2">
      <c r="B1702" s="266"/>
      <c r="C1702" s="266"/>
      <c r="D1702" s="225"/>
      <c r="E1702" s="225"/>
      <c r="F1702" s="225"/>
      <c r="G1702" s="225"/>
      <c r="H1702" s="201"/>
      <c r="I1702" s="226"/>
      <c r="J1702" s="267"/>
      <c r="K1702" s="267"/>
      <c r="L1702" s="267"/>
      <c r="M1702" s="226"/>
      <c r="N1702" s="226"/>
      <c r="P1702" s="230">
        <f t="shared" si="766"/>
        <v>0</v>
      </c>
    </row>
    <row r="1703" spans="1:16" x14ac:dyDescent="0.2">
      <c r="B1703" s="269" t="s">
        <v>488</v>
      </c>
      <c r="C1703" s="225"/>
      <c r="D1703" s="225"/>
      <c r="E1703" s="225"/>
      <c r="F1703" s="225"/>
      <c r="G1703" s="225"/>
      <c r="H1703" s="201"/>
      <c r="I1703" s="226"/>
      <c r="J1703" s="285" t="s">
        <v>488</v>
      </c>
      <c r="K1703" s="285"/>
      <c r="L1703" s="285"/>
      <c r="M1703" s="226"/>
      <c r="N1703" s="226"/>
      <c r="P1703" s="230">
        <f t="shared" si="766"/>
        <v>0</v>
      </c>
    </row>
    <row r="1704" spans="1:16" x14ac:dyDescent="0.2">
      <c r="B1704" s="225"/>
      <c r="C1704" s="225"/>
      <c r="D1704" s="225"/>
      <c r="E1704" s="225"/>
      <c r="F1704" s="225"/>
      <c r="G1704" s="225"/>
      <c r="H1704" s="201"/>
      <c r="I1704" s="226"/>
      <c r="J1704" s="226"/>
      <c r="K1704" s="226"/>
      <c r="L1704" s="226"/>
      <c r="M1704" s="226"/>
      <c r="N1704" s="226"/>
      <c r="P1704" s="230">
        <f t="shared" si="766"/>
        <v>0</v>
      </c>
    </row>
    <row r="1705" spans="1:16" x14ac:dyDescent="0.2">
      <c r="B1705" s="264" t="s">
        <v>489</v>
      </c>
      <c r="C1705" s="225"/>
      <c r="D1705" s="225"/>
      <c r="E1705" s="225"/>
      <c r="F1705" s="225"/>
      <c r="G1705" s="225"/>
      <c r="H1705" s="201"/>
      <c r="I1705" s="226"/>
      <c r="J1705" s="226" t="s">
        <v>489</v>
      </c>
      <c r="K1705" s="226"/>
      <c r="L1705" s="226"/>
      <c r="M1705" s="226"/>
      <c r="N1705" s="226"/>
      <c r="P1705" s="230">
        <f t="shared" si="766"/>
        <v>0</v>
      </c>
    </row>
    <row r="1706" spans="1:16" x14ac:dyDescent="0.2">
      <c r="A1706" s="272"/>
      <c r="B1706" s="225"/>
      <c r="C1706" s="225"/>
      <c r="D1706" s="225"/>
      <c r="E1706" s="225"/>
      <c r="F1706" s="225"/>
      <c r="G1706" s="225"/>
      <c r="H1706" s="201"/>
      <c r="I1706" s="226"/>
      <c r="J1706" s="226"/>
      <c r="K1706" s="226"/>
      <c r="M1706" s="226"/>
      <c r="N1706" s="228"/>
    </row>
    <row r="1707" spans="1:16" x14ac:dyDescent="0.2">
      <c r="A1707" s="260"/>
      <c r="B1707" s="225"/>
      <c r="C1707" s="225"/>
      <c r="D1707" s="225"/>
      <c r="E1707" s="225"/>
      <c r="F1707" s="225"/>
      <c r="G1707" s="225"/>
      <c r="H1707" s="201"/>
      <c r="I1707" s="226"/>
      <c r="J1707" s="226"/>
      <c r="K1707" s="226"/>
      <c r="M1707" s="226"/>
      <c r="N1707" s="228" t="s">
        <v>455</v>
      </c>
      <c r="P1707" s="230">
        <f t="shared" ref="P1707:P1724" si="767">IF(A1707&gt;0,1,0)</f>
        <v>0</v>
      </c>
    </row>
    <row r="1708" spans="1:16" x14ac:dyDescent="0.2">
      <c r="B1708" s="225"/>
      <c r="C1708" s="225"/>
      <c r="D1708" s="225"/>
      <c r="E1708" s="225"/>
      <c r="F1708" s="225"/>
      <c r="G1708" s="225"/>
      <c r="H1708" s="201"/>
      <c r="I1708" s="226"/>
      <c r="J1708" s="226"/>
      <c r="K1708" s="226"/>
      <c r="M1708" s="226"/>
      <c r="N1708" s="228" t="s">
        <v>456</v>
      </c>
      <c r="P1708" s="230">
        <f t="shared" si="767"/>
        <v>0</v>
      </c>
    </row>
    <row r="1709" spans="1:16" x14ac:dyDescent="0.2">
      <c r="B1709" s="225"/>
      <c r="C1709" s="225"/>
      <c r="D1709" s="225"/>
      <c r="E1709" s="225"/>
      <c r="F1709" s="225"/>
      <c r="G1709" s="225"/>
      <c r="H1709" s="201"/>
      <c r="I1709" s="226"/>
      <c r="J1709" s="226"/>
      <c r="K1709" s="226"/>
      <c r="M1709" s="226"/>
      <c r="N1709" s="228" t="s">
        <v>457</v>
      </c>
      <c r="P1709" s="230">
        <f t="shared" si="767"/>
        <v>0</v>
      </c>
    </row>
    <row r="1710" spans="1:16" x14ac:dyDescent="0.2">
      <c r="B1710" s="225"/>
      <c r="C1710" s="225"/>
      <c r="D1710" s="225"/>
      <c r="E1710" s="225"/>
      <c r="F1710" s="225"/>
      <c r="G1710" s="225"/>
      <c r="H1710" s="201"/>
      <c r="I1710" s="226"/>
      <c r="J1710" s="226"/>
      <c r="K1710" s="226"/>
      <c r="L1710" s="226"/>
      <c r="M1710" s="226"/>
      <c r="N1710" s="226"/>
      <c r="P1710" s="230">
        <f t="shared" si="767"/>
        <v>0</v>
      </c>
    </row>
    <row r="1711" spans="1:16" x14ac:dyDescent="0.2">
      <c r="B1711" s="225"/>
      <c r="C1711" s="286" t="s">
        <v>458</v>
      </c>
      <c r="D1711" s="286"/>
      <c r="E1711" s="286"/>
      <c r="F1711" s="286"/>
      <c r="G1711" s="286"/>
      <c r="H1711" s="286"/>
      <c r="I1711" s="286"/>
      <c r="J1711" s="286"/>
      <c r="K1711" s="286"/>
      <c r="L1711" s="286"/>
      <c r="M1711" s="226"/>
      <c r="N1711" s="226"/>
      <c r="P1711" s="230">
        <f t="shared" si="767"/>
        <v>0</v>
      </c>
    </row>
    <row r="1712" spans="1:16" x14ac:dyDescent="0.2">
      <c r="B1712" s="225"/>
      <c r="C1712" s="286" t="s">
        <v>459</v>
      </c>
      <c r="D1712" s="286"/>
      <c r="E1712" s="286"/>
      <c r="F1712" s="286"/>
      <c r="G1712" s="286"/>
      <c r="H1712" s="286"/>
      <c r="I1712" s="286"/>
      <c r="J1712" s="286"/>
      <c r="K1712" s="286"/>
      <c r="L1712" s="286"/>
      <c r="M1712" s="226"/>
      <c r="N1712" s="226"/>
      <c r="P1712" s="230">
        <f t="shared" si="767"/>
        <v>0</v>
      </c>
    </row>
    <row r="1713" spans="1:43" x14ac:dyDescent="0.2">
      <c r="B1713" s="225" t="s">
        <v>460</v>
      </c>
      <c r="C1713" s="234"/>
      <c r="D1713" s="234"/>
      <c r="E1713" s="234"/>
      <c r="F1713" s="234"/>
      <c r="G1713" s="234"/>
      <c r="H1713" s="234"/>
      <c r="I1713" s="235"/>
      <c r="J1713" s="235"/>
      <c r="K1713" s="235"/>
      <c r="L1713" s="287" t="s">
        <v>461</v>
      </c>
      <c r="M1713" s="287"/>
      <c r="N1713" s="287"/>
      <c r="P1713" s="230">
        <f t="shared" si="767"/>
        <v>0</v>
      </c>
    </row>
    <row r="1714" spans="1:43" x14ac:dyDescent="0.2">
      <c r="B1714" s="225"/>
      <c r="C1714" s="234"/>
      <c r="D1714" s="234"/>
      <c r="E1714" s="234"/>
      <c r="F1714" s="234"/>
      <c r="G1714" s="234"/>
      <c r="H1714" s="234"/>
      <c r="I1714" s="235"/>
      <c r="J1714" s="235"/>
      <c r="K1714" s="235"/>
      <c r="L1714" s="235"/>
      <c r="M1714" s="235"/>
      <c r="N1714" s="235"/>
      <c r="P1714" s="230">
        <f t="shared" si="767"/>
        <v>0</v>
      </c>
    </row>
    <row r="1715" spans="1:43" x14ac:dyDescent="0.2">
      <c r="B1715" s="225" t="s">
        <v>2038</v>
      </c>
      <c r="C1715" s="234"/>
      <c r="D1715" s="234"/>
      <c r="E1715" s="234"/>
      <c r="F1715" s="234"/>
      <c r="G1715" s="234"/>
      <c r="H1715" s="234"/>
      <c r="I1715" s="235"/>
      <c r="J1715" s="235"/>
      <c r="K1715" s="235"/>
      <c r="L1715" s="235"/>
      <c r="M1715" s="235"/>
      <c r="N1715" s="235"/>
      <c r="P1715" s="230">
        <f t="shared" si="767"/>
        <v>0</v>
      </c>
    </row>
    <row r="1716" spans="1:43" x14ac:dyDescent="0.2">
      <c r="B1716" s="225" t="s">
        <v>462</v>
      </c>
      <c r="C1716" s="234"/>
      <c r="D1716" s="234"/>
      <c r="E1716" s="234"/>
      <c r="F1716" s="234"/>
      <c r="G1716" s="234"/>
      <c r="H1716" s="234"/>
      <c r="I1716" s="235"/>
      <c r="J1716" s="235"/>
      <c r="K1716" s="235"/>
      <c r="L1716" s="235"/>
      <c r="M1716" s="235"/>
      <c r="N1716" s="235"/>
      <c r="P1716" s="230">
        <f t="shared" si="767"/>
        <v>0</v>
      </c>
    </row>
    <row r="1717" spans="1:43" x14ac:dyDescent="0.2">
      <c r="B1717" s="225" t="s">
        <v>2037</v>
      </c>
      <c r="C1717" s="234"/>
      <c r="D1717" s="234"/>
      <c r="E1717" s="234"/>
      <c r="F1717" s="234"/>
      <c r="G1717" s="234"/>
      <c r="H1717" s="234"/>
      <c r="I1717" s="235"/>
      <c r="J1717" s="235"/>
      <c r="K1717" s="235"/>
      <c r="L1717" s="235"/>
      <c r="M1717" s="235"/>
      <c r="N1717" s="235"/>
      <c r="P1717" s="230">
        <f t="shared" si="767"/>
        <v>0</v>
      </c>
    </row>
    <row r="1718" spans="1:43" x14ac:dyDescent="0.2">
      <c r="B1718" s="225" t="s">
        <v>2052</v>
      </c>
      <c r="C1718" s="234"/>
      <c r="D1718" s="234"/>
      <c r="E1718" s="234"/>
      <c r="F1718" s="234"/>
      <c r="G1718" s="234"/>
      <c r="H1718" s="234"/>
      <c r="I1718" s="235"/>
      <c r="J1718" s="235"/>
      <c r="K1718" s="235"/>
      <c r="L1718" s="235"/>
      <c r="M1718" s="235"/>
      <c r="N1718" s="235"/>
      <c r="P1718" s="230">
        <f t="shared" si="767"/>
        <v>0</v>
      </c>
    </row>
    <row r="1719" spans="1:43" x14ac:dyDescent="0.2">
      <c r="B1719" s="225"/>
      <c r="C1719" s="225"/>
      <c r="D1719" s="225"/>
      <c r="E1719" s="225"/>
      <c r="F1719" s="225"/>
      <c r="G1719" s="225"/>
      <c r="H1719" s="201"/>
      <c r="I1719" s="226"/>
      <c r="J1719" s="226"/>
      <c r="K1719" s="226"/>
      <c r="L1719" s="226"/>
      <c r="M1719" s="226"/>
      <c r="N1719" s="226"/>
      <c r="P1719" s="230">
        <f t="shared" si="767"/>
        <v>0</v>
      </c>
    </row>
    <row r="1720" spans="1:43" x14ac:dyDescent="0.2">
      <c r="B1720" s="288" t="s">
        <v>106</v>
      </c>
      <c r="C1720" s="290" t="s">
        <v>463</v>
      </c>
      <c r="D1720" s="288" t="s">
        <v>464</v>
      </c>
      <c r="E1720" s="288" t="s">
        <v>465</v>
      </c>
      <c r="F1720" s="288" t="s">
        <v>490</v>
      </c>
      <c r="G1720" s="288" t="s">
        <v>466</v>
      </c>
      <c r="H1720" s="292" t="s">
        <v>8</v>
      </c>
      <c r="I1720" s="294" t="s">
        <v>467</v>
      </c>
      <c r="J1720" s="295"/>
      <c r="K1720" s="295"/>
      <c r="L1720" s="296"/>
      <c r="M1720" s="297" t="s">
        <v>468</v>
      </c>
      <c r="N1720" s="299" t="s">
        <v>469</v>
      </c>
      <c r="P1720" s="230">
        <f t="shared" si="767"/>
        <v>0</v>
      </c>
    </row>
    <row r="1721" spans="1:43" x14ac:dyDescent="0.2">
      <c r="B1721" s="289"/>
      <c r="C1721" s="291"/>
      <c r="D1721" s="289"/>
      <c r="E1721" s="289"/>
      <c r="F1721" s="289"/>
      <c r="G1721" s="289"/>
      <c r="H1721" s="293"/>
      <c r="I1721" s="236" t="s">
        <v>470</v>
      </c>
      <c r="J1721" s="236" t="s">
        <v>471</v>
      </c>
      <c r="K1721" s="236" t="s">
        <v>472</v>
      </c>
      <c r="L1721" s="236" t="s">
        <v>473</v>
      </c>
      <c r="M1721" s="298"/>
      <c r="N1721" s="300"/>
      <c r="P1721" s="230">
        <f t="shared" si="767"/>
        <v>0</v>
      </c>
    </row>
    <row r="1722" spans="1:43" x14ac:dyDescent="0.2">
      <c r="A1722" s="224" t="str">
        <f>CONCATENATE("Лот"," ",A1723)</f>
        <v>Лот 32</v>
      </c>
      <c r="B1722" s="273" t="s">
        <v>2087</v>
      </c>
      <c r="C1722" s="274"/>
      <c r="D1722" s="274"/>
      <c r="E1722" s="274"/>
      <c r="F1722" s="274"/>
      <c r="G1722" s="275"/>
      <c r="H1722" s="238" t="s">
        <v>17</v>
      </c>
      <c r="I1722" s="270">
        <f ca="1">ROUND(VLOOKUP($H1722,$AJ$4:$AN$13,2,0)*$Q1724*1.51,2)</f>
        <v>120.15</v>
      </c>
      <c r="J1722" s="270">
        <f ca="1">ROUND(VLOOKUP($H1722,$AJ$4:$AN$13,3,0)*$Q1724*1.51,2)</f>
        <v>85.62</v>
      </c>
      <c r="K1722" s="270">
        <f ca="1">ROUND(VLOOKUP($H1722,$AJ$4:$AN$13,4,0)*$Q1724*1.51,2)</f>
        <v>43.38</v>
      </c>
      <c r="L1722" s="270"/>
      <c r="M1722" s="270">
        <f ca="1">ROUND(VLOOKUP($H1722,$AJ$4:$AN$13,5,0)*$Q1724*1.51,2)</f>
        <v>6.85</v>
      </c>
      <c r="N1722" s="270"/>
      <c r="P1722" s="230">
        <f t="shared" si="767"/>
        <v>1</v>
      </c>
    </row>
    <row r="1723" spans="1:43" x14ac:dyDescent="0.2">
      <c r="A1723" s="224">
        <f>A1668+1</f>
        <v>32</v>
      </c>
      <c r="B1723" s="276"/>
      <c r="C1723" s="277"/>
      <c r="D1723" s="277"/>
      <c r="E1723" s="277"/>
      <c r="F1723" s="277"/>
      <c r="G1723" s="278"/>
      <c r="H1723" s="238" t="s">
        <v>25</v>
      </c>
      <c r="I1723" s="270">
        <f ca="1">ROUND(VLOOKUP($H1723,$AJ$4:$AN$13,2,0)*$Q1724*1.51,2)</f>
        <v>898.69</v>
      </c>
      <c r="J1723" s="270">
        <f ca="1">ROUND(VLOOKUP($H1723,$AJ$4:$AN$13,3,0)*$Q1724*1.51,2)</f>
        <v>642.13</v>
      </c>
      <c r="K1723" s="270">
        <f ca="1">ROUND(VLOOKUP($H1723,$AJ$4:$AN$13,4,0)*$Q1724*1.51,2)</f>
        <v>323.06</v>
      </c>
      <c r="L1723" s="270"/>
      <c r="M1723" s="270">
        <f ca="1">ROUND(VLOOKUP($H1723,$AJ$4:$AN$13,5,0)*$Q1724*1.51,2)</f>
        <v>27.97</v>
      </c>
      <c r="N1723" s="270"/>
      <c r="P1723" s="230">
        <f t="shared" si="767"/>
        <v>1</v>
      </c>
      <c r="Q1723" s="240" t="s">
        <v>2045</v>
      </c>
      <c r="R1723" s="240" t="s">
        <v>2046</v>
      </c>
    </row>
    <row r="1724" spans="1:43" x14ac:dyDescent="0.2">
      <c r="B1724" s="276"/>
      <c r="C1724" s="277"/>
      <c r="D1724" s="277"/>
      <c r="E1724" s="277"/>
      <c r="F1724" s="277"/>
      <c r="G1724" s="278"/>
      <c r="H1724" s="238" t="s">
        <v>19</v>
      </c>
      <c r="I1724" s="270">
        <f ca="1">ROUND(VLOOKUP($H1724,$AJ$4:$AN$13,2,0)*$Q1724*1.51,2)</f>
        <v>71.349999999999994</v>
      </c>
      <c r="J1724" s="270">
        <f ca="1">ROUND(VLOOKUP($H1724,$AJ$4:$AN$13,3,0)*$Q1724*1.51,2)</f>
        <v>51.94</v>
      </c>
      <c r="K1724" s="270">
        <f ca="1">ROUND(VLOOKUP($H1724,$AJ$4:$AN$13,4,0)*$Q1724*1.51,2)</f>
        <v>26.54</v>
      </c>
      <c r="L1724" s="270"/>
      <c r="M1724" s="270">
        <f ca="1">ROUND(VLOOKUP($H1724,$AJ$4:$AN$13,5,0)*$Q1724*1.51,2)</f>
        <v>1.43</v>
      </c>
      <c r="N1724" s="270"/>
      <c r="P1724" s="230">
        <f t="shared" si="767"/>
        <v>0</v>
      </c>
      <c r="Q1724" s="123">
        <f ca="1">IFERROR(IF(R1724="","",IF(OR(R1724&lt;100,R1724=100),0.9,IF(OR(AND(R1724&gt;100,R1724&lt;150),R1724=150),1,IF(R1724&gt;150,1.05,"")))),"0")</f>
        <v>1.05</v>
      </c>
      <c r="R1724" s="123">
        <f ca="1">N1740/G1728</f>
        <v>166.54222222222222</v>
      </c>
    </row>
    <row r="1725" spans="1:43" x14ac:dyDescent="0.2">
      <c r="B1725" s="276"/>
      <c r="C1725" s="277"/>
      <c r="D1725" s="277"/>
      <c r="E1725" s="277"/>
      <c r="F1725" s="277"/>
      <c r="G1725" s="278"/>
      <c r="H1725" s="238" t="s">
        <v>268</v>
      </c>
      <c r="I1725" s="270">
        <f ca="1">ROUND(VLOOKUP($H1725,$AJ$4:$AN$13,2,0)*$Q1724*1.51,2)</f>
        <v>898.69</v>
      </c>
      <c r="J1725" s="270">
        <f ca="1">ROUND(VLOOKUP($H1725,$AJ$4:$AN$13,3,0)*$Q1724*1.51,2)</f>
        <v>642.13</v>
      </c>
      <c r="K1725" s="270">
        <f ca="1">ROUND(VLOOKUP($H1725,$AJ$4:$AN$13,4,0)*$Q1724*1.51,2)</f>
        <v>323.06</v>
      </c>
      <c r="L1725" s="270"/>
      <c r="M1725" s="270">
        <f ca="1">ROUND(VLOOKUP($H1725,$AJ$4:$AN$13,5,0)*$Q1724*1.51,2)</f>
        <v>27.97</v>
      </c>
      <c r="N1725" s="270"/>
    </row>
    <row r="1726" spans="1:43" x14ac:dyDescent="0.2">
      <c r="B1726" s="276"/>
      <c r="C1726" s="277"/>
      <c r="D1726" s="277"/>
      <c r="E1726" s="277"/>
      <c r="F1726" s="277"/>
      <c r="G1726" s="278"/>
      <c r="H1726" s="238" t="s">
        <v>40</v>
      </c>
      <c r="I1726" s="270">
        <f ca="1">ROUND(VLOOKUP($H1726,$AJ$4:$AN$13,2,0)*$Q1724*1.51,2)</f>
        <v>71.349999999999994</v>
      </c>
      <c r="J1726" s="270">
        <f ca="1">ROUND(VLOOKUP($H1726,$AJ$4:$AN$13,3,0)*$Q1724*1.51,2)</f>
        <v>51.94</v>
      </c>
      <c r="K1726" s="270">
        <f ca="1">ROUND(VLOOKUP($H1726,$AJ$4:$AN$13,4,0)*$Q1724*1.51,2)</f>
        <v>26.54</v>
      </c>
      <c r="L1726" s="270"/>
      <c r="M1726" s="270">
        <f ca="1">ROUND(VLOOKUP($H1726,$AJ$4:$AN$13,5,0)*$Q1724*1.51,2)</f>
        <v>1.43</v>
      </c>
      <c r="N1726" s="270"/>
      <c r="P1726" s="230">
        <f t="shared" ref="P1726:P1739" si="768">IF(A1726&gt;0,1,0)</f>
        <v>0</v>
      </c>
    </row>
    <row r="1727" spans="1:43" x14ac:dyDescent="0.2">
      <c r="B1727" s="279"/>
      <c r="C1727" s="280"/>
      <c r="D1727" s="280"/>
      <c r="E1727" s="280"/>
      <c r="F1727" s="280"/>
      <c r="G1727" s="281"/>
      <c r="H1727" s="238" t="s">
        <v>18</v>
      </c>
      <c r="I1727" s="270">
        <f ca="1">ROUND(VLOOKUP($H1727,$AJ$4:$AN$13,2,0)*$Q1724*1.51,2)</f>
        <v>22.83</v>
      </c>
      <c r="J1727" s="270">
        <f ca="1">ROUND(VLOOKUP($H1727,$AJ$4:$AN$13,3,0)*$Q1724*1.51,2)</f>
        <v>17.41</v>
      </c>
      <c r="K1727" s="270">
        <f ca="1">ROUND(VLOOKUP($H1727,$AJ$4:$AN$13,4,0)*$Q1724*1.51,2)</f>
        <v>8.85</v>
      </c>
      <c r="L1727" s="270"/>
      <c r="M1727" s="270">
        <f ca="1">ROUND(VLOOKUP($H1727,$AJ$4:$AN$13,5,0)*$Q1724*1.51*1,2)</f>
        <v>0.56999999999999995</v>
      </c>
      <c r="N1727" s="270"/>
      <c r="P1727" s="230">
        <f t="shared" si="768"/>
        <v>0</v>
      </c>
      <c r="AP1727" s="241" t="s">
        <v>2053</v>
      </c>
      <c r="AQ1727" s="242"/>
    </row>
    <row r="1728" spans="1:43" x14ac:dyDescent="0.2">
      <c r="A1728" s="224">
        <f>A1673+37</f>
        <v>1147</v>
      </c>
      <c r="B1728" s="243" t="str">
        <f ca="1">OFFSET(ЛОТЫ!$L$5,A1728,0,1,1)</f>
        <v>Тимерликовское</v>
      </c>
      <c r="C1728" s="244" t="s">
        <v>474</v>
      </c>
      <c r="D1728" s="243">
        <f ca="1">OFFSET(ЛОТЫ!$M$5,A1728,0,1,1)</f>
        <v>11</v>
      </c>
      <c r="E1728" s="243">
        <f ca="1">OFFSET(ЛОТЫ!$N$5,A1728,0,1,1)</f>
        <v>5</v>
      </c>
      <c r="F1728" s="243">
        <f ca="1">OFFSET(ЛОТЫ!$O$5,A1728,0,1,1)</f>
        <v>2</v>
      </c>
      <c r="G1728" s="271">
        <f ca="1">IFERROR(INDEX('Ведомость расчета мин. платы'!$G$10:$AC$214,MATCH(CONCATENATE(B1728,"/",D1728,"/",E1728,"/",F1728),'Ведомость расчета мин. платы'!$AC$10:$AC$214,0),1),"")</f>
        <v>4.5</v>
      </c>
      <c r="H1728" s="246" t="s">
        <v>17</v>
      </c>
      <c r="I1728" s="247">
        <f ca="1">IFERROR(INDEX('Ведомость расчета мин. платы'!$J$10:$AE$214,MATCH(CONCATENATE(РАСЧЕТ!B1728,"/",РАСЧЕТ!D1728,"/",РАСЧЕТ!E1728,"/",F1728,"/",H1728),'Ведомость расчета мин. платы'!$AE$10:$AE$214,0),2),"")</f>
        <v>8.4</v>
      </c>
      <c r="J1728" s="247">
        <f ca="1">IFERROR(INDEX('Ведомость расчета мин. платы'!$J$10:$AE$214,MATCH(CONCATENATE(РАСЧЕТ!B1728,"/",РАСЧЕТ!D1728,"/",РАСЧЕТ!E1728,"/",F1728,"/",H1728),'Ведомость расчета мин. платы'!$AE$10:$AE$214,0),3),"")</f>
        <v>59.25</v>
      </c>
      <c r="K1728" s="247">
        <f ca="1">IFERROR(INDEX('Ведомость расчета мин. платы'!$J$10:$AE$214,MATCH(CONCATENATE(РАСЧЕТ!B1728,"/",РАСЧЕТ!D1728,"/",РАСЧЕТ!E1728,"/",F1728,"/",H1728),'Ведомость расчета мин. платы'!$AE$10:$AE$214,0),4),"")</f>
        <v>21.15</v>
      </c>
      <c r="L1728" s="248">
        <f t="shared" ref="L1728:L1740" ca="1" si="769">IFERROR(SUM(I1728:K1728),"")</f>
        <v>88.800000000000011</v>
      </c>
      <c r="M1728" s="214">
        <f ca="1">IFERROR(INDEX('Ведомость расчета мин. платы'!$J$10:$AE$214,MATCH(CONCATENATE(РАСЧЕТ!B1728,"/",РАСЧЕТ!D1728,"/",РАСЧЕТ!E1728,"/",F1728,"/",H1728),'Ведомость расчета мин. платы'!$AE$10:$AE$214,0),6),"")</f>
        <v>69.78</v>
      </c>
      <c r="N1728" s="214">
        <f t="shared" ref="N1728:N1740" ca="1" si="770">IFERROR(SUM(L1728:M1728),"")</f>
        <v>158.58000000000001</v>
      </c>
      <c r="O1728" s="229">
        <f>IF(H1728="стоимость","",1)</f>
        <v>1</v>
      </c>
      <c r="P1728" s="230">
        <f t="shared" si="768"/>
        <v>1</v>
      </c>
      <c r="AP1728" s="242"/>
      <c r="AQ1728" s="242"/>
    </row>
    <row r="1729" spans="2:43" x14ac:dyDescent="0.2">
      <c r="B1729" s="249"/>
      <c r="C1729" s="249"/>
      <c r="D1729" s="249"/>
      <c r="E1729" s="249"/>
      <c r="F1729" s="249"/>
      <c r="G1729" s="249"/>
      <c r="H1729" s="250" t="s">
        <v>475</v>
      </c>
      <c r="I1729" s="251">
        <f ca="1">IFERROR(ROUND(I1728*I1722,2),"")</f>
        <v>1009.26</v>
      </c>
      <c r="J1729" s="251">
        <f t="shared" ref="J1729" ca="1" si="771">IFERROR(ROUND(J1728*J1722,2),"")</f>
        <v>5072.99</v>
      </c>
      <c r="K1729" s="251">
        <f t="shared" ref="K1729" ca="1" si="772">IFERROR(ROUND(K1728*K1722,2),"")</f>
        <v>917.49</v>
      </c>
      <c r="L1729" s="251">
        <f t="shared" ca="1" si="769"/>
        <v>6999.74</v>
      </c>
      <c r="M1729" s="251">
        <f t="shared" ref="M1729" ca="1" si="773">IFERROR(ROUND(M1728*M1722,2),"")</f>
        <v>477.99</v>
      </c>
      <c r="N1729" s="252">
        <f t="shared" ca="1" si="770"/>
        <v>7477.73</v>
      </c>
      <c r="O1729" s="229" t="str">
        <f t="shared" ref="O1729:O1739" si="774">IF(H1729="стоимость","",1)</f>
        <v/>
      </c>
      <c r="P1729" s="230">
        <f t="shared" si="768"/>
        <v>0</v>
      </c>
      <c r="AP1729" s="242">
        <f ca="1">SUMIFS('Ведомость расчета мин. платы'!$S$10:$S$209,'Ведомость расчета мин. платы'!$AE$10:$AE$209,CONCATENATE(B1728,"/",D1728,"/",E1728,"/",F1728,"/",H1728))</f>
        <v>7477.73</v>
      </c>
      <c r="AQ1729" s="253">
        <f t="shared" ref="AQ1729" ca="1" si="775">AP1729-N1729</f>
        <v>0</v>
      </c>
    </row>
    <row r="1730" spans="2:43" x14ac:dyDescent="0.2">
      <c r="B1730" s="249"/>
      <c r="C1730" s="249"/>
      <c r="D1730" s="249"/>
      <c r="E1730" s="249"/>
      <c r="F1730" s="249"/>
      <c r="G1730" s="249"/>
      <c r="H1730" s="246" t="s">
        <v>25</v>
      </c>
      <c r="I1730" s="247" t="str">
        <f ca="1">IFERROR(INDEX('Ведомость расчета мин. платы'!$J$10:$AE$214,MATCH(CONCATENATE(РАСЧЕТ!B1728,"/",РАСЧЕТ!D1728,"/",РАСЧЕТ!E1728,"/",F1728,"/",H1730),'Ведомость расчета мин. платы'!$AE$10:$AE$214,0),2),"")</f>
        <v/>
      </c>
      <c r="J1730" s="247" t="str">
        <f ca="1">IFERROR(INDEX('Ведомость расчета мин. платы'!$J$10:$AE$214,MATCH(CONCATENATE(РАСЧЕТ!B1728,"/",РАСЧЕТ!D1728,"/",РАСЧЕТ!E1728,"/",F1728,"/",H1730),'Ведомость расчета мин. платы'!$AE$10:$AE$214,0),3),"")</f>
        <v/>
      </c>
      <c r="K1730" s="247" t="str">
        <f ca="1">IFERROR(INDEX('Ведомость расчета мин. платы'!$J$10:$AE$214,MATCH(CONCATENATE(РАСЧЕТ!B1728,"/",РАСЧЕТ!D1728,"/",РАСЧЕТ!E1728,"/",F1728,"/",H1730),'Ведомость расчета мин. платы'!$AE$10:$AE$214,0),4),"")</f>
        <v/>
      </c>
      <c r="L1730" s="248">
        <f t="shared" ca="1" si="769"/>
        <v>0</v>
      </c>
      <c r="M1730" s="214" t="str">
        <f ca="1">IFERROR(INDEX('Ведомость расчета мин. платы'!$J$10:$AE$214,MATCH(CONCATENATE(РАСЧЕТ!B1728,"/",РАСЧЕТ!D1728,"/",РАСЧЕТ!E1728,"/",F1728,"/",H1730),'Ведомость расчета мин. платы'!$AE$10:$AE$214,0),6),"")</f>
        <v/>
      </c>
      <c r="N1730" s="214">
        <f t="shared" ca="1" si="770"/>
        <v>0</v>
      </c>
      <c r="O1730" s="229">
        <f t="shared" si="774"/>
        <v>1</v>
      </c>
      <c r="P1730" s="230">
        <f t="shared" si="768"/>
        <v>0</v>
      </c>
      <c r="AP1730" s="242"/>
      <c r="AQ1730" s="253"/>
    </row>
    <row r="1731" spans="2:43" x14ac:dyDescent="0.2">
      <c r="B1731" s="249"/>
      <c r="C1731" s="249"/>
      <c r="D1731" s="249"/>
      <c r="E1731" s="249"/>
      <c r="F1731" s="249"/>
      <c r="G1731" s="249"/>
      <c r="H1731" s="250" t="s">
        <v>475</v>
      </c>
      <c r="I1731" s="251" t="str">
        <f ca="1">IFERROR(ROUND(I1730*I1723,2),"")</f>
        <v/>
      </c>
      <c r="J1731" s="251" t="str">
        <f t="shared" ref="J1731" ca="1" si="776">IFERROR(ROUND(J1730*J1723,2),"")</f>
        <v/>
      </c>
      <c r="K1731" s="251" t="str">
        <f t="shared" ref="K1731" ca="1" si="777">IFERROR(ROUND(K1730*K1723,2),"")</f>
        <v/>
      </c>
      <c r="L1731" s="251">
        <f t="shared" ca="1" si="769"/>
        <v>0</v>
      </c>
      <c r="M1731" s="251" t="str">
        <f t="shared" ref="M1731" ca="1" si="778">IFERROR(ROUND(M1730*M1723,2),"")</f>
        <v/>
      </c>
      <c r="N1731" s="252">
        <f t="shared" ca="1" si="770"/>
        <v>0</v>
      </c>
      <c r="O1731" s="229" t="str">
        <f t="shared" si="774"/>
        <v/>
      </c>
      <c r="P1731" s="230">
        <f t="shared" si="768"/>
        <v>0</v>
      </c>
      <c r="AP1731" s="242">
        <f ca="1">SUMIFS('Ведомость расчета мин. платы'!$S$10:$S$209,'Ведомость расчета мин. платы'!$AE$10:$AE$209,CONCATENATE(B1728,"/",D1728,"/",E1728,"/",F1728,"/",H1730))</f>
        <v>0</v>
      </c>
      <c r="AQ1731" s="253">
        <f t="shared" ref="AQ1731" ca="1" si="779">AP1731-N1731</f>
        <v>0</v>
      </c>
    </row>
    <row r="1732" spans="2:43" x14ac:dyDescent="0.2">
      <c r="B1732" s="249"/>
      <c r="C1732" s="249"/>
      <c r="D1732" s="249"/>
      <c r="E1732" s="249"/>
      <c r="F1732" s="249"/>
      <c r="G1732" s="249"/>
      <c r="H1732" s="205" t="s">
        <v>19</v>
      </c>
      <c r="I1732" s="248">
        <f ca="1">IFERROR(INDEX('Ведомость расчета мин. платы'!$J$10:$AE$214,MATCH(CONCATENATE(РАСЧЕТ!B1728,"/",РАСЧЕТ!D1728,"/",РАСЧЕТ!E1728,"/",F1728,"/",H1732),'Ведомость расчета мин. платы'!$AE$10:$AE$214,0),2),"")</f>
        <v>0.18</v>
      </c>
      <c r="J1732" s="248">
        <f ca="1">IFERROR(INDEX('Ведомость расчета мин. платы'!$J$10:$AE$214,MATCH(CONCATENATE(РАСЧЕТ!B1728,"/",РАСЧЕТ!D1728,"/",РАСЧЕТ!E1728,"/",F1728,"/",H1732),'Ведомость расчета мин. платы'!$AE$10:$AE$214,0),3),"")</f>
        <v>24.73</v>
      </c>
      <c r="K1732" s="248">
        <f ca="1">IFERROR(INDEX('Ведомость расчета мин. платы'!$J$10:$AE$214,MATCH(CONCATENATE(РАСЧЕТ!B1728,"/",РАСЧЕТ!D1728,"/",РАСЧЕТ!E1728,"/",F1728,"/",H1732),'Ведомость расчета мин. платы'!$AE$10:$AE$214,0),4),"")</f>
        <v>8.1199999999999992</v>
      </c>
      <c r="L1732" s="248">
        <f t="shared" ca="1" si="769"/>
        <v>33.03</v>
      </c>
      <c r="M1732" s="248">
        <f ca="1">IFERROR(INDEX('Ведомость расчета мин. платы'!$J$10:$AE$214,MATCH(CONCATENATE(РАСЧЕТ!B1728,"/",РАСЧЕТ!D1728,"/",РАСЧЕТ!E1728,"/",F1728,"/",H1732),'Ведомость расчета мин. платы'!$AE$10:$AE$214,0),6),"")</f>
        <v>31.33</v>
      </c>
      <c r="N1732" s="214">
        <f t="shared" ca="1" si="770"/>
        <v>64.36</v>
      </c>
      <c r="O1732" s="229">
        <f t="shared" si="774"/>
        <v>1</v>
      </c>
      <c r="P1732" s="230">
        <f t="shared" si="768"/>
        <v>0</v>
      </c>
      <c r="AP1732" s="242"/>
      <c r="AQ1732" s="253"/>
    </row>
    <row r="1733" spans="2:43" x14ac:dyDescent="0.2">
      <c r="B1733" s="249"/>
      <c r="C1733" s="249"/>
      <c r="D1733" s="249"/>
      <c r="E1733" s="249"/>
      <c r="F1733" s="249"/>
      <c r="G1733" s="249"/>
      <c r="H1733" s="250" t="s">
        <v>475</v>
      </c>
      <c r="I1733" s="251">
        <f ca="1">IFERROR(ROUND(I1732*I1724,2),"")</f>
        <v>12.84</v>
      </c>
      <c r="J1733" s="251">
        <f t="shared" ref="J1733" ca="1" si="780">IFERROR(ROUND(J1732*J1724,2),"")</f>
        <v>1284.48</v>
      </c>
      <c r="K1733" s="251">
        <f t="shared" ref="K1733" ca="1" si="781">IFERROR(ROUND(K1732*K1724,2),"")</f>
        <v>215.5</v>
      </c>
      <c r="L1733" s="251">
        <f t="shared" ca="1" si="769"/>
        <v>1512.82</v>
      </c>
      <c r="M1733" s="251">
        <f t="shared" ref="M1733" ca="1" si="782">IFERROR(ROUND(M1732*M1724,2),"")</f>
        <v>44.8</v>
      </c>
      <c r="N1733" s="252">
        <f t="shared" ca="1" si="770"/>
        <v>1557.62</v>
      </c>
      <c r="O1733" s="229" t="str">
        <f t="shared" si="774"/>
        <v/>
      </c>
      <c r="P1733" s="230">
        <f t="shared" si="768"/>
        <v>0</v>
      </c>
      <c r="AP1733" s="242">
        <f ca="1">SUMIFS('Ведомость расчета мин. платы'!$S$10:$S$209,'Ведомость расчета мин. платы'!$AE$10:$AE$209,CONCATENATE(B1728,"/",D1728,"/",E1728,"/",F1728,"/",H1732))</f>
        <v>1557.62</v>
      </c>
      <c r="AQ1733" s="253">
        <f t="shared" ref="AQ1733" ca="1" si="783">AP1733-N1733</f>
        <v>0</v>
      </c>
    </row>
    <row r="1734" spans="2:43" x14ac:dyDescent="0.2">
      <c r="B1734" s="249"/>
      <c r="C1734" s="249"/>
      <c r="D1734" s="249"/>
      <c r="E1734" s="249"/>
      <c r="F1734" s="249"/>
      <c r="G1734" s="249"/>
      <c r="H1734" s="205" t="s">
        <v>268</v>
      </c>
      <c r="I1734" s="248" t="str">
        <f ca="1">IFERROR(INDEX('Ведомость расчета мин. платы'!$J$10:$AE$214,MATCH(CONCATENATE(РАСЧЕТ!B1728,"/",РАСЧЕТ!D1728,"/",РАСЧЕТ!E1728,"/",F1728,"/",H1734),'Ведомость расчета мин. платы'!$AE$10:$AE$214,0),2),"")</f>
        <v/>
      </c>
      <c r="J1734" s="248" t="str">
        <f ca="1">IFERROR(INDEX('Ведомость расчета мин. платы'!$J$10:$AE$214,MATCH(CONCATENATE(РАСЧЕТ!B1728,"/",РАСЧЕТ!D1728,"/",РАСЧЕТ!E1728,"/",F1728,"/",H1734),'Ведомость расчета мин. платы'!$AE$10:$AE$214,0),3),"")</f>
        <v/>
      </c>
      <c r="K1734" s="248" t="str">
        <f ca="1">IFERROR(INDEX('Ведомость расчета мин. платы'!$J$10:$AE$214,MATCH(CONCATENATE(РАСЧЕТ!B1728,"/",РАСЧЕТ!D1728,"/",РАСЧЕТ!E1728,"/",F1728,"/",H1734),'Ведомость расчета мин. платы'!$AE$10:$AE$214,0),4),"")</f>
        <v/>
      </c>
      <c r="L1734" s="248">
        <f t="shared" ca="1" si="769"/>
        <v>0</v>
      </c>
      <c r="M1734" s="248" t="str">
        <f ca="1">IFERROR(INDEX('Ведомость расчета мин. платы'!$J$10:$AE$214,MATCH(CONCATENATE(РАСЧЕТ!B1728,"/",РАСЧЕТ!D1728,"/",РАСЧЕТ!E1728,"/",F1728,"/",H1734),'Ведомость расчета мин. платы'!$AE$10:$AE$214,0),6),"")</f>
        <v/>
      </c>
      <c r="N1734" s="214">
        <f t="shared" ca="1" si="770"/>
        <v>0</v>
      </c>
      <c r="O1734" s="229">
        <f t="shared" si="774"/>
        <v>1</v>
      </c>
      <c r="P1734" s="230">
        <f t="shared" si="768"/>
        <v>0</v>
      </c>
      <c r="AP1734" s="242"/>
      <c r="AQ1734" s="253"/>
    </row>
    <row r="1735" spans="2:43" x14ac:dyDescent="0.2">
      <c r="B1735" s="249"/>
      <c r="C1735" s="249"/>
      <c r="D1735" s="249"/>
      <c r="E1735" s="249"/>
      <c r="F1735" s="249"/>
      <c r="G1735" s="249"/>
      <c r="H1735" s="250" t="s">
        <v>475</v>
      </c>
      <c r="I1735" s="251" t="str">
        <f ca="1">IFERROR(ROUND(I1734*I1727,2),"")</f>
        <v/>
      </c>
      <c r="J1735" s="251" t="str">
        <f ca="1">IFERROR(ROUND(J1734*J1725,2),"")</f>
        <v/>
      </c>
      <c r="K1735" s="251" t="str">
        <f ca="1">IFERROR(ROUND(K1734*K1725,2),"")</f>
        <v/>
      </c>
      <c r="L1735" s="251">
        <f t="shared" ca="1" si="769"/>
        <v>0</v>
      </c>
      <c r="M1735" s="251" t="str">
        <f ca="1">IFERROR(ROUND(M1734*M1725,2),"")</f>
        <v/>
      </c>
      <c r="N1735" s="252">
        <f t="shared" ca="1" si="770"/>
        <v>0</v>
      </c>
      <c r="O1735" s="229" t="str">
        <f t="shared" si="774"/>
        <v/>
      </c>
      <c r="P1735" s="230">
        <f t="shared" si="768"/>
        <v>0</v>
      </c>
      <c r="AP1735" s="242">
        <f ca="1">SUMIFS('Ведомость расчета мин. платы'!$S$10:$S$209,'Ведомость расчета мин. платы'!$AE$10:$AE$209,CONCATENATE(B1728,"/",D1728,"/",E1728,"/",F1728,"/",H1734))</f>
        <v>0</v>
      </c>
      <c r="AQ1735" s="253">
        <f t="shared" ref="AQ1735" ca="1" si="784">AP1735-N1735</f>
        <v>0</v>
      </c>
    </row>
    <row r="1736" spans="2:43" x14ac:dyDescent="0.2">
      <c r="B1736" s="249"/>
      <c r="C1736" s="249"/>
      <c r="D1736" s="249"/>
      <c r="E1736" s="249"/>
      <c r="F1736" s="249"/>
      <c r="G1736" s="249"/>
      <c r="H1736" s="205" t="s">
        <v>40</v>
      </c>
      <c r="I1736" s="248" t="str">
        <f ca="1">IFERROR(INDEX('Ведомость расчета мин. платы'!$J$10:$AE$214,MATCH(CONCATENATE(РАСЧЕТ!B1728,"/",РАСЧЕТ!D1728,"/",РАСЧЕТ!E1728,"/",F1728,"/",H1736),'Ведомость расчета мин. платы'!$AE$10:$AE$214,0),2),"")</f>
        <v/>
      </c>
      <c r="J1736" s="248" t="str">
        <f ca="1">IFERROR(INDEX('Ведомость расчета мин. платы'!$J$10:$AE$214,MATCH(CONCATENATE(РАСЧЕТ!B1728,"/",РАСЧЕТ!D1728,"/",РАСЧЕТ!E1728,"/",F1728,"/",H1736),'Ведомость расчета мин. платы'!$AE$10:$AE$214,0),3),"")</f>
        <v/>
      </c>
      <c r="K1736" s="248" t="str">
        <f ca="1">IFERROR(INDEX('Ведомость расчета мин. платы'!$J$10:$AE$214,MATCH(CONCATENATE(РАСЧЕТ!B1728,"/",РАСЧЕТ!D1728,"/",РАСЧЕТ!E1728,"/",F1728,"/",H1736),'Ведомость расчета мин. платы'!$AE$10:$AE$214,0),4),"")</f>
        <v/>
      </c>
      <c r="L1736" s="248">
        <f t="shared" ca="1" si="769"/>
        <v>0</v>
      </c>
      <c r="M1736" s="248" t="str">
        <f ca="1">IFERROR(INDEX('Ведомость расчета мин. платы'!$J$10:$AE$214,MATCH(CONCATENATE(РАСЧЕТ!B1728,"/",РАСЧЕТ!D1728,"/",РАСЧЕТ!E1728,"/",F1728,"/",H1736),'Ведомость расчета мин. платы'!$AE$10:$AE$214,0),6),"")</f>
        <v/>
      </c>
      <c r="N1736" s="214">
        <f t="shared" ca="1" si="770"/>
        <v>0</v>
      </c>
      <c r="O1736" s="229">
        <f t="shared" si="774"/>
        <v>1</v>
      </c>
      <c r="P1736" s="230">
        <f t="shared" si="768"/>
        <v>0</v>
      </c>
      <c r="AP1736" s="242"/>
      <c r="AQ1736" s="253"/>
    </row>
    <row r="1737" spans="2:43" x14ac:dyDescent="0.2">
      <c r="B1737" s="249"/>
      <c r="C1737" s="249"/>
      <c r="D1737" s="249"/>
      <c r="E1737" s="249"/>
      <c r="F1737" s="249"/>
      <c r="G1737" s="249"/>
      <c r="H1737" s="250" t="s">
        <v>475</v>
      </c>
      <c r="I1737" s="251" t="str">
        <f ca="1">IFERROR(ROUND(I1736*I1726,2),"")</f>
        <v/>
      </c>
      <c r="J1737" s="251" t="str">
        <f t="shared" ref="J1737" ca="1" si="785">IFERROR(ROUND(J1736*J1726,2),"")</f>
        <v/>
      </c>
      <c r="K1737" s="251" t="str">
        <f t="shared" ref="K1737" ca="1" si="786">IFERROR(ROUND(K1736*K1726,2),"")</f>
        <v/>
      </c>
      <c r="L1737" s="251">
        <f t="shared" ca="1" si="769"/>
        <v>0</v>
      </c>
      <c r="M1737" s="251" t="str">
        <f t="shared" ref="M1737" ca="1" si="787">IFERROR(ROUND(M1736*M1726,2),"")</f>
        <v/>
      </c>
      <c r="N1737" s="252">
        <f t="shared" ca="1" si="770"/>
        <v>0</v>
      </c>
      <c r="O1737" s="229" t="str">
        <f t="shared" si="774"/>
        <v/>
      </c>
      <c r="P1737" s="230">
        <f t="shared" si="768"/>
        <v>0</v>
      </c>
      <c r="AP1737" s="242">
        <f ca="1">SUMIFS('Ведомость расчета мин. платы'!$S$10:$S$209,'Ведомость расчета мин. платы'!$AE$10:$AE$209,CONCATENATE(B1728,"/",D1728,"/",E1728,"/",F1728,"/",H1736))</f>
        <v>0</v>
      </c>
      <c r="AQ1737" s="253">
        <f t="shared" ref="AQ1737" ca="1" si="788">AP1737-N1737</f>
        <v>0</v>
      </c>
    </row>
    <row r="1738" spans="2:43" x14ac:dyDescent="0.2">
      <c r="B1738" s="249"/>
      <c r="C1738" s="249"/>
      <c r="D1738" s="249"/>
      <c r="E1738" s="249"/>
      <c r="F1738" s="249"/>
      <c r="G1738" s="249"/>
      <c r="H1738" s="205" t="s">
        <v>18</v>
      </c>
      <c r="I1738" s="248">
        <f ca="1">IFERROR(INDEX('Ведомость расчета мин. платы'!$J$10:$AE$214,MATCH(CONCATENATE(РАСЧЕТ!B1728,"/",РАСЧЕТ!D1728,"/",РАСЧЕТ!E1728,"/",F1728,"/",H1738),'Ведомость расчета мин. платы'!$AE$10:$AE$214,0),2),"")</f>
        <v>90.72</v>
      </c>
      <c r="J1738" s="248">
        <f ca="1">IFERROR(INDEX('Ведомость расчета мин. платы'!$J$10:$AE$214,MATCH(CONCATENATE(РАСЧЕТ!B1728,"/",РАСЧЕТ!D1728,"/",РАСЧЕТ!E1728,"/",F1728,"/",H1738),'Ведомость расчета мин. платы'!$AE$10:$AE$214,0),3),"")</f>
        <v>223.47</v>
      </c>
      <c r="K1738" s="248">
        <f ca="1">IFERROR(INDEX('Ведомость расчета мин. платы'!$J$10:$AE$214,MATCH(CONCATENATE(РАСЧЕТ!B1728,"/",РАСЧЕТ!D1728,"/",РАСЧЕТ!E1728,"/",F1728,"/",H1738),'Ведомость расчета мин. платы'!$AE$10:$AE$214,0),4),"")</f>
        <v>15.3</v>
      </c>
      <c r="L1738" s="248">
        <f t="shared" ca="1" si="769"/>
        <v>329.49</v>
      </c>
      <c r="M1738" s="248">
        <f ca="1">IFERROR(INDEX('Ведомость расчета мин. платы'!$J$10:$AE$214,MATCH(CONCATENATE(РАСЧЕТ!B1728,"/",РАСЧЕТ!D1728,"/",РАСЧЕТ!E1728,"/",F1728,"/",H1738),'Ведомость расчета мин. платы'!$AE$10:$AE$214,0),6),"")</f>
        <v>197.01</v>
      </c>
      <c r="N1738" s="214">
        <f t="shared" ca="1" si="770"/>
        <v>526.5</v>
      </c>
      <c r="O1738" s="229">
        <f t="shared" si="774"/>
        <v>1</v>
      </c>
      <c r="P1738" s="230">
        <f t="shared" si="768"/>
        <v>0</v>
      </c>
      <c r="AP1738" s="242"/>
      <c r="AQ1738" s="253"/>
    </row>
    <row r="1739" spans="2:43" x14ac:dyDescent="0.2">
      <c r="B1739" s="249"/>
      <c r="C1739" s="249"/>
      <c r="D1739" s="249"/>
      <c r="E1739" s="249"/>
      <c r="F1739" s="249"/>
      <c r="G1739" s="249"/>
      <c r="H1739" s="250" t="s">
        <v>475</v>
      </c>
      <c r="I1739" s="251">
        <f ca="1">IFERROR(ROUND(I1738*I1727,2),"")</f>
        <v>2071.14</v>
      </c>
      <c r="J1739" s="251">
        <f t="shared" ref="J1739" ca="1" si="789">IFERROR(ROUND(J1738*J1727,2),"")</f>
        <v>3890.61</v>
      </c>
      <c r="K1739" s="251">
        <f t="shared" ref="K1739" ca="1" si="790">IFERROR(ROUND(K1738*K1727,2),"")</f>
        <v>135.41</v>
      </c>
      <c r="L1739" s="251">
        <f t="shared" ca="1" si="769"/>
        <v>6097.16</v>
      </c>
      <c r="M1739" s="251">
        <f t="shared" ref="M1739" ca="1" si="791">IFERROR(ROUND(M1738*M1727,2),"")</f>
        <v>112.3</v>
      </c>
      <c r="N1739" s="252">
        <f t="shared" ca="1" si="770"/>
        <v>6209.46</v>
      </c>
      <c r="O1739" s="229" t="str">
        <f t="shared" si="774"/>
        <v/>
      </c>
      <c r="P1739" s="230">
        <f t="shared" si="768"/>
        <v>0</v>
      </c>
      <c r="AP1739" s="242">
        <f ca="1">SUMIFS('Ведомость расчета мин. платы'!$S$10:$S$209,'Ведомость расчета мин. платы'!$AE$10:$AE$209,CONCATENATE(B1728,"/",D1728,"/",E1728,"/",F1728,"/",H1738))</f>
        <v>6209.46</v>
      </c>
      <c r="AQ1739" s="253">
        <f t="shared" ref="AQ1739" ca="1" si="792">AP1739-N1739</f>
        <v>0</v>
      </c>
    </row>
    <row r="1740" spans="2:43" x14ac:dyDescent="0.2">
      <c r="B1740" s="249"/>
      <c r="C1740" s="249"/>
      <c r="D1740" s="249"/>
      <c r="E1740" s="249"/>
      <c r="F1740" s="249"/>
      <c r="G1740" s="249"/>
      <c r="H1740" s="254" t="s">
        <v>476</v>
      </c>
      <c r="I1740" s="251">
        <f ca="1">SUMIF($O1728:$O1741,1,I1728:I1739)</f>
        <v>99.3</v>
      </c>
      <c r="J1740" s="251">
        <f ca="1">SUMIF($O1728:$O1741,1,J1728:J1739)</f>
        <v>307.45</v>
      </c>
      <c r="K1740" s="251">
        <f ca="1">SUMIF($O1728:$O1741,1,K1728:K1739)</f>
        <v>44.569999999999993</v>
      </c>
      <c r="L1740" s="251">
        <f t="shared" ca="1" si="769"/>
        <v>451.32</v>
      </c>
      <c r="M1740" s="251">
        <f ca="1">SUMIF($O1728:$O1741,1,M1728:M1739)</f>
        <v>298.12</v>
      </c>
      <c r="N1740" s="252">
        <f t="shared" ca="1" si="770"/>
        <v>749.44</v>
      </c>
      <c r="AP1740" s="242"/>
      <c r="AQ1740" s="253"/>
    </row>
    <row r="1741" spans="2:43" x14ac:dyDescent="0.2">
      <c r="B1741" s="249"/>
      <c r="C1741" s="249"/>
      <c r="D1741" s="249"/>
      <c r="E1741" s="249"/>
      <c r="F1741" s="249"/>
      <c r="G1741" s="249"/>
      <c r="H1741" s="254" t="s">
        <v>491</v>
      </c>
      <c r="I1741" s="251">
        <f ca="1">SUMIF(H1728:H1739,"стоимость",I1728:I1739)</f>
        <v>3093.24</v>
      </c>
      <c r="J1741" s="251">
        <f ca="1">SUMIF(H1728:H1739,"стоимость",J1728:J1739)</f>
        <v>10248.08</v>
      </c>
      <c r="K1741" s="251">
        <f ca="1">SUMIF(H1728:H1739,"стоимость",K1728:K1739)</f>
        <v>1268.4000000000001</v>
      </c>
      <c r="L1741" s="251">
        <f ca="1">IFERROR(SUM(I1741:K1741),"")</f>
        <v>14609.72</v>
      </c>
      <c r="M1741" s="251">
        <f ca="1">SUMIF(H1728:H1739,"стоимость",M1728:M1739)</f>
        <v>635.08999999999992</v>
      </c>
      <c r="N1741" s="252">
        <f ca="1">IFERROR(SUM(L1741:M1741),"")</f>
        <v>15244.81</v>
      </c>
      <c r="AP1741" s="242">
        <f ca="1">SUMIFS('Ведомость расчета мин. платы'!$S$10:$S$209,'Ведомость расчета мин. платы'!$J$10:$J$209,"Итого",'Ведомость расчета мин. платы'!$AC$10:$AC$209,CONCATENATE(B1728,"/",D1728,"/",E1728,"/",F1728))</f>
        <v>15244.809999999998</v>
      </c>
      <c r="AQ1741" s="253">
        <f ca="1">AP1741-N1741</f>
        <v>0</v>
      </c>
    </row>
    <row r="1742" spans="2:43" x14ac:dyDescent="0.2">
      <c r="B1742" s="255"/>
      <c r="C1742" s="255"/>
      <c r="D1742" s="255"/>
      <c r="E1742" s="255"/>
      <c r="F1742" s="255"/>
      <c r="G1742" s="256"/>
      <c r="H1742" s="257"/>
      <c r="I1742" s="258"/>
      <c r="J1742" s="258"/>
      <c r="K1742" s="258"/>
      <c r="L1742" s="258"/>
      <c r="M1742" s="258"/>
      <c r="N1742" s="258"/>
      <c r="P1742" s="230">
        <f t="shared" ref="P1742:P1760" si="793">IF(A1742&gt;0,1,0)</f>
        <v>0</v>
      </c>
    </row>
    <row r="1743" spans="2:43" x14ac:dyDescent="0.2">
      <c r="B1743" s="282" t="s">
        <v>477</v>
      </c>
      <c r="C1743" s="282"/>
      <c r="D1743" s="282"/>
      <c r="E1743" s="282"/>
      <c r="F1743" s="259"/>
      <c r="G1743" s="225"/>
      <c r="H1743" s="201"/>
      <c r="I1743" s="226"/>
      <c r="J1743" s="258"/>
      <c r="K1743" s="258"/>
      <c r="L1743" s="258"/>
      <c r="M1743" s="258"/>
      <c r="N1743" s="258"/>
      <c r="P1743" s="230">
        <f t="shared" si="793"/>
        <v>0</v>
      </c>
    </row>
    <row r="1744" spans="2:43" x14ac:dyDescent="0.2">
      <c r="B1744" s="283" t="s">
        <v>525</v>
      </c>
      <c r="C1744" s="283"/>
      <c r="D1744" s="283"/>
      <c r="E1744" s="283"/>
      <c r="F1744" s="283"/>
      <c r="G1744" s="283"/>
      <c r="H1744" s="283"/>
      <c r="I1744" s="283"/>
      <c r="J1744" s="261"/>
      <c r="K1744" s="261"/>
      <c r="L1744" s="261"/>
      <c r="M1744" s="261"/>
      <c r="N1744" s="261"/>
      <c r="P1744" s="230">
        <f t="shared" si="793"/>
        <v>0</v>
      </c>
    </row>
    <row r="1745" spans="2:16" x14ac:dyDescent="0.2">
      <c r="B1745" s="284" t="s">
        <v>478</v>
      </c>
      <c r="C1745" s="284"/>
      <c r="D1745" s="284"/>
      <c r="E1745" s="284"/>
      <c r="F1745" s="284"/>
      <c r="G1745" s="284"/>
      <c r="H1745" s="284"/>
      <c r="I1745" s="284"/>
      <c r="J1745" s="258"/>
      <c r="K1745" s="258"/>
      <c r="L1745" s="258"/>
      <c r="M1745" s="258"/>
      <c r="N1745" s="258"/>
      <c r="P1745" s="230">
        <f t="shared" si="793"/>
        <v>0</v>
      </c>
    </row>
    <row r="1746" spans="2:16" x14ac:dyDescent="0.2">
      <c r="B1746" s="284" t="s">
        <v>479</v>
      </c>
      <c r="C1746" s="284"/>
      <c r="D1746" s="284"/>
      <c r="E1746" s="284"/>
      <c r="F1746" s="284"/>
      <c r="G1746" s="284"/>
      <c r="H1746" s="284"/>
      <c r="I1746" s="284"/>
      <c r="J1746" s="258"/>
      <c r="K1746" s="258"/>
      <c r="L1746" s="258"/>
      <c r="M1746" s="258"/>
      <c r="N1746" s="258"/>
      <c r="P1746" s="230">
        <f t="shared" si="793"/>
        <v>0</v>
      </c>
    </row>
    <row r="1747" spans="2:16" x14ac:dyDescent="0.2">
      <c r="B1747" s="284" t="s">
        <v>480</v>
      </c>
      <c r="C1747" s="284"/>
      <c r="D1747" s="284"/>
      <c r="E1747" s="284"/>
      <c r="F1747" s="284"/>
      <c r="G1747" s="284"/>
      <c r="H1747" s="284"/>
      <c r="I1747" s="284"/>
      <c r="J1747" s="258"/>
      <c r="K1747" s="258"/>
      <c r="L1747" s="258"/>
      <c r="M1747" s="258"/>
      <c r="N1747" s="258"/>
      <c r="P1747" s="230">
        <f t="shared" si="793"/>
        <v>0</v>
      </c>
    </row>
    <row r="1748" spans="2:16" x14ac:dyDescent="0.2">
      <c r="B1748" s="284" t="s">
        <v>481</v>
      </c>
      <c r="C1748" s="284"/>
      <c r="D1748" s="284"/>
      <c r="E1748" s="284"/>
      <c r="F1748" s="284"/>
      <c r="G1748" s="284"/>
      <c r="H1748" s="284"/>
      <c r="I1748" s="284"/>
      <c r="J1748" s="226"/>
      <c r="K1748" s="226"/>
      <c r="L1748" s="226"/>
      <c r="M1748" s="226"/>
      <c r="N1748" s="226"/>
      <c r="P1748" s="230">
        <f t="shared" si="793"/>
        <v>0</v>
      </c>
    </row>
    <row r="1749" spans="2:16" x14ac:dyDescent="0.2">
      <c r="B1749" s="284" t="s">
        <v>482</v>
      </c>
      <c r="C1749" s="284"/>
      <c r="D1749" s="284"/>
      <c r="E1749" s="284"/>
      <c r="F1749" s="284"/>
      <c r="G1749" s="284"/>
      <c r="H1749" s="284"/>
      <c r="I1749" s="284"/>
      <c r="J1749" s="226"/>
      <c r="K1749" s="226"/>
      <c r="L1749" s="226"/>
      <c r="M1749" s="226"/>
      <c r="N1749" s="226"/>
      <c r="P1749" s="230">
        <f t="shared" si="793"/>
        <v>0</v>
      </c>
    </row>
    <row r="1750" spans="2:16" x14ac:dyDescent="0.2">
      <c r="B1750" s="284" t="s">
        <v>483</v>
      </c>
      <c r="C1750" s="284"/>
      <c r="D1750" s="284"/>
      <c r="E1750" s="284"/>
      <c r="F1750" s="284"/>
      <c r="G1750" s="284"/>
      <c r="H1750" s="284"/>
      <c r="I1750" s="284"/>
      <c r="J1750" s="226"/>
      <c r="K1750" s="226"/>
      <c r="L1750" s="226"/>
      <c r="M1750" s="226"/>
      <c r="N1750" s="226"/>
      <c r="P1750" s="230">
        <f t="shared" si="793"/>
        <v>0</v>
      </c>
    </row>
    <row r="1751" spans="2:16" x14ac:dyDescent="0.2">
      <c r="B1751" s="284" t="s">
        <v>484</v>
      </c>
      <c r="C1751" s="284"/>
      <c r="D1751" s="284"/>
      <c r="E1751" s="284"/>
      <c r="F1751" s="284"/>
      <c r="G1751" s="284"/>
      <c r="H1751" s="284"/>
      <c r="I1751" s="284"/>
      <c r="J1751" s="226"/>
      <c r="K1751" s="226"/>
      <c r="L1751" s="226"/>
      <c r="M1751" s="226"/>
      <c r="N1751" s="226"/>
      <c r="P1751" s="230">
        <f t="shared" si="793"/>
        <v>0</v>
      </c>
    </row>
    <row r="1752" spans="2:16" x14ac:dyDescent="0.2">
      <c r="B1752" s="264"/>
      <c r="C1752" s="264"/>
      <c r="D1752" s="264"/>
      <c r="E1752" s="264"/>
      <c r="F1752" s="264"/>
      <c r="G1752" s="264"/>
      <c r="H1752" s="264"/>
      <c r="I1752" s="265"/>
      <c r="J1752" s="226"/>
      <c r="K1752" s="226"/>
      <c r="L1752" s="226"/>
      <c r="M1752" s="226"/>
      <c r="N1752" s="226"/>
      <c r="P1752" s="230">
        <f t="shared" si="793"/>
        <v>0</v>
      </c>
    </row>
    <row r="1753" spans="2:16" x14ac:dyDescent="0.2">
      <c r="B1753" s="225" t="s">
        <v>485</v>
      </c>
      <c r="C1753" s="225"/>
      <c r="D1753" s="225"/>
      <c r="E1753" s="225"/>
      <c r="F1753" s="225"/>
      <c r="G1753" s="225"/>
      <c r="H1753" s="201"/>
      <c r="I1753" s="226"/>
      <c r="J1753" s="226" t="s">
        <v>486</v>
      </c>
      <c r="K1753" s="226"/>
      <c r="L1753" s="226"/>
      <c r="M1753" s="226"/>
      <c r="N1753" s="226"/>
      <c r="P1753" s="230">
        <f t="shared" si="793"/>
        <v>0</v>
      </c>
    </row>
    <row r="1754" spans="2:16" x14ac:dyDescent="0.2">
      <c r="B1754" s="266" t="s">
        <v>524</v>
      </c>
      <c r="C1754" s="266"/>
      <c r="D1754" s="225"/>
      <c r="E1754" s="225"/>
      <c r="F1754" s="225"/>
      <c r="G1754" s="225"/>
      <c r="H1754" s="201"/>
      <c r="I1754" s="226"/>
      <c r="J1754" s="267"/>
      <c r="K1754" s="267"/>
      <c r="L1754" s="267"/>
      <c r="M1754" s="226"/>
      <c r="N1754" s="226"/>
      <c r="P1754" s="230">
        <f t="shared" si="793"/>
        <v>0</v>
      </c>
    </row>
    <row r="1755" spans="2:16" x14ac:dyDescent="0.2">
      <c r="B1755" s="268" t="s">
        <v>487</v>
      </c>
      <c r="C1755" s="225"/>
      <c r="D1755" s="225"/>
      <c r="E1755" s="225"/>
      <c r="F1755" s="225"/>
      <c r="G1755" s="225"/>
      <c r="H1755" s="201"/>
      <c r="I1755" s="226"/>
      <c r="J1755" s="226" t="s">
        <v>487</v>
      </c>
      <c r="K1755" s="226"/>
      <c r="L1755" s="226"/>
      <c r="M1755" s="226"/>
      <c r="N1755" s="226"/>
      <c r="P1755" s="230">
        <f t="shared" si="793"/>
        <v>0</v>
      </c>
    </row>
    <row r="1756" spans="2:16" x14ac:dyDescent="0.2">
      <c r="B1756" s="225"/>
      <c r="C1756" s="225"/>
      <c r="D1756" s="225"/>
      <c r="E1756" s="225"/>
      <c r="F1756" s="225"/>
      <c r="G1756" s="225"/>
      <c r="H1756" s="201"/>
      <c r="I1756" s="226"/>
      <c r="J1756" s="226"/>
      <c r="K1756" s="226"/>
      <c r="L1756" s="226"/>
      <c r="M1756" s="226"/>
      <c r="N1756" s="226"/>
      <c r="P1756" s="230">
        <f t="shared" si="793"/>
        <v>0</v>
      </c>
    </row>
    <row r="1757" spans="2:16" x14ac:dyDescent="0.2">
      <c r="B1757" s="266"/>
      <c r="C1757" s="266"/>
      <c r="D1757" s="225"/>
      <c r="E1757" s="225"/>
      <c r="F1757" s="225"/>
      <c r="G1757" s="225"/>
      <c r="H1757" s="201"/>
      <c r="I1757" s="226"/>
      <c r="J1757" s="267"/>
      <c r="K1757" s="267"/>
      <c r="L1757" s="267"/>
      <c r="M1757" s="226"/>
      <c r="N1757" s="226"/>
      <c r="P1757" s="230">
        <f t="shared" si="793"/>
        <v>0</v>
      </c>
    </row>
    <row r="1758" spans="2:16" x14ac:dyDescent="0.2">
      <c r="B1758" s="269" t="s">
        <v>488</v>
      </c>
      <c r="C1758" s="225"/>
      <c r="D1758" s="225"/>
      <c r="E1758" s="225"/>
      <c r="F1758" s="225"/>
      <c r="G1758" s="225"/>
      <c r="H1758" s="201"/>
      <c r="I1758" s="226"/>
      <c r="J1758" s="285" t="s">
        <v>488</v>
      </c>
      <c r="K1758" s="285"/>
      <c r="L1758" s="285"/>
      <c r="M1758" s="226"/>
      <c r="N1758" s="226"/>
      <c r="P1758" s="230">
        <f t="shared" si="793"/>
        <v>0</v>
      </c>
    </row>
    <row r="1759" spans="2:16" x14ac:dyDescent="0.2">
      <c r="B1759" s="225"/>
      <c r="C1759" s="225"/>
      <c r="D1759" s="225"/>
      <c r="E1759" s="225"/>
      <c r="F1759" s="225"/>
      <c r="G1759" s="225"/>
      <c r="H1759" s="201"/>
      <c r="I1759" s="226"/>
      <c r="J1759" s="226"/>
      <c r="K1759" s="226"/>
      <c r="L1759" s="226"/>
      <c r="M1759" s="226"/>
      <c r="N1759" s="226"/>
      <c r="P1759" s="230">
        <f t="shared" si="793"/>
        <v>0</v>
      </c>
    </row>
    <row r="1760" spans="2:16" x14ac:dyDescent="0.2">
      <c r="B1760" s="264" t="s">
        <v>489</v>
      </c>
      <c r="C1760" s="225"/>
      <c r="D1760" s="225"/>
      <c r="E1760" s="225"/>
      <c r="F1760" s="225"/>
      <c r="G1760" s="225"/>
      <c r="H1760" s="201"/>
      <c r="I1760" s="226"/>
      <c r="J1760" s="226" t="s">
        <v>489</v>
      </c>
      <c r="K1760" s="226"/>
      <c r="L1760" s="226"/>
      <c r="M1760" s="226"/>
      <c r="N1760" s="226"/>
      <c r="P1760" s="230">
        <f t="shared" si="793"/>
        <v>0</v>
      </c>
    </row>
    <row r="1761" spans="1:16" x14ac:dyDescent="0.2">
      <c r="A1761" s="272"/>
      <c r="B1761" s="225"/>
      <c r="C1761" s="225"/>
      <c r="D1761" s="225"/>
      <c r="E1761" s="225"/>
      <c r="F1761" s="225"/>
      <c r="G1761" s="225"/>
      <c r="H1761" s="201"/>
      <c r="I1761" s="226"/>
      <c r="J1761" s="226"/>
      <c r="K1761" s="226"/>
      <c r="M1761" s="226"/>
      <c r="N1761" s="228"/>
    </row>
    <row r="1762" spans="1:16" x14ac:dyDescent="0.2">
      <c r="A1762" s="260"/>
      <c r="B1762" s="225"/>
      <c r="C1762" s="225"/>
      <c r="D1762" s="225"/>
      <c r="E1762" s="225"/>
      <c r="F1762" s="225"/>
      <c r="G1762" s="225"/>
      <c r="H1762" s="201"/>
      <c r="I1762" s="226"/>
      <c r="J1762" s="226"/>
      <c r="K1762" s="226"/>
      <c r="M1762" s="226"/>
      <c r="N1762" s="228" t="s">
        <v>455</v>
      </c>
      <c r="P1762" s="230">
        <f t="shared" ref="P1762:P1779" si="794">IF(A1762&gt;0,1,0)</f>
        <v>0</v>
      </c>
    </row>
    <row r="1763" spans="1:16" x14ac:dyDescent="0.2">
      <c r="B1763" s="225"/>
      <c r="C1763" s="225"/>
      <c r="D1763" s="225"/>
      <c r="E1763" s="225"/>
      <c r="F1763" s="225"/>
      <c r="G1763" s="225"/>
      <c r="H1763" s="201"/>
      <c r="I1763" s="226"/>
      <c r="J1763" s="226"/>
      <c r="K1763" s="226"/>
      <c r="M1763" s="226"/>
      <c r="N1763" s="228" t="s">
        <v>456</v>
      </c>
      <c r="P1763" s="230">
        <f t="shared" si="794"/>
        <v>0</v>
      </c>
    </row>
    <row r="1764" spans="1:16" x14ac:dyDescent="0.2">
      <c r="B1764" s="225"/>
      <c r="C1764" s="225"/>
      <c r="D1764" s="225"/>
      <c r="E1764" s="225"/>
      <c r="F1764" s="225"/>
      <c r="G1764" s="225"/>
      <c r="H1764" s="201"/>
      <c r="I1764" s="226"/>
      <c r="J1764" s="226"/>
      <c r="K1764" s="226"/>
      <c r="M1764" s="226"/>
      <c r="N1764" s="228" t="s">
        <v>457</v>
      </c>
      <c r="P1764" s="230">
        <f t="shared" si="794"/>
        <v>0</v>
      </c>
    </row>
    <row r="1765" spans="1:16" x14ac:dyDescent="0.2">
      <c r="B1765" s="225"/>
      <c r="C1765" s="225"/>
      <c r="D1765" s="225"/>
      <c r="E1765" s="225"/>
      <c r="F1765" s="225"/>
      <c r="G1765" s="225"/>
      <c r="H1765" s="201"/>
      <c r="I1765" s="226"/>
      <c r="J1765" s="226"/>
      <c r="K1765" s="226"/>
      <c r="L1765" s="226"/>
      <c r="M1765" s="226"/>
      <c r="N1765" s="226"/>
      <c r="P1765" s="230">
        <f t="shared" si="794"/>
        <v>0</v>
      </c>
    </row>
    <row r="1766" spans="1:16" x14ac:dyDescent="0.2">
      <c r="B1766" s="225"/>
      <c r="C1766" s="286" t="s">
        <v>458</v>
      </c>
      <c r="D1766" s="286"/>
      <c r="E1766" s="286"/>
      <c r="F1766" s="286"/>
      <c r="G1766" s="286"/>
      <c r="H1766" s="286"/>
      <c r="I1766" s="286"/>
      <c r="J1766" s="286"/>
      <c r="K1766" s="286"/>
      <c r="L1766" s="286"/>
      <c r="M1766" s="226"/>
      <c r="N1766" s="226"/>
      <c r="P1766" s="230">
        <f t="shared" si="794"/>
        <v>0</v>
      </c>
    </row>
    <row r="1767" spans="1:16" x14ac:dyDescent="0.2">
      <c r="B1767" s="225"/>
      <c r="C1767" s="286" t="s">
        <v>459</v>
      </c>
      <c r="D1767" s="286"/>
      <c r="E1767" s="286"/>
      <c r="F1767" s="286"/>
      <c r="G1767" s="286"/>
      <c r="H1767" s="286"/>
      <c r="I1767" s="286"/>
      <c r="J1767" s="286"/>
      <c r="K1767" s="286"/>
      <c r="L1767" s="286"/>
      <c r="M1767" s="226"/>
      <c r="N1767" s="226"/>
      <c r="P1767" s="230">
        <f t="shared" si="794"/>
        <v>0</v>
      </c>
    </row>
    <row r="1768" spans="1:16" x14ac:dyDescent="0.2">
      <c r="B1768" s="225" t="s">
        <v>460</v>
      </c>
      <c r="C1768" s="234"/>
      <c r="D1768" s="234"/>
      <c r="E1768" s="234"/>
      <c r="F1768" s="234"/>
      <c r="G1768" s="234"/>
      <c r="H1768" s="234"/>
      <c r="I1768" s="235"/>
      <c r="J1768" s="235"/>
      <c r="K1768" s="235"/>
      <c r="L1768" s="287" t="s">
        <v>461</v>
      </c>
      <c r="M1768" s="287"/>
      <c r="N1768" s="287"/>
      <c r="P1768" s="230">
        <f t="shared" si="794"/>
        <v>0</v>
      </c>
    </row>
    <row r="1769" spans="1:16" x14ac:dyDescent="0.2">
      <c r="B1769" s="225"/>
      <c r="C1769" s="234"/>
      <c r="D1769" s="234"/>
      <c r="E1769" s="234"/>
      <c r="F1769" s="234"/>
      <c r="G1769" s="234"/>
      <c r="H1769" s="234"/>
      <c r="I1769" s="235"/>
      <c r="J1769" s="235"/>
      <c r="K1769" s="235"/>
      <c r="L1769" s="235"/>
      <c r="M1769" s="235"/>
      <c r="N1769" s="235"/>
      <c r="P1769" s="230">
        <f t="shared" si="794"/>
        <v>0</v>
      </c>
    </row>
    <row r="1770" spans="1:16" x14ac:dyDescent="0.2">
      <c r="B1770" s="225" t="s">
        <v>2038</v>
      </c>
      <c r="C1770" s="234"/>
      <c r="D1770" s="234"/>
      <c r="E1770" s="234"/>
      <c r="F1770" s="234"/>
      <c r="G1770" s="234"/>
      <c r="H1770" s="234"/>
      <c r="I1770" s="235"/>
      <c r="J1770" s="235"/>
      <c r="K1770" s="235"/>
      <c r="L1770" s="235"/>
      <c r="M1770" s="235"/>
      <c r="N1770" s="235"/>
      <c r="P1770" s="230">
        <f t="shared" si="794"/>
        <v>0</v>
      </c>
    </row>
    <row r="1771" spans="1:16" x14ac:dyDescent="0.2">
      <c r="B1771" s="225" t="s">
        <v>462</v>
      </c>
      <c r="C1771" s="234"/>
      <c r="D1771" s="234"/>
      <c r="E1771" s="234"/>
      <c r="F1771" s="234"/>
      <c r="G1771" s="234"/>
      <c r="H1771" s="234"/>
      <c r="I1771" s="235"/>
      <c r="J1771" s="235"/>
      <c r="K1771" s="235"/>
      <c r="L1771" s="235"/>
      <c r="M1771" s="235"/>
      <c r="N1771" s="235"/>
      <c r="P1771" s="230">
        <f t="shared" si="794"/>
        <v>0</v>
      </c>
    </row>
    <row r="1772" spans="1:16" x14ac:dyDescent="0.2">
      <c r="B1772" s="225" t="s">
        <v>2037</v>
      </c>
      <c r="C1772" s="234"/>
      <c r="D1772" s="234"/>
      <c r="E1772" s="234"/>
      <c r="F1772" s="234"/>
      <c r="G1772" s="234"/>
      <c r="H1772" s="234"/>
      <c r="I1772" s="235"/>
      <c r="J1772" s="235"/>
      <c r="K1772" s="235"/>
      <c r="L1772" s="235"/>
      <c r="M1772" s="235"/>
      <c r="N1772" s="235"/>
      <c r="P1772" s="230">
        <f t="shared" si="794"/>
        <v>0</v>
      </c>
    </row>
    <row r="1773" spans="1:16" x14ac:dyDescent="0.2">
      <c r="B1773" s="225" t="s">
        <v>2052</v>
      </c>
      <c r="C1773" s="234"/>
      <c r="D1773" s="234"/>
      <c r="E1773" s="234"/>
      <c r="F1773" s="234"/>
      <c r="G1773" s="234"/>
      <c r="H1773" s="234"/>
      <c r="I1773" s="235"/>
      <c r="J1773" s="235"/>
      <c r="K1773" s="235"/>
      <c r="L1773" s="235"/>
      <c r="M1773" s="235"/>
      <c r="N1773" s="235"/>
      <c r="P1773" s="230">
        <f t="shared" si="794"/>
        <v>0</v>
      </c>
    </row>
    <row r="1774" spans="1:16" x14ac:dyDescent="0.2">
      <c r="B1774" s="225"/>
      <c r="C1774" s="225"/>
      <c r="D1774" s="225"/>
      <c r="E1774" s="225"/>
      <c r="F1774" s="225"/>
      <c r="G1774" s="225"/>
      <c r="H1774" s="201"/>
      <c r="I1774" s="226"/>
      <c r="J1774" s="226"/>
      <c r="K1774" s="226"/>
      <c r="L1774" s="226"/>
      <c r="M1774" s="226"/>
      <c r="N1774" s="226"/>
      <c r="P1774" s="230">
        <f t="shared" si="794"/>
        <v>0</v>
      </c>
    </row>
    <row r="1775" spans="1:16" x14ac:dyDescent="0.2">
      <c r="B1775" s="288" t="s">
        <v>106</v>
      </c>
      <c r="C1775" s="290" t="s">
        <v>463</v>
      </c>
      <c r="D1775" s="288" t="s">
        <v>464</v>
      </c>
      <c r="E1775" s="288" t="s">
        <v>465</v>
      </c>
      <c r="F1775" s="288" t="s">
        <v>490</v>
      </c>
      <c r="G1775" s="288" t="s">
        <v>466</v>
      </c>
      <c r="H1775" s="292" t="s">
        <v>8</v>
      </c>
      <c r="I1775" s="294" t="s">
        <v>467</v>
      </c>
      <c r="J1775" s="295"/>
      <c r="K1775" s="295"/>
      <c r="L1775" s="296"/>
      <c r="M1775" s="297" t="s">
        <v>468</v>
      </c>
      <c r="N1775" s="299" t="s">
        <v>469</v>
      </c>
      <c r="P1775" s="230">
        <f t="shared" si="794"/>
        <v>0</v>
      </c>
    </row>
    <row r="1776" spans="1:16" x14ac:dyDescent="0.2">
      <c r="B1776" s="289"/>
      <c r="C1776" s="291"/>
      <c r="D1776" s="289"/>
      <c r="E1776" s="289"/>
      <c r="F1776" s="289"/>
      <c r="G1776" s="289"/>
      <c r="H1776" s="293"/>
      <c r="I1776" s="236" t="s">
        <v>470</v>
      </c>
      <c r="J1776" s="236" t="s">
        <v>471</v>
      </c>
      <c r="K1776" s="236" t="s">
        <v>472</v>
      </c>
      <c r="L1776" s="236" t="s">
        <v>473</v>
      </c>
      <c r="M1776" s="298"/>
      <c r="N1776" s="300"/>
      <c r="P1776" s="230">
        <f t="shared" si="794"/>
        <v>0</v>
      </c>
    </row>
    <row r="1777" spans="1:43" x14ac:dyDescent="0.2">
      <c r="A1777" s="224" t="str">
        <f>CONCATENATE("Лот"," ",A1778)</f>
        <v>Лот 33</v>
      </c>
      <c r="B1777" s="273" t="s">
        <v>2087</v>
      </c>
      <c r="C1777" s="274"/>
      <c r="D1777" s="274"/>
      <c r="E1777" s="274"/>
      <c r="F1777" s="274"/>
      <c r="G1777" s="275"/>
      <c r="H1777" s="238" t="s">
        <v>17</v>
      </c>
      <c r="I1777" s="270">
        <f ca="1">ROUND(VLOOKUP($H1777,$AJ$4:$AN$13,2,0)*$Q1779*1.51,2)</f>
        <v>120.15</v>
      </c>
      <c r="J1777" s="270">
        <f ca="1">ROUND(VLOOKUP($H1777,$AJ$4:$AN$13,3,0)*$Q1779*1.51,2)</f>
        <v>85.62</v>
      </c>
      <c r="K1777" s="270">
        <f ca="1">ROUND(VLOOKUP($H1777,$AJ$4:$AN$13,4,0)*$Q1779*1.51,2)</f>
        <v>43.38</v>
      </c>
      <c r="L1777" s="270"/>
      <c r="M1777" s="270">
        <f ca="1">ROUND(VLOOKUP($H1777,$AJ$4:$AN$13,5,0)*$Q1779*1.51,2)</f>
        <v>6.85</v>
      </c>
      <c r="N1777" s="270"/>
      <c r="P1777" s="230">
        <f t="shared" si="794"/>
        <v>1</v>
      </c>
    </row>
    <row r="1778" spans="1:43" x14ac:dyDescent="0.2">
      <c r="A1778" s="224">
        <f>A1723+1</f>
        <v>33</v>
      </c>
      <c r="B1778" s="276"/>
      <c r="C1778" s="277"/>
      <c r="D1778" s="277"/>
      <c r="E1778" s="277"/>
      <c r="F1778" s="277"/>
      <c r="G1778" s="278"/>
      <c r="H1778" s="238" t="s">
        <v>25</v>
      </c>
      <c r="I1778" s="270">
        <f ca="1">ROUND(VLOOKUP($H1778,$AJ$4:$AN$13,2,0)*$Q1779*1.51,2)</f>
        <v>898.69</v>
      </c>
      <c r="J1778" s="270">
        <f ca="1">ROUND(VLOOKUP($H1778,$AJ$4:$AN$13,3,0)*$Q1779*1.51,2)</f>
        <v>642.13</v>
      </c>
      <c r="K1778" s="270">
        <f ca="1">ROUND(VLOOKUP($H1778,$AJ$4:$AN$13,4,0)*$Q1779*1.51,2)</f>
        <v>323.06</v>
      </c>
      <c r="L1778" s="270"/>
      <c r="M1778" s="270">
        <f ca="1">ROUND(VLOOKUP($H1778,$AJ$4:$AN$13,5,0)*$Q1779*1.51,2)</f>
        <v>27.97</v>
      </c>
      <c r="N1778" s="270"/>
      <c r="P1778" s="230">
        <f t="shared" si="794"/>
        <v>1</v>
      </c>
      <c r="Q1778" s="240" t="s">
        <v>2045</v>
      </c>
      <c r="R1778" s="240" t="s">
        <v>2046</v>
      </c>
    </row>
    <row r="1779" spans="1:43" x14ac:dyDescent="0.2">
      <c r="B1779" s="276"/>
      <c r="C1779" s="277"/>
      <c r="D1779" s="277"/>
      <c r="E1779" s="277"/>
      <c r="F1779" s="277"/>
      <c r="G1779" s="278"/>
      <c r="H1779" s="238" t="s">
        <v>19</v>
      </c>
      <c r="I1779" s="270">
        <f ca="1">ROUND(VLOOKUP($H1779,$AJ$4:$AN$13,2,0)*$Q1779*1.51,2)</f>
        <v>71.349999999999994</v>
      </c>
      <c r="J1779" s="270">
        <f ca="1">ROUND(VLOOKUP($H1779,$AJ$4:$AN$13,3,0)*$Q1779*1.51,2)</f>
        <v>51.94</v>
      </c>
      <c r="K1779" s="270">
        <f ca="1">ROUND(VLOOKUP($H1779,$AJ$4:$AN$13,4,0)*$Q1779*1.51,2)</f>
        <v>26.54</v>
      </c>
      <c r="L1779" s="270"/>
      <c r="M1779" s="270">
        <f ca="1">ROUND(VLOOKUP($H1779,$AJ$4:$AN$13,5,0)*$Q1779*1.51,2)</f>
        <v>1.43</v>
      </c>
      <c r="N1779" s="270"/>
      <c r="P1779" s="230">
        <f t="shared" si="794"/>
        <v>0</v>
      </c>
      <c r="Q1779" s="123">
        <f ca="1">IFERROR(IF(R1779="","",IF(OR(R1779&lt;100,R1779=100),0.9,IF(OR(AND(R1779&gt;100,R1779&lt;150),R1779=150),1,IF(R1779&gt;150,1.05,"")))),"0")</f>
        <v>1.05</v>
      </c>
      <c r="R1779" s="123">
        <f ca="1">N1795/G1783</f>
        <v>238.71612903225804</v>
      </c>
    </row>
    <row r="1780" spans="1:43" x14ac:dyDescent="0.2">
      <c r="B1780" s="276"/>
      <c r="C1780" s="277"/>
      <c r="D1780" s="277"/>
      <c r="E1780" s="277"/>
      <c r="F1780" s="277"/>
      <c r="G1780" s="278"/>
      <c r="H1780" s="238" t="s">
        <v>268</v>
      </c>
      <c r="I1780" s="270">
        <f ca="1">ROUND(VLOOKUP($H1780,$AJ$4:$AN$13,2,0)*$Q1779*1.51,2)</f>
        <v>898.69</v>
      </c>
      <c r="J1780" s="270">
        <f ca="1">ROUND(VLOOKUP($H1780,$AJ$4:$AN$13,3,0)*$Q1779*1.51,2)</f>
        <v>642.13</v>
      </c>
      <c r="K1780" s="270">
        <f ca="1">ROUND(VLOOKUP($H1780,$AJ$4:$AN$13,4,0)*$Q1779*1.51,2)</f>
        <v>323.06</v>
      </c>
      <c r="L1780" s="270"/>
      <c r="M1780" s="270">
        <f ca="1">ROUND(VLOOKUP($H1780,$AJ$4:$AN$13,5,0)*$Q1779*1.51,2)</f>
        <v>27.97</v>
      </c>
      <c r="N1780" s="270"/>
    </row>
    <row r="1781" spans="1:43" x14ac:dyDescent="0.2">
      <c r="B1781" s="276"/>
      <c r="C1781" s="277"/>
      <c r="D1781" s="277"/>
      <c r="E1781" s="277"/>
      <c r="F1781" s="277"/>
      <c r="G1781" s="278"/>
      <c r="H1781" s="238" t="s">
        <v>40</v>
      </c>
      <c r="I1781" s="270">
        <f ca="1">ROUND(VLOOKUP($H1781,$AJ$4:$AN$13,2,0)*$Q1779*1.51,2)</f>
        <v>71.349999999999994</v>
      </c>
      <c r="J1781" s="270">
        <f ca="1">ROUND(VLOOKUP($H1781,$AJ$4:$AN$13,3,0)*$Q1779*1.51,2)</f>
        <v>51.94</v>
      </c>
      <c r="K1781" s="270">
        <f ca="1">ROUND(VLOOKUP($H1781,$AJ$4:$AN$13,4,0)*$Q1779*1.51,2)</f>
        <v>26.54</v>
      </c>
      <c r="L1781" s="270"/>
      <c r="M1781" s="270">
        <f ca="1">ROUND(VLOOKUP($H1781,$AJ$4:$AN$13,5,0)*$Q1779*1.51,2)</f>
        <v>1.43</v>
      </c>
      <c r="N1781" s="270"/>
      <c r="P1781" s="230">
        <f t="shared" ref="P1781:P1794" si="795">IF(A1781&gt;0,1,0)</f>
        <v>0</v>
      </c>
    </row>
    <row r="1782" spans="1:43" x14ac:dyDescent="0.2">
      <c r="B1782" s="279"/>
      <c r="C1782" s="280"/>
      <c r="D1782" s="280"/>
      <c r="E1782" s="280"/>
      <c r="F1782" s="280"/>
      <c r="G1782" s="281"/>
      <c r="H1782" s="238" t="s">
        <v>18</v>
      </c>
      <c r="I1782" s="270">
        <f ca="1">ROUND(VLOOKUP($H1782,$AJ$4:$AN$13,2,0)*$Q1779*1.51,2)</f>
        <v>22.83</v>
      </c>
      <c r="J1782" s="270">
        <f ca="1">ROUND(VLOOKUP($H1782,$AJ$4:$AN$13,3,0)*$Q1779*1.51,2)</f>
        <v>17.41</v>
      </c>
      <c r="K1782" s="270">
        <f ca="1">ROUND(VLOOKUP($H1782,$AJ$4:$AN$13,4,0)*$Q1779*1.51,2)</f>
        <v>8.85</v>
      </c>
      <c r="L1782" s="270"/>
      <c r="M1782" s="270">
        <f ca="1">ROUND(VLOOKUP($H1782,$AJ$4:$AN$13,5,0)*$Q1779*1.51*1,2)</f>
        <v>0.56999999999999995</v>
      </c>
      <c r="N1782" s="270"/>
      <c r="P1782" s="230">
        <f t="shared" si="795"/>
        <v>0</v>
      </c>
      <c r="AP1782" s="241" t="s">
        <v>2053</v>
      </c>
      <c r="AQ1782" s="242"/>
    </row>
    <row r="1783" spans="1:43" x14ac:dyDescent="0.2">
      <c r="A1783" s="224">
        <f>A1728+37</f>
        <v>1184</v>
      </c>
      <c r="B1783" s="243" t="str">
        <f ca="1">OFFSET(ЛОТЫ!$L$5,A1783,0,1,1)</f>
        <v>Тимерликовское</v>
      </c>
      <c r="C1783" s="244" t="s">
        <v>474</v>
      </c>
      <c r="D1783" s="243">
        <f ca="1">OFFSET(ЛОТЫ!$M$5,A1783,0,1,1)</f>
        <v>11</v>
      </c>
      <c r="E1783" s="243">
        <f ca="1">OFFSET(ЛОТЫ!$N$5,A1783,0,1,1)</f>
        <v>8</v>
      </c>
      <c r="F1783" s="243">
        <f ca="1">OFFSET(ЛОТЫ!$O$5,A1783,0,1,1)</f>
        <v>3</v>
      </c>
      <c r="G1783" s="271">
        <f ca="1">IFERROR(INDEX('Ведомость расчета мин. платы'!$G$10:$AC$214,MATCH(CONCATENATE(B1783,"/",D1783,"/",E1783,"/",F1783),'Ведомость расчета мин. платы'!$AC$10:$AC$214,0),1),"")</f>
        <v>3.1</v>
      </c>
      <c r="H1783" s="246" t="s">
        <v>17</v>
      </c>
      <c r="I1783" s="247">
        <f ca="1">IFERROR(INDEX('Ведомость расчета мин. платы'!$J$10:$AE$214,MATCH(CONCATENATE(РАСЧЕТ!B1783,"/",РАСЧЕТ!D1783,"/",РАСЧЕТ!E1783,"/",F1783,"/",H1783),'Ведомость расчета мин. платы'!$AE$10:$AE$214,0),2),"")</f>
        <v>18.3</v>
      </c>
      <c r="J1783" s="247">
        <f ca="1">IFERROR(INDEX('Ведомость расчета мин. платы'!$J$10:$AE$214,MATCH(CONCATENATE(РАСЧЕТ!B1783,"/",РАСЧЕТ!D1783,"/",РАСЧЕТ!E1783,"/",F1783,"/",H1783),'Ведомость расчета мин. платы'!$AE$10:$AE$214,0),3),"")</f>
        <v>96.78</v>
      </c>
      <c r="K1783" s="247">
        <f ca="1">IFERROR(INDEX('Ведомость расчета мин. платы'!$J$10:$AE$214,MATCH(CONCATENATE(РАСЧЕТ!B1783,"/",РАСЧЕТ!D1783,"/",РАСЧЕТ!E1783,"/",F1783,"/",H1783),'Ведомость расчета мин. платы'!$AE$10:$AE$214,0),4),"")</f>
        <v>30.48</v>
      </c>
      <c r="L1783" s="248">
        <f t="shared" ref="L1783:L1795" ca="1" si="796">IFERROR(SUM(I1783:K1783),"")</f>
        <v>145.56</v>
      </c>
      <c r="M1783" s="214">
        <f ca="1">IFERROR(INDEX('Ведомость расчета мин. платы'!$J$10:$AE$214,MATCH(CONCATENATE(РАСЧЕТ!B1783,"/",РАСЧЕТ!D1783,"/",РАСЧЕТ!E1783,"/",F1783,"/",H1783),'Ведомость расчета мин. платы'!$AE$10:$AE$214,0),6),"")</f>
        <v>83.58</v>
      </c>
      <c r="N1783" s="214">
        <f t="shared" ref="N1783:N1795" ca="1" si="797">IFERROR(SUM(L1783:M1783),"")</f>
        <v>229.14</v>
      </c>
      <c r="O1783" s="229">
        <f>IF(H1783="стоимость","",1)</f>
        <v>1</v>
      </c>
      <c r="P1783" s="230">
        <f t="shared" si="795"/>
        <v>1</v>
      </c>
      <c r="AP1783" s="242"/>
      <c r="AQ1783" s="242"/>
    </row>
    <row r="1784" spans="1:43" x14ac:dyDescent="0.2">
      <c r="B1784" s="249"/>
      <c r="C1784" s="249"/>
      <c r="D1784" s="249"/>
      <c r="E1784" s="249"/>
      <c r="F1784" s="249"/>
      <c r="G1784" s="249"/>
      <c r="H1784" s="250" t="s">
        <v>475</v>
      </c>
      <c r="I1784" s="251">
        <f ca="1">IFERROR(ROUND(I1783*I1777,2),"")</f>
        <v>2198.75</v>
      </c>
      <c r="J1784" s="251">
        <f t="shared" ref="J1784" ca="1" si="798">IFERROR(ROUND(J1783*J1777,2),"")</f>
        <v>8286.2999999999993</v>
      </c>
      <c r="K1784" s="251">
        <f t="shared" ref="K1784" ca="1" si="799">IFERROR(ROUND(K1783*K1777,2),"")</f>
        <v>1322.22</v>
      </c>
      <c r="L1784" s="251">
        <f t="shared" ca="1" si="796"/>
        <v>11807.269999999999</v>
      </c>
      <c r="M1784" s="251">
        <v>572.5300000000002</v>
      </c>
      <c r="N1784" s="252">
        <f t="shared" ca="1" si="797"/>
        <v>12379.8</v>
      </c>
      <c r="O1784" s="229" t="str">
        <f t="shared" ref="O1784:O1794" si="800">IF(H1784="стоимость","",1)</f>
        <v/>
      </c>
      <c r="P1784" s="230">
        <f t="shared" si="795"/>
        <v>0</v>
      </c>
      <c r="AP1784" s="242">
        <f ca="1">SUMIFS('Ведомость расчета мин. платы'!$S$10:$S$209,'Ведомость расчета мин. платы'!$AE$10:$AE$209,CONCATENATE(B1783,"/",D1783,"/",E1783,"/",F1783,"/",H1783))</f>
        <v>12379.8</v>
      </c>
      <c r="AQ1784" s="253">
        <f t="shared" ref="AQ1784" ca="1" si="801">AP1784-N1784</f>
        <v>0</v>
      </c>
    </row>
    <row r="1785" spans="1:43" x14ac:dyDescent="0.2">
      <c r="B1785" s="249"/>
      <c r="C1785" s="249"/>
      <c r="D1785" s="249"/>
      <c r="E1785" s="249"/>
      <c r="F1785" s="249"/>
      <c r="G1785" s="249"/>
      <c r="H1785" s="246" t="s">
        <v>25</v>
      </c>
      <c r="I1785" s="247" t="str">
        <f ca="1">IFERROR(INDEX('Ведомость расчета мин. платы'!$J$10:$AE$214,MATCH(CONCATENATE(РАСЧЕТ!B1783,"/",РАСЧЕТ!D1783,"/",РАСЧЕТ!E1783,"/",F1783,"/",H1785),'Ведомость расчета мин. платы'!$AE$10:$AE$214,0),2),"")</f>
        <v/>
      </c>
      <c r="J1785" s="247" t="str">
        <f ca="1">IFERROR(INDEX('Ведомость расчета мин. платы'!$J$10:$AE$214,MATCH(CONCATENATE(РАСЧЕТ!B1783,"/",РАСЧЕТ!D1783,"/",РАСЧЕТ!E1783,"/",F1783,"/",H1785),'Ведомость расчета мин. платы'!$AE$10:$AE$214,0),3),"")</f>
        <v/>
      </c>
      <c r="K1785" s="247" t="str">
        <f ca="1">IFERROR(INDEX('Ведомость расчета мин. платы'!$J$10:$AE$214,MATCH(CONCATENATE(РАСЧЕТ!B1783,"/",РАСЧЕТ!D1783,"/",РАСЧЕТ!E1783,"/",F1783,"/",H1785),'Ведомость расчета мин. платы'!$AE$10:$AE$214,0),4),"")</f>
        <v/>
      </c>
      <c r="L1785" s="248">
        <f t="shared" ca="1" si="796"/>
        <v>0</v>
      </c>
      <c r="M1785" s="214" t="str">
        <f ca="1">IFERROR(INDEX('Ведомость расчета мин. платы'!$J$10:$AE$214,MATCH(CONCATENATE(РАСЧЕТ!B1783,"/",РАСЧЕТ!D1783,"/",РАСЧЕТ!E1783,"/",F1783,"/",H1785),'Ведомость расчета мин. платы'!$AE$10:$AE$214,0),6),"")</f>
        <v/>
      </c>
      <c r="N1785" s="214">
        <f t="shared" ca="1" si="797"/>
        <v>0</v>
      </c>
      <c r="O1785" s="229">
        <f t="shared" si="800"/>
        <v>1</v>
      </c>
      <c r="P1785" s="230">
        <f t="shared" si="795"/>
        <v>0</v>
      </c>
      <c r="AP1785" s="242"/>
      <c r="AQ1785" s="253"/>
    </row>
    <row r="1786" spans="1:43" x14ac:dyDescent="0.2">
      <c r="B1786" s="249"/>
      <c r="C1786" s="249"/>
      <c r="D1786" s="249"/>
      <c r="E1786" s="249"/>
      <c r="F1786" s="249"/>
      <c r="G1786" s="249"/>
      <c r="H1786" s="250" t="s">
        <v>475</v>
      </c>
      <c r="I1786" s="251" t="str">
        <f ca="1">IFERROR(ROUND(I1785*I1778,2),"")</f>
        <v/>
      </c>
      <c r="J1786" s="251" t="str">
        <f t="shared" ref="J1786" ca="1" si="802">IFERROR(ROUND(J1785*J1778,2),"")</f>
        <v/>
      </c>
      <c r="K1786" s="251" t="str">
        <f t="shared" ref="K1786" ca="1" si="803">IFERROR(ROUND(K1785*K1778,2),"")</f>
        <v/>
      </c>
      <c r="L1786" s="251">
        <f t="shared" ca="1" si="796"/>
        <v>0</v>
      </c>
      <c r="M1786" s="251" t="str">
        <f t="shared" ref="M1786" ca="1" si="804">IFERROR(ROUND(M1785*M1778,2),"")</f>
        <v/>
      </c>
      <c r="N1786" s="252">
        <f t="shared" ca="1" si="797"/>
        <v>0</v>
      </c>
      <c r="O1786" s="229" t="str">
        <f t="shared" si="800"/>
        <v/>
      </c>
      <c r="P1786" s="230">
        <f t="shared" si="795"/>
        <v>0</v>
      </c>
      <c r="AP1786" s="242">
        <f ca="1">SUMIFS('Ведомость расчета мин. платы'!$S$10:$S$209,'Ведомость расчета мин. платы'!$AE$10:$AE$209,CONCATENATE(B1783,"/",D1783,"/",E1783,"/",F1783,"/",H1785))</f>
        <v>0</v>
      </c>
      <c r="AQ1786" s="253">
        <f t="shared" ref="AQ1786" ca="1" si="805">AP1786-N1786</f>
        <v>0</v>
      </c>
    </row>
    <row r="1787" spans="1:43" x14ac:dyDescent="0.2">
      <c r="B1787" s="249"/>
      <c r="C1787" s="249"/>
      <c r="D1787" s="249"/>
      <c r="E1787" s="249"/>
      <c r="F1787" s="249"/>
      <c r="G1787" s="249"/>
      <c r="H1787" s="205" t="s">
        <v>19</v>
      </c>
      <c r="I1787" s="248" t="str">
        <f ca="1">IFERROR(INDEX('Ведомость расчета мин. платы'!$J$10:$AE$214,MATCH(CONCATENATE(РАСЧЕТ!B1783,"/",РАСЧЕТ!D1783,"/",РАСЧЕТ!E1783,"/",F1783,"/",H1787),'Ведомость расчета мин. платы'!$AE$10:$AE$214,0),2),"")</f>
        <v/>
      </c>
      <c r="J1787" s="248" t="str">
        <f ca="1">IFERROR(INDEX('Ведомость расчета мин. платы'!$J$10:$AE$214,MATCH(CONCATENATE(РАСЧЕТ!B1783,"/",РАСЧЕТ!D1783,"/",РАСЧЕТ!E1783,"/",F1783,"/",H1787),'Ведомость расчета мин. платы'!$AE$10:$AE$214,0),3),"")</f>
        <v/>
      </c>
      <c r="K1787" s="248" t="str">
        <f ca="1">IFERROR(INDEX('Ведомость расчета мин. платы'!$J$10:$AE$214,MATCH(CONCATENATE(РАСЧЕТ!B1783,"/",РАСЧЕТ!D1783,"/",РАСЧЕТ!E1783,"/",F1783,"/",H1787),'Ведомость расчета мин. платы'!$AE$10:$AE$214,0),4),"")</f>
        <v/>
      </c>
      <c r="L1787" s="248">
        <f t="shared" ca="1" si="796"/>
        <v>0</v>
      </c>
      <c r="M1787" s="248" t="str">
        <f ca="1">IFERROR(INDEX('Ведомость расчета мин. платы'!$J$10:$AE$214,MATCH(CONCATENATE(РАСЧЕТ!B1783,"/",РАСЧЕТ!D1783,"/",РАСЧЕТ!E1783,"/",F1783,"/",H1787),'Ведомость расчета мин. платы'!$AE$10:$AE$214,0),6),"")</f>
        <v/>
      </c>
      <c r="N1787" s="214">
        <f t="shared" ca="1" si="797"/>
        <v>0</v>
      </c>
      <c r="O1787" s="229">
        <f t="shared" si="800"/>
        <v>1</v>
      </c>
      <c r="P1787" s="230">
        <f t="shared" si="795"/>
        <v>0</v>
      </c>
      <c r="AP1787" s="242"/>
      <c r="AQ1787" s="253"/>
    </row>
    <row r="1788" spans="1:43" x14ac:dyDescent="0.2">
      <c r="B1788" s="249"/>
      <c r="C1788" s="249"/>
      <c r="D1788" s="249"/>
      <c r="E1788" s="249"/>
      <c r="F1788" s="249"/>
      <c r="G1788" s="249"/>
      <c r="H1788" s="250" t="s">
        <v>475</v>
      </c>
      <c r="I1788" s="251" t="str">
        <f ca="1">IFERROR(ROUND(I1787*I1779,2),"")</f>
        <v/>
      </c>
      <c r="J1788" s="251" t="str">
        <f t="shared" ref="J1788" ca="1" si="806">IFERROR(ROUND(J1787*J1779,2),"")</f>
        <v/>
      </c>
      <c r="K1788" s="251" t="str">
        <f t="shared" ref="K1788" ca="1" si="807">IFERROR(ROUND(K1787*K1779,2),"")</f>
        <v/>
      </c>
      <c r="L1788" s="251">
        <f t="shared" ca="1" si="796"/>
        <v>0</v>
      </c>
      <c r="M1788" s="251" t="str">
        <f t="shared" ref="M1788" ca="1" si="808">IFERROR(ROUND(M1787*M1779,2),"")</f>
        <v/>
      </c>
      <c r="N1788" s="252">
        <f t="shared" ca="1" si="797"/>
        <v>0</v>
      </c>
      <c r="O1788" s="229" t="str">
        <f t="shared" si="800"/>
        <v/>
      </c>
      <c r="P1788" s="230">
        <f t="shared" si="795"/>
        <v>0</v>
      </c>
      <c r="AP1788" s="242">
        <f ca="1">SUMIFS('Ведомость расчета мин. платы'!$S$10:$S$209,'Ведомость расчета мин. платы'!$AE$10:$AE$209,CONCATENATE(B1783,"/",D1783,"/",E1783,"/",F1783,"/",H1787))</f>
        <v>0</v>
      </c>
      <c r="AQ1788" s="253">
        <f t="shared" ref="AQ1788" ca="1" si="809">AP1788-N1788</f>
        <v>0</v>
      </c>
    </row>
    <row r="1789" spans="1:43" x14ac:dyDescent="0.2">
      <c r="B1789" s="249"/>
      <c r="C1789" s="249"/>
      <c r="D1789" s="249"/>
      <c r="E1789" s="249"/>
      <c r="F1789" s="249"/>
      <c r="G1789" s="249"/>
      <c r="H1789" s="205" t="s">
        <v>268</v>
      </c>
      <c r="I1789" s="248" t="str">
        <f ca="1">IFERROR(INDEX('Ведомость расчета мин. платы'!$J$10:$AE$214,MATCH(CONCATENATE(РАСЧЕТ!B1783,"/",РАСЧЕТ!D1783,"/",РАСЧЕТ!E1783,"/",F1783,"/",H1789),'Ведомость расчета мин. платы'!$AE$10:$AE$214,0),2),"")</f>
        <v/>
      </c>
      <c r="J1789" s="248" t="str">
        <f ca="1">IFERROR(INDEX('Ведомость расчета мин. платы'!$J$10:$AE$214,MATCH(CONCATENATE(РАСЧЕТ!B1783,"/",РАСЧЕТ!D1783,"/",РАСЧЕТ!E1783,"/",F1783,"/",H1789),'Ведомость расчета мин. платы'!$AE$10:$AE$214,0),3),"")</f>
        <v/>
      </c>
      <c r="K1789" s="248" t="str">
        <f ca="1">IFERROR(INDEX('Ведомость расчета мин. платы'!$J$10:$AE$214,MATCH(CONCATENATE(РАСЧЕТ!B1783,"/",РАСЧЕТ!D1783,"/",РАСЧЕТ!E1783,"/",F1783,"/",H1789),'Ведомость расчета мин. платы'!$AE$10:$AE$214,0),4),"")</f>
        <v/>
      </c>
      <c r="L1789" s="248">
        <f t="shared" ca="1" si="796"/>
        <v>0</v>
      </c>
      <c r="M1789" s="248" t="str">
        <f ca="1">IFERROR(INDEX('Ведомость расчета мин. платы'!$J$10:$AE$214,MATCH(CONCATENATE(РАСЧЕТ!B1783,"/",РАСЧЕТ!D1783,"/",РАСЧЕТ!E1783,"/",F1783,"/",H1789),'Ведомость расчета мин. платы'!$AE$10:$AE$214,0),6),"")</f>
        <v/>
      </c>
      <c r="N1789" s="214">
        <f t="shared" ca="1" si="797"/>
        <v>0</v>
      </c>
      <c r="O1789" s="229">
        <f t="shared" si="800"/>
        <v>1</v>
      </c>
      <c r="P1789" s="230">
        <f t="shared" si="795"/>
        <v>0</v>
      </c>
      <c r="AP1789" s="242"/>
      <c r="AQ1789" s="253"/>
    </row>
    <row r="1790" spans="1:43" x14ac:dyDescent="0.2">
      <c r="B1790" s="249"/>
      <c r="C1790" s="249"/>
      <c r="D1790" s="249"/>
      <c r="E1790" s="249"/>
      <c r="F1790" s="249"/>
      <c r="G1790" s="249"/>
      <c r="H1790" s="250" t="s">
        <v>475</v>
      </c>
      <c r="I1790" s="251" t="str">
        <f ca="1">IFERROR(ROUND(I1789*I1782,2),"")</f>
        <v/>
      </c>
      <c r="J1790" s="251" t="str">
        <f ca="1">IFERROR(ROUND(J1789*J1780,2),"")</f>
        <v/>
      </c>
      <c r="K1790" s="251" t="str">
        <f ca="1">IFERROR(ROUND(K1789*K1780,2),"")</f>
        <v/>
      </c>
      <c r="L1790" s="251">
        <f t="shared" ca="1" si="796"/>
        <v>0</v>
      </c>
      <c r="M1790" s="251" t="str">
        <f ca="1">IFERROR(ROUND(M1789*M1780,2),"")</f>
        <v/>
      </c>
      <c r="N1790" s="252">
        <f t="shared" ca="1" si="797"/>
        <v>0</v>
      </c>
      <c r="O1790" s="229" t="str">
        <f t="shared" si="800"/>
        <v/>
      </c>
      <c r="P1790" s="230">
        <f t="shared" si="795"/>
        <v>0</v>
      </c>
      <c r="AP1790" s="242">
        <f ca="1">SUMIFS('Ведомость расчета мин. платы'!$S$10:$S$209,'Ведомость расчета мин. платы'!$AE$10:$AE$209,CONCATENATE(B1783,"/",D1783,"/",E1783,"/",F1783,"/",H1789))</f>
        <v>0</v>
      </c>
      <c r="AQ1790" s="253">
        <f t="shared" ref="AQ1790" ca="1" si="810">AP1790-N1790</f>
        <v>0</v>
      </c>
    </row>
    <row r="1791" spans="1:43" x14ac:dyDescent="0.2">
      <c r="B1791" s="249"/>
      <c r="C1791" s="249"/>
      <c r="D1791" s="249"/>
      <c r="E1791" s="249"/>
      <c r="F1791" s="249"/>
      <c r="G1791" s="249"/>
      <c r="H1791" s="205" t="s">
        <v>40</v>
      </c>
      <c r="I1791" s="248" t="str">
        <f ca="1">IFERROR(INDEX('Ведомость расчета мин. платы'!$J$10:$AE$214,MATCH(CONCATENATE(РАСЧЕТ!B1783,"/",РАСЧЕТ!D1783,"/",РАСЧЕТ!E1783,"/",F1783,"/",H1791),'Ведомость расчета мин. платы'!$AE$10:$AE$214,0),2),"")</f>
        <v/>
      </c>
      <c r="J1791" s="248" t="str">
        <f ca="1">IFERROR(INDEX('Ведомость расчета мин. платы'!$J$10:$AE$214,MATCH(CONCATENATE(РАСЧЕТ!B1783,"/",РАСЧЕТ!D1783,"/",РАСЧЕТ!E1783,"/",F1783,"/",H1791),'Ведомость расчета мин. платы'!$AE$10:$AE$214,0),3),"")</f>
        <v/>
      </c>
      <c r="K1791" s="248" t="str">
        <f ca="1">IFERROR(INDEX('Ведомость расчета мин. платы'!$J$10:$AE$214,MATCH(CONCATENATE(РАСЧЕТ!B1783,"/",РАСЧЕТ!D1783,"/",РАСЧЕТ!E1783,"/",F1783,"/",H1791),'Ведомость расчета мин. платы'!$AE$10:$AE$214,0),4),"")</f>
        <v/>
      </c>
      <c r="L1791" s="248">
        <f t="shared" ca="1" si="796"/>
        <v>0</v>
      </c>
      <c r="M1791" s="248" t="str">
        <f ca="1">IFERROR(INDEX('Ведомость расчета мин. платы'!$J$10:$AE$214,MATCH(CONCATENATE(РАСЧЕТ!B1783,"/",РАСЧЕТ!D1783,"/",РАСЧЕТ!E1783,"/",F1783,"/",H1791),'Ведомость расчета мин. платы'!$AE$10:$AE$214,0),6),"")</f>
        <v/>
      </c>
      <c r="N1791" s="214">
        <f t="shared" ca="1" si="797"/>
        <v>0</v>
      </c>
      <c r="O1791" s="229">
        <f t="shared" si="800"/>
        <v>1</v>
      </c>
      <c r="P1791" s="230">
        <f t="shared" si="795"/>
        <v>0</v>
      </c>
      <c r="AP1791" s="242"/>
      <c r="AQ1791" s="253"/>
    </row>
    <row r="1792" spans="1:43" x14ac:dyDescent="0.2">
      <c r="B1792" s="249"/>
      <c r="C1792" s="249"/>
      <c r="D1792" s="249"/>
      <c r="E1792" s="249"/>
      <c r="F1792" s="249"/>
      <c r="G1792" s="249"/>
      <c r="H1792" s="250" t="s">
        <v>475</v>
      </c>
      <c r="I1792" s="251" t="str">
        <f ca="1">IFERROR(ROUND(I1791*I1781,2),"")</f>
        <v/>
      </c>
      <c r="J1792" s="251" t="str">
        <f t="shared" ref="J1792" ca="1" si="811">IFERROR(ROUND(J1791*J1781,2),"")</f>
        <v/>
      </c>
      <c r="K1792" s="251" t="str">
        <f t="shared" ref="K1792" ca="1" si="812">IFERROR(ROUND(K1791*K1781,2),"")</f>
        <v/>
      </c>
      <c r="L1792" s="251">
        <f t="shared" ca="1" si="796"/>
        <v>0</v>
      </c>
      <c r="M1792" s="251" t="str">
        <f t="shared" ref="M1792" ca="1" si="813">IFERROR(ROUND(M1791*M1781,2),"")</f>
        <v/>
      </c>
      <c r="N1792" s="252">
        <f t="shared" ca="1" si="797"/>
        <v>0</v>
      </c>
      <c r="O1792" s="229" t="str">
        <f t="shared" si="800"/>
        <v/>
      </c>
      <c r="P1792" s="230">
        <f t="shared" si="795"/>
        <v>0</v>
      </c>
      <c r="AP1792" s="242">
        <f ca="1">SUMIFS('Ведомость расчета мин. платы'!$S$10:$S$209,'Ведомость расчета мин. платы'!$AE$10:$AE$209,CONCATENATE(B1783,"/",D1783,"/",E1783,"/",F1783,"/",H1791))</f>
        <v>0</v>
      </c>
      <c r="AQ1792" s="253">
        <f t="shared" ref="AQ1792" ca="1" si="814">AP1792-N1792</f>
        <v>0</v>
      </c>
    </row>
    <row r="1793" spans="2:43" x14ac:dyDescent="0.2">
      <c r="B1793" s="249"/>
      <c r="C1793" s="249"/>
      <c r="D1793" s="249"/>
      <c r="E1793" s="249"/>
      <c r="F1793" s="249"/>
      <c r="G1793" s="249"/>
      <c r="H1793" s="205" t="s">
        <v>18</v>
      </c>
      <c r="I1793" s="248">
        <f ca="1">IFERROR(INDEX('Ведомость расчета мин. платы'!$J$10:$AE$214,MATCH(CONCATENATE(РАСЧЕТ!B1783,"/",РАСЧЕТ!D1783,"/",РАСЧЕТ!E1783,"/",F1783,"/",H1793),'Ведомость расчета мин. платы'!$AE$10:$AE$214,0),2),"")</f>
        <v>123.18</v>
      </c>
      <c r="J1793" s="248">
        <f ca="1">IFERROR(INDEX('Ведомость расчета мин. платы'!$J$10:$AE$214,MATCH(CONCATENATE(РАСЧЕТ!B1783,"/",РАСЧЕТ!D1783,"/",РАСЧЕТ!E1783,"/",F1783,"/",H1793),'Ведомость расчета мин. платы'!$AE$10:$AE$214,0),3),"")</f>
        <v>193.88</v>
      </c>
      <c r="K1793" s="248">
        <f ca="1">IFERROR(INDEX('Ведомость расчета мин. платы'!$J$10:$AE$214,MATCH(CONCATENATE(РАСЧЕТ!B1783,"/",РАСЧЕТ!D1783,"/",РАСЧЕТ!E1783,"/",F1783,"/",H1793),'Ведомость расчета мин. платы'!$AE$10:$AE$214,0),4),"")</f>
        <v>10.8</v>
      </c>
      <c r="L1793" s="248">
        <f t="shared" ca="1" si="796"/>
        <v>327.86</v>
      </c>
      <c r="M1793" s="248">
        <f ca="1">IFERROR(INDEX('Ведомость расчета мин. платы'!$J$10:$AE$214,MATCH(CONCATENATE(РАСЧЕТ!B1783,"/",РАСЧЕТ!D1783,"/",РАСЧЕТ!E1783,"/",F1783,"/",H1793),'Ведомость расчета мин. платы'!$AE$10:$AE$214,0),6),"")</f>
        <v>183.02</v>
      </c>
      <c r="N1793" s="214">
        <f t="shared" ca="1" si="797"/>
        <v>510.88</v>
      </c>
      <c r="O1793" s="229">
        <f t="shared" si="800"/>
        <v>1</v>
      </c>
      <c r="P1793" s="230">
        <f t="shared" si="795"/>
        <v>0</v>
      </c>
      <c r="AP1793" s="242"/>
      <c r="AQ1793" s="253"/>
    </row>
    <row r="1794" spans="2:43" x14ac:dyDescent="0.2">
      <c r="B1794" s="249"/>
      <c r="C1794" s="249"/>
      <c r="D1794" s="249"/>
      <c r="E1794" s="249"/>
      <c r="F1794" s="249"/>
      <c r="G1794" s="249"/>
      <c r="H1794" s="250" t="s">
        <v>475</v>
      </c>
      <c r="I1794" s="251">
        <f ca="1">IFERROR(ROUND(I1793*I1782,2),"")</f>
        <v>2812.2</v>
      </c>
      <c r="J1794" s="251">
        <f t="shared" ref="J1794" ca="1" si="815">IFERROR(ROUND(J1793*J1782,2),"")</f>
        <v>3375.45</v>
      </c>
      <c r="K1794" s="251">
        <f t="shared" ref="K1794" ca="1" si="816">IFERROR(ROUND(K1793*K1782,2),"")</f>
        <v>95.58</v>
      </c>
      <c r="L1794" s="251">
        <f t="shared" ca="1" si="796"/>
        <v>6283.23</v>
      </c>
      <c r="M1794" s="251">
        <f t="shared" ref="M1794" ca="1" si="817">IFERROR(ROUND(M1793*M1782,2),"")</f>
        <v>104.32</v>
      </c>
      <c r="N1794" s="252">
        <f t="shared" ca="1" si="797"/>
        <v>6387.5499999999993</v>
      </c>
      <c r="O1794" s="229" t="str">
        <f t="shared" si="800"/>
        <v/>
      </c>
      <c r="P1794" s="230">
        <f t="shared" si="795"/>
        <v>0</v>
      </c>
      <c r="AP1794" s="242">
        <f ca="1">SUMIFS('Ведомость расчета мин. платы'!$S$10:$S$209,'Ведомость расчета мин. платы'!$AE$10:$AE$209,CONCATENATE(B1783,"/",D1783,"/",E1783,"/",F1783,"/",H1793))</f>
        <v>6387.55</v>
      </c>
      <c r="AQ1794" s="253">
        <f t="shared" ref="AQ1794" ca="1" si="818">AP1794-N1794</f>
        <v>0</v>
      </c>
    </row>
    <row r="1795" spans="2:43" x14ac:dyDescent="0.2">
      <c r="B1795" s="249"/>
      <c r="C1795" s="249"/>
      <c r="D1795" s="249"/>
      <c r="E1795" s="249"/>
      <c r="F1795" s="249"/>
      <c r="G1795" s="249"/>
      <c r="H1795" s="254" t="s">
        <v>476</v>
      </c>
      <c r="I1795" s="251">
        <f ca="1">SUMIF($O1783:$O1796,1,I1783:I1794)</f>
        <v>141.48000000000002</v>
      </c>
      <c r="J1795" s="251">
        <f ca="1">SUMIF($O1783:$O1796,1,J1783:J1794)</f>
        <v>290.65999999999997</v>
      </c>
      <c r="K1795" s="251">
        <f ca="1">SUMIF($O1783:$O1796,1,K1783:K1794)</f>
        <v>41.28</v>
      </c>
      <c r="L1795" s="251">
        <f t="shared" ca="1" si="796"/>
        <v>473.41999999999996</v>
      </c>
      <c r="M1795" s="251">
        <f ca="1">SUMIF($O1783:$O1796,1,M1783:M1794)</f>
        <v>266.60000000000002</v>
      </c>
      <c r="N1795" s="252">
        <f t="shared" ca="1" si="797"/>
        <v>740.02</v>
      </c>
      <c r="AP1795" s="242"/>
      <c r="AQ1795" s="253"/>
    </row>
    <row r="1796" spans="2:43" x14ac:dyDescent="0.2">
      <c r="B1796" s="249"/>
      <c r="C1796" s="249"/>
      <c r="D1796" s="249"/>
      <c r="E1796" s="249"/>
      <c r="F1796" s="249"/>
      <c r="G1796" s="249"/>
      <c r="H1796" s="254" t="s">
        <v>491</v>
      </c>
      <c r="I1796" s="251">
        <f ca="1">SUMIF(H1783:H1794,"стоимость",I1783:I1794)</f>
        <v>5010.95</v>
      </c>
      <c r="J1796" s="251">
        <f ca="1">SUMIF(H1783:H1794,"стоимость",J1783:J1794)</f>
        <v>11661.75</v>
      </c>
      <c r="K1796" s="251">
        <f ca="1">SUMIF(H1783:H1794,"стоимость",K1783:K1794)</f>
        <v>1417.8</v>
      </c>
      <c r="L1796" s="251">
        <f ca="1">IFERROR(SUM(I1796:K1796),"")</f>
        <v>18090.5</v>
      </c>
      <c r="M1796" s="251">
        <f ca="1">SUMIF(H1783:H1794,"стоимость",M1783:M1794)</f>
        <v>676.85000000000014</v>
      </c>
      <c r="N1796" s="252">
        <f ca="1">IFERROR(SUM(L1796:M1796),"")</f>
        <v>18767.349999999999</v>
      </c>
      <c r="AP1796" s="242">
        <f ca="1">SUMIFS('Ведомость расчета мин. платы'!$S$10:$S$209,'Ведомость расчета мин. платы'!$J$10:$J$209,"Итого",'Ведомость расчета мин. платы'!$AC$10:$AC$209,CONCATENATE(B1783,"/",D1783,"/",E1783,"/",F1783))</f>
        <v>18767.349999999999</v>
      </c>
      <c r="AQ1796" s="253">
        <f ca="1">AP1796-N1796</f>
        <v>0</v>
      </c>
    </row>
    <row r="1797" spans="2:43" x14ac:dyDescent="0.2">
      <c r="B1797" s="255"/>
      <c r="C1797" s="255"/>
      <c r="D1797" s="255"/>
      <c r="E1797" s="255"/>
      <c r="F1797" s="255"/>
      <c r="G1797" s="256"/>
      <c r="H1797" s="257"/>
      <c r="I1797" s="258"/>
      <c r="J1797" s="258"/>
      <c r="K1797" s="258"/>
      <c r="L1797" s="258"/>
      <c r="M1797" s="258"/>
      <c r="N1797" s="258"/>
      <c r="P1797" s="230">
        <f t="shared" ref="P1797:P1815" si="819">IF(A1797&gt;0,1,0)</f>
        <v>0</v>
      </c>
    </row>
    <row r="1798" spans="2:43" x14ac:dyDescent="0.2">
      <c r="B1798" s="282" t="s">
        <v>477</v>
      </c>
      <c r="C1798" s="282"/>
      <c r="D1798" s="282"/>
      <c r="E1798" s="282"/>
      <c r="F1798" s="259"/>
      <c r="G1798" s="225"/>
      <c r="H1798" s="201"/>
      <c r="I1798" s="226"/>
      <c r="J1798" s="258"/>
      <c r="K1798" s="258"/>
      <c r="L1798" s="258"/>
      <c r="M1798" s="258"/>
      <c r="N1798" s="258"/>
      <c r="P1798" s="230">
        <f t="shared" si="819"/>
        <v>0</v>
      </c>
    </row>
    <row r="1799" spans="2:43" x14ac:dyDescent="0.2">
      <c r="B1799" s="283" t="s">
        <v>525</v>
      </c>
      <c r="C1799" s="283"/>
      <c r="D1799" s="283"/>
      <c r="E1799" s="283"/>
      <c r="F1799" s="283"/>
      <c r="G1799" s="283"/>
      <c r="H1799" s="283"/>
      <c r="I1799" s="283"/>
      <c r="J1799" s="261"/>
      <c r="K1799" s="261"/>
      <c r="L1799" s="261"/>
      <c r="M1799" s="261"/>
      <c r="N1799" s="261"/>
      <c r="P1799" s="230">
        <f t="shared" si="819"/>
        <v>0</v>
      </c>
    </row>
    <row r="1800" spans="2:43" x14ac:dyDescent="0.2">
      <c r="B1800" s="284" t="s">
        <v>478</v>
      </c>
      <c r="C1800" s="284"/>
      <c r="D1800" s="284"/>
      <c r="E1800" s="284"/>
      <c r="F1800" s="284"/>
      <c r="G1800" s="284"/>
      <c r="H1800" s="284"/>
      <c r="I1800" s="284"/>
      <c r="J1800" s="258"/>
      <c r="K1800" s="258"/>
      <c r="L1800" s="258"/>
      <c r="M1800" s="258"/>
      <c r="N1800" s="258"/>
      <c r="P1800" s="230">
        <f t="shared" si="819"/>
        <v>0</v>
      </c>
    </row>
    <row r="1801" spans="2:43" x14ac:dyDescent="0.2">
      <c r="B1801" s="284" t="s">
        <v>479</v>
      </c>
      <c r="C1801" s="284"/>
      <c r="D1801" s="284"/>
      <c r="E1801" s="284"/>
      <c r="F1801" s="284"/>
      <c r="G1801" s="284"/>
      <c r="H1801" s="284"/>
      <c r="I1801" s="284"/>
      <c r="J1801" s="258"/>
      <c r="K1801" s="258"/>
      <c r="L1801" s="258"/>
      <c r="M1801" s="258"/>
      <c r="N1801" s="258"/>
      <c r="P1801" s="230">
        <f t="shared" si="819"/>
        <v>0</v>
      </c>
    </row>
    <row r="1802" spans="2:43" x14ac:dyDescent="0.2">
      <c r="B1802" s="284" t="s">
        <v>480</v>
      </c>
      <c r="C1802" s="284"/>
      <c r="D1802" s="284"/>
      <c r="E1802" s="284"/>
      <c r="F1802" s="284"/>
      <c r="G1802" s="284"/>
      <c r="H1802" s="284"/>
      <c r="I1802" s="284"/>
      <c r="J1802" s="258"/>
      <c r="K1802" s="258"/>
      <c r="L1802" s="258"/>
      <c r="M1802" s="258"/>
      <c r="N1802" s="258"/>
      <c r="P1802" s="230">
        <f t="shared" si="819"/>
        <v>0</v>
      </c>
    </row>
    <row r="1803" spans="2:43" x14ac:dyDescent="0.2">
      <c r="B1803" s="284" t="s">
        <v>481</v>
      </c>
      <c r="C1803" s="284"/>
      <c r="D1803" s="284"/>
      <c r="E1803" s="284"/>
      <c r="F1803" s="284"/>
      <c r="G1803" s="284"/>
      <c r="H1803" s="284"/>
      <c r="I1803" s="284"/>
      <c r="J1803" s="226"/>
      <c r="K1803" s="226"/>
      <c r="L1803" s="226"/>
      <c r="M1803" s="226"/>
      <c r="N1803" s="226"/>
      <c r="P1803" s="230">
        <f t="shared" si="819"/>
        <v>0</v>
      </c>
    </row>
    <row r="1804" spans="2:43" x14ac:dyDescent="0.2">
      <c r="B1804" s="284" t="s">
        <v>482</v>
      </c>
      <c r="C1804" s="284"/>
      <c r="D1804" s="284"/>
      <c r="E1804" s="284"/>
      <c r="F1804" s="284"/>
      <c r="G1804" s="284"/>
      <c r="H1804" s="284"/>
      <c r="I1804" s="284"/>
      <c r="J1804" s="226"/>
      <c r="K1804" s="226"/>
      <c r="L1804" s="226"/>
      <c r="M1804" s="226"/>
      <c r="N1804" s="226"/>
      <c r="P1804" s="230">
        <f t="shared" si="819"/>
        <v>0</v>
      </c>
    </row>
    <row r="1805" spans="2:43" x14ac:dyDescent="0.2">
      <c r="B1805" s="284" t="s">
        <v>483</v>
      </c>
      <c r="C1805" s="284"/>
      <c r="D1805" s="284"/>
      <c r="E1805" s="284"/>
      <c r="F1805" s="284"/>
      <c r="G1805" s="284"/>
      <c r="H1805" s="284"/>
      <c r="I1805" s="284"/>
      <c r="J1805" s="226"/>
      <c r="K1805" s="226"/>
      <c r="L1805" s="226"/>
      <c r="M1805" s="226"/>
      <c r="N1805" s="226"/>
      <c r="P1805" s="230">
        <f t="shared" si="819"/>
        <v>0</v>
      </c>
    </row>
    <row r="1806" spans="2:43" x14ac:dyDescent="0.2">
      <c r="B1806" s="284" t="s">
        <v>484</v>
      </c>
      <c r="C1806" s="284"/>
      <c r="D1806" s="284"/>
      <c r="E1806" s="284"/>
      <c r="F1806" s="284"/>
      <c r="G1806" s="284"/>
      <c r="H1806" s="284"/>
      <c r="I1806" s="284"/>
      <c r="J1806" s="226"/>
      <c r="K1806" s="226"/>
      <c r="L1806" s="226"/>
      <c r="M1806" s="226"/>
      <c r="N1806" s="226"/>
      <c r="P1806" s="230">
        <f t="shared" si="819"/>
        <v>0</v>
      </c>
    </row>
    <row r="1807" spans="2:43" x14ac:dyDescent="0.2">
      <c r="B1807" s="264"/>
      <c r="C1807" s="264"/>
      <c r="D1807" s="264"/>
      <c r="E1807" s="264"/>
      <c r="F1807" s="264"/>
      <c r="G1807" s="264"/>
      <c r="H1807" s="264"/>
      <c r="I1807" s="265"/>
      <c r="J1807" s="226"/>
      <c r="K1807" s="226"/>
      <c r="L1807" s="226"/>
      <c r="M1807" s="226"/>
      <c r="N1807" s="226"/>
      <c r="P1807" s="230">
        <f t="shared" si="819"/>
        <v>0</v>
      </c>
    </row>
    <row r="1808" spans="2:43" x14ac:dyDescent="0.2">
      <c r="B1808" s="225" t="s">
        <v>485</v>
      </c>
      <c r="C1808" s="225"/>
      <c r="D1808" s="225"/>
      <c r="E1808" s="225"/>
      <c r="F1808" s="225"/>
      <c r="G1808" s="225"/>
      <c r="H1808" s="201"/>
      <c r="I1808" s="226"/>
      <c r="J1808" s="226" t="s">
        <v>486</v>
      </c>
      <c r="K1808" s="226"/>
      <c r="L1808" s="226"/>
      <c r="M1808" s="226"/>
      <c r="N1808" s="226"/>
      <c r="P1808" s="230">
        <f t="shared" si="819"/>
        <v>0</v>
      </c>
    </row>
    <row r="1809" spans="1:16" x14ac:dyDescent="0.2">
      <c r="B1809" s="266" t="s">
        <v>524</v>
      </c>
      <c r="C1809" s="266"/>
      <c r="D1809" s="225"/>
      <c r="E1809" s="225"/>
      <c r="F1809" s="225"/>
      <c r="G1809" s="225"/>
      <c r="H1809" s="201"/>
      <c r="I1809" s="226"/>
      <c r="J1809" s="267"/>
      <c r="K1809" s="267"/>
      <c r="L1809" s="267"/>
      <c r="M1809" s="226"/>
      <c r="N1809" s="226"/>
      <c r="P1809" s="230">
        <f t="shared" si="819"/>
        <v>0</v>
      </c>
    </row>
    <row r="1810" spans="1:16" x14ac:dyDescent="0.2">
      <c r="B1810" s="268" t="s">
        <v>487</v>
      </c>
      <c r="C1810" s="225"/>
      <c r="D1810" s="225"/>
      <c r="E1810" s="225"/>
      <c r="F1810" s="225"/>
      <c r="G1810" s="225"/>
      <c r="H1810" s="201"/>
      <c r="I1810" s="226"/>
      <c r="J1810" s="226" t="s">
        <v>487</v>
      </c>
      <c r="K1810" s="226"/>
      <c r="L1810" s="226"/>
      <c r="M1810" s="226"/>
      <c r="N1810" s="226"/>
      <c r="P1810" s="230">
        <f t="shared" si="819"/>
        <v>0</v>
      </c>
    </row>
    <row r="1811" spans="1:16" x14ac:dyDescent="0.2">
      <c r="B1811" s="225"/>
      <c r="C1811" s="225"/>
      <c r="D1811" s="225"/>
      <c r="E1811" s="225"/>
      <c r="F1811" s="225"/>
      <c r="G1811" s="225"/>
      <c r="H1811" s="201"/>
      <c r="I1811" s="226"/>
      <c r="J1811" s="226"/>
      <c r="K1811" s="226"/>
      <c r="L1811" s="226"/>
      <c r="M1811" s="226"/>
      <c r="N1811" s="226"/>
      <c r="P1811" s="230">
        <f t="shared" si="819"/>
        <v>0</v>
      </c>
    </row>
    <row r="1812" spans="1:16" x14ac:dyDescent="0.2">
      <c r="B1812" s="266"/>
      <c r="C1812" s="266"/>
      <c r="D1812" s="225"/>
      <c r="E1812" s="225"/>
      <c r="F1812" s="225"/>
      <c r="G1812" s="225"/>
      <c r="H1812" s="201"/>
      <c r="I1812" s="226"/>
      <c r="J1812" s="267"/>
      <c r="K1812" s="267"/>
      <c r="L1812" s="267"/>
      <c r="M1812" s="226"/>
      <c r="N1812" s="226"/>
      <c r="P1812" s="230">
        <f t="shared" si="819"/>
        <v>0</v>
      </c>
    </row>
    <row r="1813" spans="1:16" x14ac:dyDescent="0.2">
      <c r="B1813" s="269" t="s">
        <v>488</v>
      </c>
      <c r="C1813" s="225"/>
      <c r="D1813" s="225"/>
      <c r="E1813" s="225"/>
      <c r="F1813" s="225"/>
      <c r="G1813" s="225"/>
      <c r="H1813" s="201"/>
      <c r="I1813" s="226"/>
      <c r="J1813" s="285" t="s">
        <v>488</v>
      </c>
      <c r="K1813" s="285"/>
      <c r="L1813" s="285"/>
      <c r="M1813" s="226"/>
      <c r="N1813" s="226"/>
      <c r="P1813" s="230">
        <f t="shared" si="819"/>
        <v>0</v>
      </c>
    </row>
    <row r="1814" spans="1:16" x14ac:dyDescent="0.2">
      <c r="B1814" s="225"/>
      <c r="C1814" s="225"/>
      <c r="D1814" s="225"/>
      <c r="E1814" s="225"/>
      <c r="F1814" s="225"/>
      <c r="G1814" s="225"/>
      <c r="H1814" s="201"/>
      <c r="I1814" s="226"/>
      <c r="J1814" s="226"/>
      <c r="K1814" s="226"/>
      <c r="L1814" s="226"/>
      <c r="M1814" s="226"/>
      <c r="N1814" s="226"/>
      <c r="P1814" s="230">
        <f t="shared" si="819"/>
        <v>0</v>
      </c>
    </row>
    <row r="1815" spans="1:16" x14ac:dyDescent="0.2">
      <c r="B1815" s="264" t="s">
        <v>489</v>
      </c>
      <c r="C1815" s="225"/>
      <c r="D1815" s="225"/>
      <c r="E1815" s="225"/>
      <c r="F1815" s="225"/>
      <c r="G1815" s="225"/>
      <c r="H1815" s="201"/>
      <c r="I1815" s="226"/>
      <c r="J1815" s="226" t="s">
        <v>489</v>
      </c>
      <c r="K1815" s="226"/>
      <c r="L1815" s="226"/>
      <c r="M1815" s="226"/>
      <c r="N1815" s="226"/>
      <c r="P1815" s="230">
        <f t="shared" si="819"/>
        <v>0</v>
      </c>
    </row>
    <row r="1816" spans="1:16" x14ac:dyDescent="0.2">
      <c r="A1816" s="272"/>
      <c r="B1816" s="225"/>
      <c r="C1816" s="225"/>
      <c r="D1816" s="225"/>
      <c r="E1816" s="225"/>
      <c r="F1816" s="225"/>
      <c r="G1816" s="225"/>
      <c r="H1816" s="201"/>
      <c r="I1816" s="226"/>
      <c r="J1816" s="226"/>
      <c r="K1816" s="226"/>
      <c r="M1816" s="226"/>
      <c r="N1816" s="228"/>
    </row>
    <row r="1817" spans="1:16" x14ac:dyDescent="0.2">
      <c r="A1817" s="260"/>
      <c r="B1817" s="225"/>
      <c r="C1817" s="225"/>
      <c r="D1817" s="225"/>
      <c r="E1817" s="225"/>
      <c r="F1817" s="225"/>
      <c r="G1817" s="225"/>
      <c r="H1817" s="201"/>
      <c r="I1817" s="226"/>
      <c r="J1817" s="226"/>
      <c r="K1817" s="226"/>
      <c r="M1817" s="226"/>
      <c r="N1817" s="228" t="s">
        <v>455</v>
      </c>
      <c r="P1817" s="230">
        <f t="shared" ref="P1817:P1834" si="820">IF(A1817&gt;0,1,0)</f>
        <v>0</v>
      </c>
    </row>
    <row r="1818" spans="1:16" x14ac:dyDescent="0.2">
      <c r="B1818" s="225"/>
      <c r="C1818" s="225"/>
      <c r="D1818" s="225"/>
      <c r="E1818" s="225"/>
      <c r="F1818" s="225"/>
      <c r="G1818" s="225"/>
      <c r="H1818" s="201"/>
      <c r="I1818" s="226"/>
      <c r="J1818" s="226"/>
      <c r="K1818" s="226"/>
      <c r="M1818" s="226"/>
      <c r="N1818" s="228" t="s">
        <v>456</v>
      </c>
      <c r="P1818" s="230">
        <f t="shared" si="820"/>
        <v>0</v>
      </c>
    </row>
    <row r="1819" spans="1:16" x14ac:dyDescent="0.2">
      <c r="B1819" s="225"/>
      <c r="C1819" s="225"/>
      <c r="D1819" s="225"/>
      <c r="E1819" s="225"/>
      <c r="F1819" s="225"/>
      <c r="G1819" s="225"/>
      <c r="H1819" s="201"/>
      <c r="I1819" s="226"/>
      <c r="J1819" s="226"/>
      <c r="K1819" s="226"/>
      <c r="M1819" s="226"/>
      <c r="N1819" s="228" t="s">
        <v>457</v>
      </c>
      <c r="P1819" s="230">
        <f t="shared" si="820"/>
        <v>0</v>
      </c>
    </row>
    <row r="1820" spans="1:16" x14ac:dyDescent="0.2">
      <c r="B1820" s="225"/>
      <c r="C1820" s="225"/>
      <c r="D1820" s="225"/>
      <c r="E1820" s="225"/>
      <c r="F1820" s="225"/>
      <c r="G1820" s="225"/>
      <c r="H1820" s="201"/>
      <c r="I1820" s="226"/>
      <c r="J1820" s="226"/>
      <c r="K1820" s="226"/>
      <c r="L1820" s="226"/>
      <c r="M1820" s="226"/>
      <c r="N1820" s="226"/>
      <c r="P1820" s="230">
        <f t="shared" si="820"/>
        <v>0</v>
      </c>
    </row>
    <row r="1821" spans="1:16" x14ac:dyDescent="0.2">
      <c r="B1821" s="225"/>
      <c r="C1821" s="286" t="s">
        <v>458</v>
      </c>
      <c r="D1821" s="286"/>
      <c r="E1821" s="286"/>
      <c r="F1821" s="286"/>
      <c r="G1821" s="286"/>
      <c r="H1821" s="286"/>
      <c r="I1821" s="286"/>
      <c r="J1821" s="286"/>
      <c r="K1821" s="286"/>
      <c r="L1821" s="286"/>
      <c r="M1821" s="226"/>
      <c r="N1821" s="226"/>
      <c r="P1821" s="230">
        <f t="shared" si="820"/>
        <v>0</v>
      </c>
    </row>
    <row r="1822" spans="1:16" x14ac:dyDescent="0.2">
      <c r="B1822" s="225"/>
      <c r="C1822" s="286" t="s">
        <v>459</v>
      </c>
      <c r="D1822" s="286"/>
      <c r="E1822" s="286"/>
      <c r="F1822" s="286"/>
      <c r="G1822" s="286"/>
      <c r="H1822" s="286"/>
      <c r="I1822" s="286"/>
      <c r="J1822" s="286"/>
      <c r="K1822" s="286"/>
      <c r="L1822" s="286"/>
      <c r="M1822" s="226"/>
      <c r="N1822" s="226"/>
      <c r="P1822" s="230">
        <f t="shared" si="820"/>
        <v>0</v>
      </c>
    </row>
    <row r="1823" spans="1:16" x14ac:dyDescent="0.2">
      <c r="B1823" s="225" t="s">
        <v>460</v>
      </c>
      <c r="C1823" s="234"/>
      <c r="D1823" s="234"/>
      <c r="E1823" s="234"/>
      <c r="F1823" s="234"/>
      <c r="G1823" s="234"/>
      <c r="H1823" s="234"/>
      <c r="I1823" s="235"/>
      <c r="J1823" s="235"/>
      <c r="K1823" s="235"/>
      <c r="L1823" s="287" t="s">
        <v>461</v>
      </c>
      <c r="M1823" s="287"/>
      <c r="N1823" s="287"/>
      <c r="P1823" s="230">
        <f t="shared" si="820"/>
        <v>0</v>
      </c>
    </row>
    <row r="1824" spans="1:16" x14ac:dyDescent="0.2">
      <c r="B1824" s="225"/>
      <c r="C1824" s="234"/>
      <c r="D1824" s="234"/>
      <c r="E1824" s="234"/>
      <c r="F1824" s="234"/>
      <c r="G1824" s="234"/>
      <c r="H1824" s="234"/>
      <c r="I1824" s="235"/>
      <c r="J1824" s="235"/>
      <c r="K1824" s="235"/>
      <c r="L1824" s="235"/>
      <c r="M1824" s="235"/>
      <c r="N1824" s="235"/>
      <c r="P1824" s="230">
        <f t="shared" si="820"/>
        <v>0</v>
      </c>
    </row>
    <row r="1825" spans="1:43" x14ac:dyDescent="0.2">
      <c r="B1825" s="225" t="s">
        <v>2038</v>
      </c>
      <c r="C1825" s="234"/>
      <c r="D1825" s="234"/>
      <c r="E1825" s="234"/>
      <c r="F1825" s="234"/>
      <c r="G1825" s="234"/>
      <c r="H1825" s="234"/>
      <c r="I1825" s="235"/>
      <c r="J1825" s="235"/>
      <c r="K1825" s="235"/>
      <c r="L1825" s="235"/>
      <c r="M1825" s="235"/>
      <c r="N1825" s="235"/>
      <c r="P1825" s="230">
        <f t="shared" si="820"/>
        <v>0</v>
      </c>
    </row>
    <row r="1826" spans="1:43" x14ac:dyDescent="0.2">
      <c r="B1826" s="225" t="s">
        <v>462</v>
      </c>
      <c r="C1826" s="234"/>
      <c r="D1826" s="234"/>
      <c r="E1826" s="234"/>
      <c r="F1826" s="234"/>
      <c r="G1826" s="234"/>
      <c r="H1826" s="234"/>
      <c r="I1826" s="235"/>
      <c r="J1826" s="235"/>
      <c r="K1826" s="235"/>
      <c r="L1826" s="235"/>
      <c r="M1826" s="235"/>
      <c r="N1826" s="235"/>
      <c r="P1826" s="230">
        <f t="shared" si="820"/>
        <v>0</v>
      </c>
    </row>
    <row r="1827" spans="1:43" x14ac:dyDescent="0.2">
      <c r="B1827" s="225" t="s">
        <v>2037</v>
      </c>
      <c r="C1827" s="234"/>
      <c r="D1827" s="234"/>
      <c r="E1827" s="234"/>
      <c r="F1827" s="234"/>
      <c r="G1827" s="234"/>
      <c r="H1827" s="234"/>
      <c r="I1827" s="235"/>
      <c r="J1827" s="235"/>
      <c r="K1827" s="235"/>
      <c r="L1827" s="235"/>
      <c r="M1827" s="235"/>
      <c r="N1827" s="235"/>
      <c r="P1827" s="230">
        <f t="shared" si="820"/>
        <v>0</v>
      </c>
    </row>
    <row r="1828" spans="1:43" x14ac:dyDescent="0.2">
      <c r="B1828" s="225" t="s">
        <v>2052</v>
      </c>
      <c r="C1828" s="234"/>
      <c r="D1828" s="234"/>
      <c r="E1828" s="234"/>
      <c r="F1828" s="234"/>
      <c r="G1828" s="234"/>
      <c r="H1828" s="234"/>
      <c r="I1828" s="235"/>
      <c r="J1828" s="235"/>
      <c r="K1828" s="235"/>
      <c r="L1828" s="235"/>
      <c r="M1828" s="235"/>
      <c r="N1828" s="235"/>
      <c r="P1828" s="230">
        <f t="shared" si="820"/>
        <v>0</v>
      </c>
    </row>
    <row r="1829" spans="1:43" x14ac:dyDescent="0.2">
      <c r="B1829" s="225"/>
      <c r="C1829" s="225"/>
      <c r="D1829" s="225"/>
      <c r="E1829" s="225"/>
      <c r="F1829" s="225"/>
      <c r="G1829" s="225"/>
      <c r="H1829" s="201"/>
      <c r="I1829" s="226"/>
      <c r="J1829" s="226"/>
      <c r="K1829" s="226"/>
      <c r="L1829" s="226"/>
      <c r="M1829" s="226"/>
      <c r="N1829" s="226"/>
      <c r="P1829" s="230">
        <f t="shared" si="820"/>
        <v>0</v>
      </c>
    </row>
    <row r="1830" spans="1:43" x14ac:dyDescent="0.2">
      <c r="B1830" s="288" t="s">
        <v>106</v>
      </c>
      <c r="C1830" s="290" t="s">
        <v>463</v>
      </c>
      <c r="D1830" s="288" t="s">
        <v>464</v>
      </c>
      <c r="E1830" s="288" t="s">
        <v>465</v>
      </c>
      <c r="F1830" s="288" t="s">
        <v>490</v>
      </c>
      <c r="G1830" s="288" t="s">
        <v>466</v>
      </c>
      <c r="H1830" s="292" t="s">
        <v>8</v>
      </c>
      <c r="I1830" s="294" t="s">
        <v>467</v>
      </c>
      <c r="J1830" s="295"/>
      <c r="K1830" s="295"/>
      <c r="L1830" s="296"/>
      <c r="M1830" s="297" t="s">
        <v>468</v>
      </c>
      <c r="N1830" s="299" t="s">
        <v>469</v>
      </c>
      <c r="P1830" s="230">
        <f t="shared" si="820"/>
        <v>0</v>
      </c>
    </row>
    <row r="1831" spans="1:43" x14ac:dyDescent="0.2">
      <c r="B1831" s="289"/>
      <c r="C1831" s="291"/>
      <c r="D1831" s="289"/>
      <c r="E1831" s="289"/>
      <c r="F1831" s="289"/>
      <c r="G1831" s="289"/>
      <c r="H1831" s="293"/>
      <c r="I1831" s="236" t="s">
        <v>470</v>
      </c>
      <c r="J1831" s="236" t="s">
        <v>471</v>
      </c>
      <c r="K1831" s="236" t="s">
        <v>472</v>
      </c>
      <c r="L1831" s="236" t="s">
        <v>473</v>
      </c>
      <c r="M1831" s="298"/>
      <c r="N1831" s="300"/>
      <c r="P1831" s="230">
        <f t="shared" si="820"/>
        <v>0</v>
      </c>
    </row>
    <row r="1832" spans="1:43" x14ac:dyDescent="0.2">
      <c r="A1832" s="224" t="str">
        <f>CONCATENATE("Лот"," ",A1833)</f>
        <v>Лот 34</v>
      </c>
      <c r="B1832" s="273" t="s">
        <v>2087</v>
      </c>
      <c r="C1832" s="274"/>
      <c r="D1832" s="274"/>
      <c r="E1832" s="274"/>
      <c r="F1832" s="274"/>
      <c r="G1832" s="275"/>
      <c r="H1832" s="238" t="s">
        <v>17</v>
      </c>
      <c r="I1832" s="270">
        <f ca="1">ROUND(VLOOKUP($H1832,$AJ$4:$AN$13,2,0)*$Q1834*1.51,2)</f>
        <v>120.15</v>
      </c>
      <c r="J1832" s="270">
        <f ca="1">ROUND(VLOOKUP($H1832,$AJ$4:$AN$13,3,0)*$Q1834*1.51,2)</f>
        <v>85.62</v>
      </c>
      <c r="K1832" s="270">
        <f ca="1">ROUND(VLOOKUP($H1832,$AJ$4:$AN$13,4,0)*$Q1834*1.51,2)</f>
        <v>43.38</v>
      </c>
      <c r="L1832" s="270"/>
      <c r="M1832" s="270">
        <f ca="1">ROUND(VLOOKUP($H1832,$AJ$4:$AN$13,5,0)*$Q1834*1.51,2)</f>
        <v>6.85</v>
      </c>
      <c r="N1832" s="270"/>
      <c r="P1832" s="230">
        <f t="shared" si="820"/>
        <v>1</v>
      </c>
    </row>
    <row r="1833" spans="1:43" x14ac:dyDescent="0.2">
      <c r="A1833" s="224">
        <f>A1778+1</f>
        <v>34</v>
      </c>
      <c r="B1833" s="276"/>
      <c r="C1833" s="277"/>
      <c r="D1833" s="277"/>
      <c r="E1833" s="277"/>
      <c r="F1833" s="277"/>
      <c r="G1833" s="278"/>
      <c r="H1833" s="238" t="s">
        <v>25</v>
      </c>
      <c r="I1833" s="270">
        <f ca="1">ROUND(VLOOKUP($H1833,$AJ$4:$AN$13,2,0)*$Q1834*1.51,2)</f>
        <v>898.69</v>
      </c>
      <c r="J1833" s="270">
        <f ca="1">ROUND(VLOOKUP($H1833,$AJ$4:$AN$13,3,0)*$Q1834*1.51,2)</f>
        <v>642.13</v>
      </c>
      <c r="K1833" s="270">
        <f ca="1">ROUND(VLOOKUP($H1833,$AJ$4:$AN$13,4,0)*$Q1834*1.51,2)</f>
        <v>323.06</v>
      </c>
      <c r="L1833" s="270"/>
      <c r="M1833" s="270">
        <f ca="1">ROUND(VLOOKUP($H1833,$AJ$4:$AN$13,5,0)*$Q1834*1.51,2)</f>
        <v>27.97</v>
      </c>
      <c r="N1833" s="270"/>
      <c r="P1833" s="230">
        <f t="shared" si="820"/>
        <v>1</v>
      </c>
      <c r="Q1833" s="240" t="s">
        <v>2045</v>
      </c>
      <c r="R1833" s="240" t="s">
        <v>2046</v>
      </c>
    </row>
    <row r="1834" spans="1:43" x14ac:dyDescent="0.2">
      <c r="B1834" s="276"/>
      <c r="C1834" s="277"/>
      <c r="D1834" s="277"/>
      <c r="E1834" s="277"/>
      <c r="F1834" s="277"/>
      <c r="G1834" s="278"/>
      <c r="H1834" s="238" t="s">
        <v>19</v>
      </c>
      <c r="I1834" s="270">
        <f ca="1">ROUND(VLOOKUP($H1834,$AJ$4:$AN$13,2,0)*$Q1834*1.51,2)</f>
        <v>71.349999999999994</v>
      </c>
      <c r="J1834" s="270">
        <f ca="1">ROUND(VLOOKUP($H1834,$AJ$4:$AN$13,3,0)*$Q1834*1.51,2)</f>
        <v>51.94</v>
      </c>
      <c r="K1834" s="270">
        <f ca="1">ROUND(VLOOKUP($H1834,$AJ$4:$AN$13,4,0)*$Q1834*1.51,2)</f>
        <v>26.54</v>
      </c>
      <c r="L1834" s="270"/>
      <c r="M1834" s="270">
        <f ca="1">ROUND(VLOOKUP($H1834,$AJ$4:$AN$13,5,0)*$Q1834*1.51,2)</f>
        <v>1.43</v>
      </c>
      <c r="N1834" s="270"/>
      <c r="P1834" s="230">
        <f t="shared" si="820"/>
        <v>0</v>
      </c>
      <c r="Q1834" s="123">
        <f ca="1">IFERROR(IF(R1834="","",IF(OR(R1834&lt;100,R1834=100),0.9,IF(OR(AND(R1834&gt;100,R1834&lt;150),R1834=150),1,IF(R1834&gt;150,1.05,"")))),"0")</f>
        <v>1.05</v>
      </c>
      <c r="R1834" s="123">
        <f ca="1">N1850/G1838</f>
        <v>201.76041666666669</v>
      </c>
    </row>
    <row r="1835" spans="1:43" x14ac:dyDescent="0.2">
      <c r="B1835" s="276"/>
      <c r="C1835" s="277"/>
      <c r="D1835" s="277"/>
      <c r="E1835" s="277"/>
      <c r="F1835" s="277"/>
      <c r="G1835" s="278"/>
      <c r="H1835" s="238" t="s">
        <v>268</v>
      </c>
      <c r="I1835" s="270">
        <f ca="1">ROUND(VLOOKUP($H1835,$AJ$4:$AN$13,2,0)*$Q1834*1.51,2)</f>
        <v>898.69</v>
      </c>
      <c r="J1835" s="270">
        <f ca="1">ROUND(VLOOKUP($H1835,$AJ$4:$AN$13,3,0)*$Q1834*1.51,2)</f>
        <v>642.13</v>
      </c>
      <c r="K1835" s="270">
        <f ca="1">ROUND(VLOOKUP($H1835,$AJ$4:$AN$13,4,0)*$Q1834*1.51,2)</f>
        <v>323.06</v>
      </c>
      <c r="L1835" s="270"/>
      <c r="M1835" s="270">
        <f ca="1">ROUND(VLOOKUP($H1835,$AJ$4:$AN$13,5,0)*$Q1834*1.51,2)</f>
        <v>27.97</v>
      </c>
      <c r="N1835" s="270"/>
    </row>
    <row r="1836" spans="1:43" x14ac:dyDescent="0.2">
      <c r="B1836" s="276"/>
      <c r="C1836" s="277"/>
      <c r="D1836" s="277"/>
      <c r="E1836" s="277"/>
      <c r="F1836" s="277"/>
      <c r="G1836" s="278"/>
      <c r="H1836" s="238" t="s">
        <v>40</v>
      </c>
      <c r="I1836" s="270">
        <f ca="1">ROUND(VLOOKUP($H1836,$AJ$4:$AN$13,2,0)*$Q1834*1.51,2)</f>
        <v>71.349999999999994</v>
      </c>
      <c r="J1836" s="270">
        <f ca="1">ROUND(VLOOKUP($H1836,$AJ$4:$AN$13,3,0)*$Q1834*1.51,2)</f>
        <v>51.94</v>
      </c>
      <c r="K1836" s="270">
        <f ca="1">ROUND(VLOOKUP($H1836,$AJ$4:$AN$13,4,0)*$Q1834*1.51,2)</f>
        <v>26.54</v>
      </c>
      <c r="L1836" s="270"/>
      <c r="M1836" s="270">
        <f ca="1">ROUND(VLOOKUP($H1836,$AJ$4:$AN$13,5,0)*$Q1834*1.51,2)</f>
        <v>1.43</v>
      </c>
      <c r="N1836" s="270"/>
      <c r="P1836" s="230">
        <f t="shared" ref="P1836:P1849" si="821">IF(A1836&gt;0,1,0)</f>
        <v>0</v>
      </c>
    </row>
    <row r="1837" spans="1:43" x14ac:dyDescent="0.2">
      <c r="B1837" s="279"/>
      <c r="C1837" s="280"/>
      <c r="D1837" s="280"/>
      <c r="E1837" s="280"/>
      <c r="F1837" s="280"/>
      <c r="G1837" s="281"/>
      <c r="H1837" s="238" t="s">
        <v>18</v>
      </c>
      <c r="I1837" s="270">
        <f ca="1">ROUND(VLOOKUP($H1837,$AJ$4:$AN$13,2,0)*$Q1834*1.51,2)</f>
        <v>22.83</v>
      </c>
      <c r="J1837" s="270">
        <f ca="1">ROUND(VLOOKUP($H1837,$AJ$4:$AN$13,3,0)*$Q1834*1.51,2)</f>
        <v>17.41</v>
      </c>
      <c r="K1837" s="270">
        <f ca="1">ROUND(VLOOKUP($H1837,$AJ$4:$AN$13,4,0)*$Q1834*1.51,2)</f>
        <v>8.85</v>
      </c>
      <c r="L1837" s="270"/>
      <c r="M1837" s="270">
        <f ca="1">ROUND(VLOOKUP($H1837,$AJ$4:$AN$13,5,0)*$Q1834*1.51*1,2)</f>
        <v>0.56999999999999995</v>
      </c>
      <c r="N1837" s="270"/>
      <c r="P1837" s="230">
        <f t="shared" si="821"/>
        <v>0</v>
      </c>
      <c r="AP1837" s="241" t="s">
        <v>2053</v>
      </c>
      <c r="AQ1837" s="242"/>
    </row>
    <row r="1838" spans="1:43" x14ac:dyDescent="0.2">
      <c r="A1838" s="224">
        <f>A1783+37</f>
        <v>1221</v>
      </c>
      <c r="B1838" s="243" t="str">
        <f ca="1">OFFSET(ЛОТЫ!$L$5,A1838,0,1,1)</f>
        <v>Тимерликовское</v>
      </c>
      <c r="C1838" s="244" t="s">
        <v>474</v>
      </c>
      <c r="D1838" s="243">
        <f ca="1">OFFSET(ЛОТЫ!$M$5,A1838,0,1,1)</f>
        <v>11</v>
      </c>
      <c r="E1838" s="243">
        <f ca="1">OFFSET(ЛОТЫ!$N$5,A1838,0,1,1)</f>
        <v>17</v>
      </c>
      <c r="F1838" s="243">
        <f ca="1">OFFSET(ЛОТЫ!$O$5,A1838,0,1,1)</f>
        <v>4</v>
      </c>
      <c r="G1838" s="271">
        <f ca="1">IFERROR(INDEX('Ведомость расчета мин. платы'!$G$10:$AC$214,MATCH(CONCATENATE(B1838,"/",D1838,"/",E1838,"/",F1838),'Ведомость расчета мин. платы'!$AC$10:$AC$214,0),1),"")</f>
        <v>4.8</v>
      </c>
      <c r="H1838" s="246" t="s">
        <v>17</v>
      </c>
      <c r="I1838" s="247">
        <f ca="1">IFERROR(INDEX('Ведомость расчета мин. платы'!$J$10:$AE$214,MATCH(CONCATENATE(РАСЧЕТ!B1838,"/",РАСЧЕТ!D1838,"/",РАСЧЕТ!E1838,"/",F1838,"/",H1838),'Ведомость расчета мин. платы'!$AE$10:$AE$214,0),2),"")</f>
        <v>6.3</v>
      </c>
      <c r="J1838" s="247">
        <f ca="1">IFERROR(INDEX('Ведомость расчета мин. платы'!$J$10:$AE$214,MATCH(CONCATENATE(РАСЧЕТ!B1838,"/",РАСЧЕТ!D1838,"/",РАСЧЕТ!E1838,"/",F1838,"/",H1838),'Ведомость расчета мин. платы'!$AE$10:$AE$214,0),3),"")</f>
        <v>43.23</v>
      </c>
      <c r="K1838" s="247">
        <f ca="1">IFERROR(INDEX('Ведомость расчета мин. платы'!$J$10:$AE$214,MATCH(CONCATENATE(РАСЧЕТ!B1838,"/",РАСЧЕТ!D1838,"/",РАСЧЕТ!E1838,"/",F1838,"/",H1838),'Ведомость расчета мин. платы'!$AE$10:$AE$214,0),4),"")</f>
        <v>14.49</v>
      </c>
      <c r="L1838" s="248">
        <f t="shared" ref="L1838:L1850" ca="1" si="822">IFERROR(SUM(I1838:K1838),"")</f>
        <v>64.02</v>
      </c>
      <c r="M1838" s="214">
        <f ca="1">IFERROR(INDEX('Ведомость расчета мин. платы'!$J$10:$AE$214,MATCH(CONCATENATE(РАСЧЕТ!B1838,"/",РАСЧЕТ!D1838,"/",РАСЧЕТ!E1838,"/",F1838,"/",H1838),'Ведомость расчета мин. платы'!$AE$10:$AE$214,0),6),"")</f>
        <v>42.27</v>
      </c>
      <c r="N1838" s="214">
        <f t="shared" ref="N1838:N1850" ca="1" si="823">IFERROR(SUM(L1838:M1838),"")</f>
        <v>106.28999999999999</v>
      </c>
      <c r="O1838" s="229">
        <f>IF(H1838="стоимость","",1)</f>
        <v>1</v>
      </c>
      <c r="P1838" s="230">
        <f t="shared" si="821"/>
        <v>1</v>
      </c>
      <c r="AP1838" s="242"/>
      <c r="AQ1838" s="242"/>
    </row>
    <row r="1839" spans="1:43" x14ac:dyDescent="0.2">
      <c r="B1839" s="249"/>
      <c r="C1839" s="249"/>
      <c r="D1839" s="249"/>
      <c r="E1839" s="249"/>
      <c r="F1839" s="249"/>
      <c r="G1839" s="249"/>
      <c r="H1839" s="250" t="s">
        <v>475</v>
      </c>
      <c r="I1839" s="251">
        <f ca="1">IFERROR(ROUND(I1838*I1832,2),"")</f>
        <v>756.95</v>
      </c>
      <c r="J1839" s="251">
        <f t="shared" ref="J1839" ca="1" si="824">IFERROR(ROUND(J1838*J1832,2),"")</f>
        <v>3701.35</v>
      </c>
      <c r="K1839" s="251">
        <f t="shared" ref="K1839" ca="1" si="825">IFERROR(ROUND(K1838*K1832,2),"")</f>
        <v>628.58000000000004</v>
      </c>
      <c r="L1839" s="251">
        <f t="shared" ca="1" si="822"/>
        <v>5086.88</v>
      </c>
      <c r="M1839" s="251">
        <v>289.55999999999932</v>
      </c>
      <c r="N1839" s="252">
        <f t="shared" ca="1" si="823"/>
        <v>5376.44</v>
      </c>
      <c r="O1839" s="229" t="str">
        <f t="shared" ref="O1839:O1849" si="826">IF(H1839="стоимость","",1)</f>
        <v/>
      </c>
      <c r="P1839" s="230">
        <f t="shared" si="821"/>
        <v>0</v>
      </c>
      <c r="AP1839" s="242">
        <f ca="1">SUMIFS('Ведомость расчета мин. платы'!$S$10:$S$209,'Ведомость расчета мин. платы'!$AE$10:$AE$209,CONCATENATE(B1838,"/",D1838,"/",E1838,"/",F1838,"/",H1838))</f>
        <v>5376.44</v>
      </c>
      <c r="AQ1839" s="253">
        <f t="shared" ref="AQ1839" ca="1" si="827">AP1839-N1839</f>
        <v>0</v>
      </c>
    </row>
    <row r="1840" spans="1:43" x14ac:dyDescent="0.2">
      <c r="B1840" s="249"/>
      <c r="C1840" s="249"/>
      <c r="D1840" s="249"/>
      <c r="E1840" s="249"/>
      <c r="F1840" s="249"/>
      <c r="G1840" s="249"/>
      <c r="H1840" s="246" t="s">
        <v>25</v>
      </c>
      <c r="I1840" s="247" t="str">
        <f ca="1">IFERROR(INDEX('Ведомость расчета мин. платы'!$J$10:$AE$214,MATCH(CONCATENATE(РАСЧЕТ!B1838,"/",РАСЧЕТ!D1838,"/",РАСЧЕТ!E1838,"/",F1838,"/",H1840),'Ведомость расчета мин. платы'!$AE$10:$AE$214,0),2),"")</f>
        <v/>
      </c>
      <c r="J1840" s="247" t="str">
        <f ca="1">IFERROR(INDEX('Ведомость расчета мин. платы'!$J$10:$AE$214,MATCH(CONCATENATE(РАСЧЕТ!B1838,"/",РАСЧЕТ!D1838,"/",РАСЧЕТ!E1838,"/",F1838,"/",H1840),'Ведомость расчета мин. платы'!$AE$10:$AE$214,0),3),"")</f>
        <v/>
      </c>
      <c r="K1840" s="247" t="str">
        <f ca="1">IFERROR(INDEX('Ведомость расчета мин. платы'!$J$10:$AE$214,MATCH(CONCATENATE(РАСЧЕТ!B1838,"/",РАСЧЕТ!D1838,"/",РАСЧЕТ!E1838,"/",F1838,"/",H1840),'Ведомость расчета мин. платы'!$AE$10:$AE$214,0),4),"")</f>
        <v/>
      </c>
      <c r="L1840" s="248">
        <f t="shared" ca="1" si="822"/>
        <v>0</v>
      </c>
      <c r="M1840" s="214" t="str">
        <f ca="1">IFERROR(INDEX('Ведомость расчета мин. платы'!$J$10:$AE$214,MATCH(CONCATENATE(РАСЧЕТ!B1838,"/",РАСЧЕТ!D1838,"/",РАСЧЕТ!E1838,"/",F1838,"/",H1840),'Ведомость расчета мин. платы'!$AE$10:$AE$214,0),6),"")</f>
        <v/>
      </c>
      <c r="N1840" s="214">
        <f t="shared" ca="1" si="823"/>
        <v>0</v>
      </c>
      <c r="O1840" s="229">
        <f t="shared" si="826"/>
        <v>1</v>
      </c>
      <c r="P1840" s="230">
        <f t="shared" si="821"/>
        <v>0</v>
      </c>
      <c r="AP1840" s="242"/>
      <c r="AQ1840" s="253"/>
    </row>
    <row r="1841" spans="2:43" x14ac:dyDescent="0.2">
      <c r="B1841" s="249"/>
      <c r="C1841" s="249"/>
      <c r="D1841" s="249"/>
      <c r="E1841" s="249"/>
      <c r="F1841" s="249"/>
      <c r="G1841" s="249"/>
      <c r="H1841" s="250" t="s">
        <v>475</v>
      </c>
      <c r="I1841" s="251" t="str">
        <f ca="1">IFERROR(ROUND(I1840*I1833,2),"")</f>
        <v/>
      </c>
      <c r="J1841" s="251" t="str">
        <f t="shared" ref="J1841" ca="1" si="828">IFERROR(ROUND(J1840*J1833,2),"")</f>
        <v/>
      </c>
      <c r="K1841" s="251" t="str">
        <f t="shared" ref="K1841" ca="1" si="829">IFERROR(ROUND(K1840*K1833,2),"")</f>
        <v/>
      </c>
      <c r="L1841" s="251">
        <f t="shared" ca="1" si="822"/>
        <v>0</v>
      </c>
      <c r="M1841" s="251" t="str">
        <f t="shared" ref="M1841" ca="1" si="830">IFERROR(ROUND(M1840*M1833,2),"")</f>
        <v/>
      </c>
      <c r="N1841" s="252">
        <f t="shared" ca="1" si="823"/>
        <v>0</v>
      </c>
      <c r="O1841" s="229" t="str">
        <f t="shared" si="826"/>
        <v/>
      </c>
      <c r="P1841" s="230">
        <f t="shared" si="821"/>
        <v>0</v>
      </c>
      <c r="AP1841" s="242">
        <f ca="1">SUMIFS('Ведомость расчета мин. платы'!$S$10:$S$209,'Ведомость расчета мин. платы'!$AE$10:$AE$209,CONCATENATE(B1838,"/",D1838,"/",E1838,"/",F1838,"/",H1840))</f>
        <v>0</v>
      </c>
      <c r="AQ1841" s="253">
        <f t="shared" ref="AQ1841" ca="1" si="831">AP1841-N1841</f>
        <v>0</v>
      </c>
    </row>
    <row r="1842" spans="2:43" x14ac:dyDescent="0.2">
      <c r="B1842" s="249"/>
      <c r="C1842" s="249"/>
      <c r="D1842" s="249"/>
      <c r="E1842" s="249"/>
      <c r="F1842" s="249"/>
      <c r="G1842" s="249"/>
      <c r="H1842" s="205" t="s">
        <v>19</v>
      </c>
      <c r="I1842" s="248">
        <f ca="1">IFERROR(INDEX('Ведомость расчета мин. платы'!$J$10:$AE$214,MATCH(CONCATENATE(РАСЧЕТ!B1838,"/",РАСЧЕТ!D1838,"/",РАСЧЕТ!E1838,"/",F1838,"/",H1842),'Ведомость расчета мин. платы'!$AE$10:$AE$214,0),2),"")</f>
        <v>0.38</v>
      </c>
      <c r="J1842" s="248">
        <f ca="1">IFERROR(INDEX('Ведомость расчета мин. платы'!$J$10:$AE$214,MATCH(CONCATENATE(РАСЧЕТ!B1838,"/",РАСЧЕТ!D1838,"/",РАСЧЕТ!E1838,"/",F1838,"/",H1842),'Ведомость расчета мин. платы'!$AE$10:$AE$214,0),3),"")</f>
        <v>33.770000000000003</v>
      </c>
      <c r="K1842" s="248">
        <f ca="1">IFERROR(INDEX('Ведомость расчета мин. платы'!$J$10:$AE$214,MATCH(CONCATENATE(РАСЧЕТ!B1838,"/",РАСЧЕТ!D1838,"/",РАСЧЕТ!E1838,"/",F1838,"/",H1842),'Ведомость расчета мин. платы'!$AE$10:$AE$214,0),4),"")</f>
        <v>9.89</v>
      </c>
      <c r="L1842" s="248">
        <f t="shared" ca="1" si="822"/>
        <v>44.040000000000006</v>
      </c>
      <c r="M1842" s="248">
        <f ca="1">IFERROR(INDEX('Ведомость расчета мин. платы'!$J$10:$AE$214,MATCH(CONCATENATE(РАСЧЕТ!B1838,"/",РАСЧЕТ!D1838,"/",РАСЧЕТ!E1838,"/",F1838,"/",H1842),'Ведомость расчета мин. платы'!$AE$10:$AE$214,0),6),"")</f>
        <v>32.450000000000003</v>
      </c>
      <c r="N1842" s="214">
        <f t="shared" ca="1" si="823"/>
        <v>76.490000000000009</v>
      </c>
      <c r="O1842" s="229">
        <f t="shared" si="826"/>
        <v>1</v>
      </c>
      <c r="P1842" s="230">
        <f t="shared" si="821"/>
        <v>0</v>
      </c>
      <c r="AP1842" s="242"/>
      <c r="AQ1842" s="253"/>
    </row>
    <row r="1843" spans="2:43" x14ac:dyDescent="0.2">
      <c r="B1843" s="249"/>
      <c r="C1843" s="249"/>
      <c r="D1843" s="249"/>
      <c r="E1843" s="249"/>
      <c r="F1843" s="249"/>
      <c r="G1843" s="249"/>
      <c r="H1843" s="250" t="s">
        <v>475</v>
      </c>
      <c r="I1843" s="251">
        <f ca="1">IFERROR(ROUND(I1842*I1834,2),"")</f>
        <v>27.11</v>
      </c>
      <c r="J1843" s="251">
        <f t="shared" ref="J1843" ca="1" si="832">IFERROR(ROUND(J1842*J1834,2),"")</f>
        <v>1754.01</v>
      </c>
      <c r="K1843" s="251">
        <f t="shared" ref="K1843" ca="1" si="833">IFERROR(ROUND(K1842*K1834,2),"")</f>
        <v>262.48</v>
      </c>
      <c r="L1843" s="251">
        <f t="shared" ca="1" si="822"/>
        <v>2043.6</v>
      </c>
      <c r="M1843" s="251">
        <f t="shared" ref="M1843" ca="1" si="834">IFERROR(ROUND(M1842*M1834,2),"")</f>
        <v>46.4</v>
      </c>
      <c r="N1843" s="252">
        <f t="shared" ca="1" si="823"/>
        <v>2090</v>
      </c>
      <c r="O1843" s="229" t="str">
        <f t="shared" si="826"/>
        <v/>
      </c>
      <c r="P1843" s="230">
        <f t="shared" si="821"/>
        <v>0</v>
      </c>
      <c r="AP1843" s="242">
        <f ca="1">SUMIFS('Ведомость расчета мин. платы'!$S$10:$S$209,'Ведомость расчета мин. платы'!$AE$10:$AE$209,CONCATENATE(B1838,"/",D1838,"/",E1838,"/",F1838,"/",H1842))</f>
        <v>2090</v>
      </c>
      <c r="AQ1843" s="253">
        <f t="shared" ref="AQ1843" ca="1" si="835">AP1843-N1843</f>
        <v>0</v>
      </c>
    </row>
    <row r="1844" spans="2:43" x14ac:dyDescent="0.2">
      <c r="B1844" s="249"/>
      <c r="C1844" s="249"/>
      <c r="D1844" s="249"/>
      <c r="E1844" s="249"/>
      <c r="F1844" s="249"/>
      <c r="G1844" s="249"/>
      <c r="H1844" s="205" t="s">
        <v>268</v>
      </c>
      <c r="I1844" s="248" t="str">
        <f ca="1">IFERROR(INDEX('Ведомость расчета мин. платы'!$J$10:$AE$214,MATCH(CONCATENATE(РАСЧЕТ!B1838,"/",РАСЧЕТ!D1838,"/",РАСЧЕТ!E1838,"/",F1838,"/",H1844),'Ведомость расчета мин. платы'!$AE$10:$AE$214,0),2),"")</f>
        <v/>
      </c>
      <c r="J1844" s="248" t="str">
        <f ca="1">IFERROR(INDEX('Ведомость расчета мин. платы'!$J$10:$AE$214,MATCH(CONCATENATE(РАСЧЕТ!B1838,"/",РАСЧЕТ!D1838,"/",РАСЧЕТ!E1838,"/",F1838,"/",H1844),'Ведомость расчета мин. платы'!$AE$10:$AE$214,0),3),"")</f>
        <v/>
      </c>
      <c r="K1844" s="248" t="str">
        <f ca="1">IFERROR(INDEX('Ведомость расчета мин. платы'!$J$10:$AE$214,MATCH(CONCATENATE(РАСЧЕТ!B1838,"/",РАСЧЕТ!D1838,"/",РАСЧЕТ!E1838,"/",F1838,"/",H1844),'Ведомость расчета мин. платы'!$AE$10:$AE$214,0),4),"")</f>
        <v/>
      </c>
      <c r="L1844" s="248">
        <f t="shared" ca="1" si="822"/>
        <v>0</v>
      </c>
      <c r="M1844" s="248" t="str">
        <f ca="1">IFERROR(INDEX('Ведомость расчета мин. платы'!$J$10:$AE$214,MATCH(CONCATENATE(РАСЧЕТ!B1838,"/",РАСЧЕТ!D1838,"/",РАСЧЕТ!E1838,"/",F1838,"/",H1844),'Ведомость расчета мин. платы'!$AE$10:$AE$214,0),6),"")</f>
        <v/>
      </c>
      <c r="N1844" s="214">
        <f t="shared" ca="1" si="823"/>
        <v>0</v>
      </c>
      <c r="O1844" s="229">
        <f t="shared" si="826"/>
        <v>1</v>
      </c>
      <c r="P1844" s="230">
        <f t="shared" si="821"/>
        <v>0</v>
      </c>
      <c r="AP1844" s="242"/>
      <c r="AQ1844" s="253"/>
    </row>
    <row r="1845" spans="2:43" x14ac:dyDescent="0.2">
      <c r="B1845" s="249"/>
      <c r="C1845" s="249"/>
      <c r="D1845" s="249"/>
      <c r="E1845" s="249"/>
      <c r="F1845" s="249"/>
      <c r="G1845" s="249"/>
      <c r="H1845" s="250" t="s">
        <v>475</v>
      </c>
      <c r="I1845" s="251" t="str">
        <f ca="1">IFERROR(ROUND(I1844*I1837,2),"")</f>
        <v/>
      </c>
      <c r="J1845" s="251" t="str">
        <f ca="1">IFERROR(ROUND(J1844*J1835,2),"")</f>
        <v/>
      </c>
      <c r="K1845" s="251" t="str">
        <f ca="1">IFERROR(ROUND(K1844*K1835,2),"")</f>
        <v/>
      </c>
      <c r="L1845" s="251">
        <f t="shared" ca="1" si="822"/>
        <v>0</v>
      </c>
      <c r="M1845" s="251" t="str">
        <f ca="1">IFERROR(ROUND(M1844*M1835,2),"")</f>
        <v/>
      </c>
      <c r="N1845" s="252">
        <f t="shared" ca="1" si="823"/>
        <v>0</v>
      </c>
      <c r="O1845" s="229" t="str">
        <f t="shared" si="826"/>
        <v/>
      </c>
      <c r="P1845" s="230">
        <f t="shared" si="821"/>
        <v>0</v>
      </c>
      <c r="AP1845" s="242">
        <f ca="1">SUMIFS('Ведомость расчета мин. платы'!$S$10:$S$209,'Ведомость расчета мин. платы'!$AE$10:$AE$209,CONCATENATE(B1838,"/",D1838,"/",E1838,"/",F1838,"/",H1844))</f>
        <v>0</v>
      </c>
      <c r="AQ1845" s="253">
        <f t="shared" ref="AQ1845" ca="1" si="836">AP1845-N1845</f>
        <v>0</v>
      </c>
    </row>
    <row r="1846" spans="2:43" x14ac:dyDescent="0.2">
      <c r="B1846" s="249"/>
      <c r="C1846" s="249"/>
      <c r="D1846" s="249"/>
      <c r="E1846" s="249"/>
      <c r="F1846" s="249"/>
      <c r="G1846" s="249"/>
      <c r="H1846" s="205" t="s">
        <v>40</v>
      </c>
      <c r="I1846" s="248" t="str">
        <f ca="1">IFERROR(INDEX('Ведомость расчета мин. платы'!$J$10:$AE$214,MATCH(CONCATENATE(РАСЧЕТ!B1838,"/",РАСЧЕТ!D1838,"/",РАСЧЕТ!E1838,"/",F1838,"/",H1846),'Ведомость расчета мин. платы'!$AE$10:$AE$214,0),2),"")</f>
        <v/>
      </c>
      <c r="J1846" s="248" t="str">
        <f ca="1">IFERROR(INDEX('Ведомость расчета мин. платы'!$J$10:$AE$214,MATCH(CONCATENATE(РАСЧЕТ!B1838,"/",РАСЧЕТ!D1838,"/",РАСЧЕТ!E1838,"/",F1838,"/",H1846),'Ведомость расчета мин. платы'!$AE$10:$AE$214,0),3),"")</f>
        <v/>
      </c>
      <c r="K1846" s="248" t="str">
        <f ca="1">IFERROR(INDEX('Ведомость расчета мин. платы'!$J$10:$AE$214,MATCH(CONCATENATE(РАСЧЕТ!B1838,"/",РАСЧЕТ!D1838,"/",РАСЧЕТ!E1838,"/",F1838,"/",H1846),'Ведомость расчета мин. платы'!$AE$10:$AE$214,0),4),"")</f>
        <v/>
      </c>
      <c r="L1846" s="248">
        <f t="shared" ca="1" si="822"/>
        <v>0</v>
      </c>
      <c r="M1846" s="248" t="str">
        <f ca="1">IFERROR(INDEX('Ведомость расчета мин. платы'!$J$10:$AE$214,MATCH(CONCATENATE(РАСЧЕТ!B1838,"/",РАСЧЕТ!D1838,"/",РАСЧЕТ!E1838,"/",F1838,"/",H1846),'Ведомость расчета мин. платы'!$AE$10:$AE$214,0),6),"")</f>
        <v/>
      </c>
      <c r="N1846" s="214">
        <f t="shared" ca="1" si="823"/>
        <v>0</v>
      </c>
      <c r="O1846" s="229">
        <f t="shared" si="826"/>
        <v>1</v>
      </c>
      <c r="P1846" s="230">
        <f t="shared" si="821"/>
        <v>0</v>
      </c>
      <c r="AP1846" s="242"/>
      <c r="AQ1846" s="253"/>
    </row>
    <row r="1847" spans="2:43" x14ac:dyDescent="0.2">
      <c r="B1847" s="249"/>
      <c r="C1847" s="249"/>
      <c r="D1847" s="249"/>
      <c r="E1847" s="249"/>
      <c r="F1847" s="249"/>
      <c r="G1847" s="249"/>
      <c r="H1847" s="250" t="s">
        <v>475</v>
      </c>
      <c r="I1847" s="251" t="str">
        <f ca="1">IFERROR(ROUND(I1846*I1836,2),"")</f>
        <v/>
      </c>
      <c r="J1847" s="251" t="str">
        <f t="shared" ref="J1847" ca="1" si="837">IFERROR(ROUND(J1846*J1836,2),"")</f>
        <v/>
      </c>
      <c r="K1847" s="251" t="str">
        <f t="shared" ref="K1847" ca="1" si="838">IFERROR(ROUND(K1846*K1836,2),"")</f>
        <v/>
      </c>
      <c r="L1847" s="251">
        <f t="shared" ca="1" si="822"/>
        <v>0</v>
      </c>
      <c r="M1847" s="251" t="str">
        <f t="shared" ref="M1847" ca="1" si="839">IFERROR(ROUND(M1846*M1836,2),"")</f>
        <v/>
      </c>
      <c r="N1847" s="252">
        <f t="shared" ca="1" si="823"/>
        <v>0</v>
      </c>
      <c r="O1847" s="229" t="str">
        <f t="shared" si="826"/>
        <v/>
      </c>
      <c r="P1847" s="230">
        <f t="shared" si="821"/>
        <v>0</v>
      </c>
      <c r="AP1847" s="242">
        <f ca="1">SUMIFS('Ведомость расчета мин. платы'!$S$10:$S$209,'Ведомость расчета мин. платы'!$AE$10:$AE$209,CONCATENATE(B1838,"/",D1838,"/",E1838,"/",F1838,"/",H1846))</f>
        <v>0</v>
      </c>
      <c r="AQ1847" s="253">
        <f t="shared" ref="AQ1847" ca="1" si="840">AP1847-N1847</f>
        <v>0</v>
      </c>
    </row>
    <row r="1848" spans="2:43" x14ac:dyDescent="0.2">
      <c r="B1848" s="249"/>
      <c r="C1848" s="249"/>
      <c r="D1848" s="249"/>
      <c r="E1848" s="249"/>
      <c r="F1848" s="249"/>
      <c r="G1848" s="249"/>
      <c r="H1848" s="205" t="s">
        <v>18</v>
      </c>
      <c r="I1848" s="248">
        <f ca="1">IFERROR(INDEX('Ведомость расчета мин. платы'!$J$10:$AE$214,MATCH(CONCATENATE(РАСЧЕТ!B1838,"/",РАСЧЕТ!D1838,"/",РАСЧЕТ!E1838,"/",F1838,"/",H1848),'Ведомость расчета мин. платы'!$AE$10:$AE$214,0),2),"")</f>
        <v>189.66</v>
      </c>
      <c r="J1848" s="248">
        <f ca="1">IFERROR(INDEX('Ведомость расчета мин. платы'!$J$10:$AE$214,MATCH(CONCATENATE(РАСЧЕТ!B1838,"/",РАСЧЕТ!D1838,"/",РАСЧЕТ!E1838,"/",F1838,"/",H1848),'Ведомость расчета мин. платы'!$AE$10:$AE$214,0),3),"")</f>
        <v>302.88</v>
      </c>
      <c r="K1848" s="248">
        <f ca="1">IFERROR(INDEX('Ведомость расчета мин. платы'!$J$10:$AE$214,MATCH(CONCATENATE(РАСЧЕТ!B1838,"/",РАСЧЕТ!D1838,"/",РАСЧЕТ!E1838,"/",F1838,"/",H1848),'Ведомость расчета мин. платы'!$AE$10:$AE$214,0),4),"")</f>
        <v>18.36</v>
      </c>
      <c r="L1848" s="248">
        <f t="shared" ca="1" si="822"/>
        <v>510.9</v>
      </c>
      <c r="M1848" s="248">
        <f ca="1">IFERROR(INDEX('Ведомость расчета мин. платы'!$J$10:$AE$214,MATCH(CONCATENATE(РАСЧЕТ!B1838,"/",РАСЧЕТ!D1838,"/",РАСЧЕТ!E1838,"/",F1838,"/",H1848),'Ведомость расчета мин. платы'!$AE$10:$AE$214,0),6),"")</f>
        <v>274.77</v>
      </c>
      <c r="N1848" s="214">
        <f t="shared" ca="1" si="823"/>
        <v>785.67</v>
      </c>
      <c r="O1848" s="229">
        <f t="shared" si="826"/>
        <v>1</v>
      </c>
      <c r="P1848" s="230">
        <f t="shared" si="821"/>
        <v>0</v>
      </c>
      <c r="AP1848" s="242"/>
      <c r="AQ1848" s="253"/>
    </row>
    <row r="1849" spans="2:43" x14ac:dyDescent="0.2">
      <c r="B1849" s="249"/>
      <c r="C1849" s="249"/>
      <c r="D1849" s="249"/>
      <c r="E1849" s="249"/>
      <c r="F1849" s="249"/>
      <c r="G1849" s="249"/>
      <c r="H1849" s="250" t="s">
        <v>475</v>
      </c>
      <c r="I1849" s="251">
        <f ca="1">IFERROR(ROUND(I1848*I1837,2),"")</f>
        <v>4329.9399999999996</v>
      </c>
      <c r="J1849" s="251">
        <f t="shared" ref="J1849" ca="1" si="841">IFERROR(ROUND(J1848*J1837,2),"")</f>
        <v>5273.14</v>
      </c>
      <c r="K1849" s="251">
        <f t="shared" ref="K1849" ca="1" si="842">IFERROR(ROUND(K1848*K1837,2),"")</f>
        <v>162.49</v>
      </c>
      <c r="L1849" s="251">
        <f t="shared" ca="1" si="822"/>
        <v>9765.57</v>
      </c>
      <c r="M1849" s="251">
        <f t="shared" ref="M1849" ca="1" si="843">IFERROR(ROUND(M1848*M1837,2),"")</f>
        <v>156.62</v>
      </c>
      <c r="N1849" s="252">
        <f t="shared" ca="1" si="823"/>
        <v>9922.19</v>
      </c>
      <c r="O1849" s="229" t="str">
        <f t="shared" si="826"/>
        <v/>
      </c>
      <c r="P1849" s="230">
        <f t="shared" si="821"/>
        <v>0</v>
      </c>
      <c r="AP1849" s="242">
        <f ca="1">SUMIFS('Ведомость расчета мин. платы'!$S$10:$S$209,'Ведомость расчета мин. платы'!$AE$10:$AE$209,CONCATENATE(B1838,"/",D1838,"/",E1838,"/",F1838,"/",H1848))</f>
        <v>9922.19</v>
      </c>
      <c r="AQ1849" s="253">
        <f t="shared" ref="AQ1849" ca="1" si="844">AP1849-N1849</f>
        <v>0</v>
      </c>
    </row>
    <row r="1850" spans="2:43" x14ac:dyDescent="0.2">
      <c r="B1850" s="249"/>
      <c r="C1850" s="249"/>
      <c r="D1850" s="249"/>
      <c r="E1850" s="249"/>
      <c r="F1850" s="249"/>
      <c r="G1850" s="249"/>
      <c r="H1850" s="254" t="s">
        <v>476</v>
      </c>
      <c r="I1850" s="251">
        <f ca="1">SUMIF($O1838:$O1851,1,I1838:I1849)</f>
        <v>196.34</v>
      </c>
      <c r="J1850" s="251">
        <f ca="1">SUMIF($O1838:$O1851,1,J1838:J1849)</f>
        <v>379.88</v>
      </c>
      <c r="K1850" s="251">
        <f ca="1">SUMIF($O1838:$O1851,1,K1838:K1849)</f>
        <v>42.74</v>
      </c>
      <c r="L1850" s="251">
        <f t="shared" ca="1" si="822"/>
        <v>618.96</v>
      </c>
      <c r="M1850" s="251">
        <f ca="1">SUMIF($O1838:$O1851,1,M1838:M1849)</f>
        <v>349.49</v>
      </c>
      <c r="N1850" s="252">
        <f t="shared" ca="1" si="823"/>
        <v>968.45</v>
      </c>
      <c r="AP1850" s="242"/>
      <c r="AQ1850" s="253"/>
    </row>
    <row r="1851" spans="2:43" x14ac:dyDescent="0.2">
      <c r="B1851" s="249"/>
      <c r="C1851" s="249"/>
      <c r="D1851" s="249"/>
      <c r="E1851" s="249"/>
      <c r="F1851" s="249"/>
      <c r="G1851" s="249"/>
      <c r="H1851" s="254" t="s">
        <v>491</v>
      </c>
      <c r="I1851" s="251">
        <f ca="1">SUMIF(H1838:H1849,"стоимость",I1838:I1849)</f>
        <v>5114</v>
      </c>
      <c r="J1851" s="251">
        <f ca="1">SUMIF(H1838:H1849,"стоимость",J1838:J1849)</f>
        <v>10728.5</v>
      </c>
      <c r="K1851" s="251">
        <f ca="1">SUMIF(H1838:H1849,"стоимость",K1838:K1849)</f>
        <v>1053.5500000000002</v>
      </c>
      <c r="L1851" s="251">
        <f ca="1">IFERROR(SUM(I1851:K1851),"")</f>
        <v>16896.05</v>
      </c>
      <c r="M1851" s="251">
        <f ca="1">SUMIF(H1838:H1849,"стоимость",M1838:M1849)</f>
        <v>492.5799999999993</v>
      </c>
      <c r="N1851" s="252">
        <f ca="1">IFERROR(SUM(L1851:M1851),"")</f>
        <v>17388.629999999997</v>
      </c>
      <c r="AP1851" s="242">
        <f ca="1">SUMIFS('Ведомость расчета мин. платы'!$S$10:$S$209,'Ведомость расчета мин. платы'!$J$10:$J$209,"Итого",'Ведомость расчета мин. платы'!$AC$10:$AC$209,CONCATENATE(B1838,"/",D1838,"/",E1838,"/",F1838))</f>
        <v>17388.63</v>
      </c>
      <c r="AQ1851" s="253">
        <f ca="1">AP1851-N1851</f>
        <v>0</v>
      </c>
    </row>
    <row r="1852" spans="2:43" x14ac:dyDescent="0.2">
      <c r="B1852" s="255"/>
      <c r="C1852" s="255"/>
      <c r="D1852" s="255"/>
      <c r="E1852" s="255"/>
      <c r="F1852" s="255"/>
      <c r="G1852" s="256"/>
      <c r="H1852" s="257"/>
      <c r="I1852" s="258"/>
      <c r="J1852" s="258"/>
      <c r="K1852" s="258"/>
      <c r="L1852" s="258"/>
      <c r="M1852" s="258"/>
      <c r="N1852" s="258"/>
      <c r="P1852" s="230">
        <f t="shared" ref="P1852:P1870" si="845">IF(A1852&gt;0,1,0)</f>
        <v>0</v>
      </c>
    </row>
    <row r="1853" spans="2:43" x14ac:dyDescent="0.2">
      <c r="B1853" s="282" t="s">
        <v>477</v>
      </c>
      <c r="C1853" s="282"/>
      <c r="D1853" s="282"/>
      <c r="E1853" s="282"/>
      <c r="F1853" s="259"/>
      <c r="G1853" s="225"/>
      <c r="H1853" s="201"/>
      <c r="I1853" s="226"/>
      <c r="J1853" s="258"/>
      <c r="K1853" s="258"/>
      <c r="L1853" s="258"/>
      <c r="M1853" s="258"/>
      <c r="N1853" s="258"/>
      <c r="P1853" s="230">
        <f t="shared" si="845"/>
        <v>0</v>
      </c>
    </row>
    <row r="1854" spans="2:43" x14ac:dyDescent="0.2">
      <c r="B1854" s="283" t="s">
        <v>525</v>
      </c>
      <c r="C1854" s="283"/>
      <c r="D1854" s="283"/>
      <c r="E1854" s="283"/>
      <c r="F1854" s="283"/>
      <c r="G1854" s="283"/>
      <c r="H1854" s="283"/>
      <c r="I1854" s="283"/>
      <c r="J1854" s="261"/>
      <c r="K1854" s="261"/>
      <c r="L1854" s="261"/>
      <c r="M1854" s="261"/>
      <c r="N1854" s="261"/>
      <c r="P1854" s="230">
        <f t="shared" si="845"/>
        <v>0</v>
      </c>
    </row>
    <row r="1855" spans="2:43" x14ac:dyDescent="0.2">
      <c r="B1855" s="284" t="s">
        <v>478</v>
      </c>
      <c r="C1855" s="284"/>
      <c r="D1855" s="284"/>
      <c r="E1855" s="284"/>
      <c r="F1855" s="284"/>
      <c r="G1855" s="284"/>
      <c r="H1855" s="284"/>
      <c r="I1855" s="284"/>
      <c r="J1855" s="258"/>
      <c r="K1855" s="258"/>
      <c r="L1855" s="258"/>
      <c r="M1855" s="258"/>
      <c r="N1855" s="258"/>
      <c r="P1855" s="230">
        <f t="shared" si="845"/>
        <v>0</v>
      </c>
    </row>
    <row r="1856" spans="2:43" x14ac:dyDescent="0.2">
      <c r="B1856" s="284" t="s">
        <v>479</v>
      </c>
      <c r="C1856" s="284"/>
      <c r="D1856" s="284"/>
      <c r="E1856" s="284"/>
      <c r="F1856" s="284"/>
      <c r="G1856" s="284"/>
      <c r="H1856" s="284"/>
      <c r="I1856" s="284"/>
      <c r="J1856" s="258"/>
      <c r="K1856" s="258"/>
      <c r="L1856" s="258"/>
      <c r="M1856" s="258"/>
      <c r="N1856" s="258"/>
      <c r="P1856" s="230">
        <f t="shared" si="845"/>
        <v>0</v>
      </c>
    </row>
    <row r="1857" spans="1:16" x14ac:dyDescent="0.2">
      <c r="B1857" s="284" t="s">
        <v>480</v>
      </c>
      <c r="C1857" s="284"/>
      <c r="D1857" s="284"/>
      <c r="E1857" s="284"/>
      <c r="F1857" s="284"/>
      <c r="G1857" s="284"/>
      <c r="H1857" s="284"/>
      <c r="I1857" s="284"/>
      <c r="J1857" s="258"/>
      <c r="K1857" s="258"/>
      <c r="L1857" s="258"/>
      <c r="M1857" s="258"/>
      <c r="N1857" s="258"/>
      <c r="P1857" s="230">
        <f t="shared" si="845"/>
        <v>0</v>
      </c>
    </row>
    <row r="1858" spans="1:16" x14ac:dyDescent="0.2">
      <c r="B1858" s="284" t="s">
        <v>481</v>
      </c>
      <c r="C1858" s="284"/>
      <c r="D1858" s="284"/>
      <c r="E1858" s="284"/>
      <c r="F1858" s="284"/>
      <c r="G1858" s="284"/>
      <c r="H1858" s="284"/>
      <c r="I1858" s="284"/>
      <c r="J1858" s="226"/>
      <c r="K1858" s="226"/>
      <c r="L1858" s="226"/>
      <c r="M1858" s="226"/>
      <c r="N1858" s="226"/>
      <c r="P1858" s="230">
        <f t="shared" si="845"/>
        <v>0</v>
      </c>
    </row>
    <row r="1859" spans="1:16" x14ac:dyDescent="0.2">
      <c r="B1859" s="284" t="s">
        <v>482</v>
      </c>
      <c r="C1859" s="284"/>
      <c r="D1859" s="284"/>
      <c r="E1859" s="284"/>
      <c r="F1859" s="284"/>
      <c r="G1859" s="284"/>
      <c r="H1859" s="284"/>
      <c r="I1859" s="284"/>
      <c r="J1859" s="226"/>
      <c r="K1859" s="226"/>
      <c r="L1859" s="226"/>
      <c r="M1859" s="226"/>
      <c r="N1859" s="226"/>
      <c r="P1859" s="230">
        <f t="shared" si="845"/>
        <v>0</v>
      </c>
    </row>
    <row r="1860" spans="1:16" x14ac:dyDescent="0.2">
      <c r="B1860" s="284" t="s">
        <v>483</v>
      </c>
      <c r="C1860" s="284"/>
      <c r="D1860" s="284"/>
      <c r="E1860" s="284"/>
      <c r="F1860" s="284"/>
      <c r="G1860" s="284"/>
      <c r="H1860" s="284"/>
      <c r="I1860" s="284"/>
      <c r="J1860" s="226"/>
      <c r="K1860" s="226"/>
      <c r="L1860" s="226"/>
      <c r="M1860" s="226"/>
      <c r="N1860" s="226"/>
      <c r="P1860" s="230">
        <f t="shared" si="845"/>
        <v>0</v>
      </c>
    </row>
    <row r="1861" spans="1:16" x14ac:dyDescent="0.2">
      <c r="B1861" s="284" t="s">
        <v>484</v>
      </c>
      <c r="C1861" s="284"/>
      <c r="D1861" s="284"/>
      <c r="E1861" s="284"/>
      <c r="F1861" s="284"/>
      <c r="G1861" s="284"/>
      <c r="H1861" s="284"/>
      <c r="I1861" s="284"/>
      <c r="J1861" s="226"/>
      <c r="K1861" s="226"/>
      <c r="L1861" s="226"/>
      <c r="M1861" s="226"/>
      <c r="N1861" s="226"/>
      <c r="P1861" s="230">
        <f t="shared" si="845"/>
        <v>0</v>
      </c>
    </row>
    <row r="1862" spans="1:16" x14ac:dyDescent="0.2">
      <c r="B1862" s="264"/>
      <c r="C1862" s="264"/>
      <c r="D1862" s="264"/>
      <c r="E1862" s="264"/>
      <c r="F1862" s="264"/>
      <c r="G1862" s="264"/>
      <c r="H1862" s="264"/>
      <c r="I1862" s="265"/>
      <c r="J1862" s="226"/>
      <c r="K1862" s="226"/>
      <c r="L1862" s="226"/>
      <c r="M1862" s="226"/>
      <c r="N1862" s="226"/>
      <c r="P1862" s="230">
        <f t="shared" si="845"/>
        <v>0</v>
      </c>
    </row>
    <row r="1863" spans="1:16" x14ac:dyDescent="0.2">
      <c r="B1863" s="225" t="s">
        <v>485</v>
      </c>
      <c r="C1863" s="225"/>
      <c r="D1863" s="225"/>
      <c r="E1863" s="225"/>
      <c r="F1863" s="225"/>
      <c r="G1863" s="225"/>
      <c r="H1863" s="201"/>
      <c r="I1863" s="226"/>
      <c r="J1863" s="226" t="s">
        <v>486</v>
      </c>
      <c r="K1863" s="226"/>
      <c r="L1863" s="226"/>
      <c r="M1863" s="226"/>
      <c r="N1863" s="226"/>
      <c r="P1863" s="230">
        <f t="shared" si="845"/>
        <v>0</v>
      </c>
    </row>
    <row r="1864" spans="1:16" x14ac:dyDescent="0.2">
      <c r="B1864" s="266" t="s">
        <v>524</v>
      </c>
      <c r="C1864" s="266"/>
      <c r="D1864" s="225"/>
      <c r="E1864" s="225"/>
      <c r="F1864" s="225"/>
      <c r="G1864" s="225"/>
      <c r="H1864" s="201"/>
      <c r="I1864" s="226"/>
      <c r="J1864" s="267"/>
      <c r="K1864" s="267"/>
      <c r="L1864" s="267"/>
      <c r="M1864" s="226"/>
      <c r="N1864" s="226"/>
      <c r="P1864" s="230">
        <f t="shared" si="845"/>
        <v>0</v>
      </c>
    </row>
    <row r="1865" spans="1:16" x14ac:dyDescent="0.2">
      <c r="B1865" s="268" t="s">
        <v>487</v>
      </c>
      <c r="C1865" s="225"/>
      <c r="D1865" s="225"/>
      <c r="E1865" s="225"/>
      <c r="F1865" s="225"/>
      <c r="G1865" s="225"/>
      <c r="H1865" s="201"/>
      <c r="I1865" s="226"/>
      <c r="J1865" s="226" t="s">
        <v>487</v>
      </c>
      <c r="K1865" s="226"/>
      <c r="L1865" s="226"/>
      <c r="M1865" s="226"/>
      <c r="N1865" s="226"/>
      <c r="P1865" s="230">
        <f t="shared" si="845"/>
        <v>0</v>
      </c>
    </row>
    <row r="1866" spans="1:16" x14ac:dyDescent="0.2">
      <c r="B1866" s="225"/>
      <c r="C1866" s="225"/>
      <c r="D1866" s="225"/>
      <c r="E1866" s="225"/>
      <c r="F1866" s="225"/>
      <c r="G1866" s="225"/>
      <c r="H1866" s="201"/>
      <c r="I1866" s="226"/>
      <c r="J1866" s="226"/>
      <c r="K1866" s="226"/>
      <c r="L1866" s="226"/>
      <c r="M1866" s="226"/>
      <c r="N1866" s="226"/>
      <c r="P1866" s="230">
        <f t="shared" si="845"/>
        <v>0</v>
      </c>
    </row>
    <row r="1867" spans="1:16" x14ac:dyDescent="0.2">
      <c r="B1867" s="266"/>
      <c r="C1867" s="266"/>
      <c r="D1867" s="225"/>
      <c r="E1867" s="225"/>
      <c r="F1867" s="225"/>
      <c r="G1867" s="225"/>
      <c r="H1867" s="201"/>
      <c r="I1867" s="226"/>
      <c r="J1867" s="267"/>
      <c r="K1867" s="267"/>
      <c r="L1867" s="267"/>
      <c r="M1867" s="226"/>
      <c r="N1867" s="226"/>
      <c r="P1867" s="230">
        <f t="shared" si="845"/>
        <v>0</v>
      </c>
    </row>
    <row r="1868" spans="1:16" x14ac:dyDescent="0.2">
      <c r="B1868" s="269" t="s">
        <v>488</v>
      </c>
      <c r="C1868" s="225"/>
      <c r="D1868" s="225"/>
      <c r="E1868" s="225"/>
      <c r="F1868" s="225"/>
      <c r="G1868" s="225"/>
      <c r="H1868" s="201"/>
      <c r="I1868" s="226"/>
      <c r="J1868" s="285" t="s">
        <v>488</v>
      </c>
      <c r="K1868" s="285"/>
      <c r="L1868" s="285"/>
      <c r="M1868" s="226"/>
      <c r="N1868" s="226"/>
      <c r="P1868" s="230">
        <f t="shared" si="845"/>
        <v>0</v>
      </c>
    </row>
    <row r="1869" spans="1:16" x14ac:dyDescent="0.2">
      <c r="B1869" s="225"/>
      <c r="C1869" s="225"/>
      <c r="D1869" s="225"/>
      <c r="E1869" s="225"/>
      <c r="F1869" s="225"/>
      <c r="G1869" s="225"/>
      <c r="H1869" s="201"/>
      <c r="I1869" s="226"/>
      <c r="J1869" s="226"/>
      <c r="K1869" s="226"/>
      <c r="L1869" s="226"/>
      <c r="M1869" s="226"/>
      <c r="N1869" s="226"/>
      <c r="P1869" s="230">
        <f t="shared" si="845"/>
        <v>0</v>
      </c>
    </row>
    <row r="1870" spans="1:16" x14ac:dyDescent="0.2">
      <c r="B1870" s="264" t="s">
        <v>489</v>
      </c>
      <c r="C1870" s="225"/>
      <c r="D1870" s="225"/>
      <c r="E1870" s="225"/>
      <c r="F1870" s="225"/>
      <c r="G1870" s="225"/>
      <c r="H1870" s="201"/>
      <c r="I1870" s="226"/>
      <c r="J1870" s="226" t="s">
        <v>489</v>
      </c>
      <c r="K1870" s="226"/>
      <c r="L1870" s="226"/>
      <c r="M1870" s="226"/>
      <c r="N1870" s="226"/>
      <c r="P1870" s="230">
        <f t="shared" si="845"/>
        <v>0</v>
      </c>
    </row>
    <row r="1871" spans="1:16" x14ac:dyDescent="0.2">
      <c r="A1871" s="272"/>
      <c r="B1871" s="225"/>
      <c r="C1871" s="225"/>
      <c r="D1871" s="225"/>
      <c r="E1871" s="225"/>
      <c r="F1871" s="225"/>
      <c r="G1871" s="225"/>
      <c r="H1871" s="201"/>
      <c r="I1871" s="226"/>
      <c r="J1871" s="226"/>
      <c r="K1871" s="226"/>
      <c r="M1871" s="226"/>
      <c r="N1871" s="228"/>
    </row>
    <row r="1872" spans="1:16" x14ac:dyDescent="0.2">
      <c r="A1872" s="260"/>
      <c r="B1872" s="225"/>
      <c r="C1872" s="225"/>
      <c r="D1872" s="225"/>
      <c r="E1872" s="225"/>
      <c r="F1872" s="225"/>
      <c r="G1872" s="225"/>
      <c r="H1872" s="201"/>
      <c r="I1872" s="226"/>
      <c r="J1872" s="226"/>
      <c r="K1872" s="226"/>
      <c r="M1872" s="226"/>
      <c r="N1872" s="228" t="s">
        <v>455</v>
      </c>
      <c r="P1872" s="230">
        <f t="shared" ref="P1872:P1889" si="846">IF(A1872&gt;0,1,0)</f>
        <v>0</v>
      </c>
    </row>
    <row r="1873" spans="1:18" x14ac:dyDescent="0.2">
      <c r="B1873" s="225"/>
      <c r="C1873" s="225"/>
      <c r="D1873" s="225"/>
      <c r="E1873" s="225"/>
      <c r="F1873" s="225"/>
      <c r="G1873" s="225"/>
      <c r="H1873" s="201"/>
      <c r="I1873" s="226"/>
      <c r="J1873" s="226"/>
      <c r="K1873" s="226"/>
      <c r="M1873" s="226"/>
      <c r="N1873" s="228" t="s">
        <v>456</v>
      </c>
      <c r="P1873" s="230">
        <f t="shared" si="846"/>
        <v>0</v>
      </c>
    </row>
    <row r="1874" spans="1:18" x14ac:dyDescent="0.2">
      <c r="B1874" s="225"/>
      <c r="C1874" s="225"/>
      <c r="D1874" s="225"/>
      <c r="E1874" s="225"/>
      <c r="F1874" s="225"/>
      <c r="G1874" s="225"/>
      <c r="H1874" s="201"/>
      <c r="I1874" s="226"/>
      <c r="J1874" s="226"/>
      <c r="K1874" s="226"/>
      <c r="M1874" s="226"/>
      <c r="N1874" s="228" t="s">
        <v>457</v>
      </c>
      <c r="P1874" s="230">
        <f t="shared" si="846"/>
        <v>0</v>
      </c>
    </row>
    <row r="1875" spans="1:18" x14ac:dyDescent="0.2">
      <c r="B1875" s="225"/>
      <c r="C1875" s="225"/>
      <c r="D1875" s="225"/>
      <c r="E1875" s="225"/>
      <c r="F1875" s="225"/>
      <c r="G1875" s="225"/>
      <c r="H1875" s="201"/>
      <c r="I1875" s="226"/>
      <c r="J1875" s="226"/>
      <c r="K1875" s="226"/>
      <c r="L1875" s="226"/>
      <c r="M1875" s="226"/>
      <c r="N1875" s="226"/>
      <c r="P1875" s="230">
        <f t="shared" si="846"/>
        <v>0</v>
      </c>
    </row>
    <row r="1876" spans="1:18" x14ac:dyDescent="0.2">
      <c r="B1876" s="225"/>
      <c r="C1876" s="286" t="s">
        <v>458</v>
      </c>
      <c r="D1876" s="286"/>
      <c r="E1876" s="286"/>
      <c r="F1876" s="286"/>
      <c r="G1876" s="286"/>
      <c r="H1876" s="286"/>
      <c r="I1876" s="286"/>
      <c r="J1876" s="286"/>
      <c r="K1876" s="286"/>
      <c r="L1876" s="286"/>
      <c r="M1876" s="226"/>
      <c r="N1876" s="226"/>
      <c r="P1876" s="230">
        <f t="shared" si="846"/>
        <v>0</v>
      </c>
    </row>
    <row r="1877" spans="1:18" x14ac:dyDescent="0.2">
      <c r="B1877" s="225"/>
      <c r="C1877" s="286" t="s">
        <v>459</v>
      </c>
      <c r="D1877" s="286"/>
      <c r="E1877" s="286"/>
      <c r="F1877" s="286"/>
      <c r="G1877" s="286"/>
      <c r="H1877" s="286"/>
      <c r="I1877" s="286"/>
      <c r="J1877" s="286"/>
      <c r="K1877" s="286"/>
      <c r="L1877" s="286"/>
      <c r="M1877" s="226"/>
      <c r="N1877" s="226"/>
      <c r="P1877" s="230">
        <f t="shared" si="846"/>
        <v>0</v>
      </c>
    </row>
    <row r="1878" spans="1:18" x14ac:dyDescent="0.2">
      <c r="B1878" s="225" t="s">
        <v>460</v>
      </c>
      <c r="C1878" s="234"/>
      <c r="D1878" s="234"/>
      <c r="E1878" s="234"/>
      <c r="F1878" s="234"/>
      <c r="G1878" s="234"/>
      <c r="H1878" s="234"/>
      <c r="I1878" s="235"/>
      <c r="J1878" s="235"/>
      <c r="K1878" s="235"/>
      <c r="L1878" s="287" t="s">
        <v>461</v>
      </c>
      <c r="M1878" s="287"/>
      <c r="N1878" s="287"/>
      <c r="P1878" s="230">
        <f t="shared" si="846"/>
        <v>0</v>
      </c>
    </row>
    <row r="1879" spans="1:18" x14ac:dyDescent="0.2">
      <c r="B1879" s="225"/>
      <c r="C1879" s="234"/>
      <c r="D1879" s="234"/>
      <c r="E1879" s="234"/>
      <c r="F1879" s="234"/>
      <c r="G1879" s="234"/>
      <c r="H1879" s="234"/>
      <c r="I1879" s="235"/>
      <c r="J1879" s="235"/>
      <c r="K1879" s="235"/>
      <c r="L1879" s="235"/>
      <c r="M1879" s="235"/>
      <c r="N1879" s="235"/>
      <c r="P1879" s="230">
        <f t="shared" si="846"/>
        <v>0</v>
      </c>
    </row>
    <row r="1880" spans="1:18" x14ac:dyDescent="0.2">
      <c r="B1880" s="225" t="s">
        <v>2038</v>
      </c>
      <c r="C1880" s="234"/>
      <c r="D1880" s="234"/>
      <c r="E1880" s="234"/>
      <c r="F1880" s="234"/>
      <c r="G1880" s="234"/>
      <c r="H1880" s="234"/>
      <c r="I1880" s="235"/>
      <c r="J1880" s="235"/>
      <c r="K1880" s="235"/>
      <c r="L1880" s="235"/>
      <c r="M1880" s="235"/>
      <c r="N1880" s="235"/>
      <c r="P1880" s="230">
        <f t="shared" si="846"/>
        <v>0</v>
      </c>
    </row>
    <row r="1881" spans="1:18" x14ac:dyDescent="0.2">
      <c r="B1881" s="225" t="s">
        <v>462</v>
      </c>
      <c r="C1881" s="234"/>
      <c r="D1881" s="234"/>
      <c r="E1881" s="234"/>
      <c r="F1881" s="234"/>
      <c r="G1881" s="234"/>
      <c r="H1881" s="234"/>
      <c r="I1881" s="235"/>
      <c r="J1881" s="235"/>
      <c r="K1881" s="235"/>
      <c r="L1881" s="235"/>
      <c r="M1881" s="235"/>
      <c r="N1881" s="235"/>
      <c r="P1881" s="230">
        <f t="shared" si="846"/>
        <v>0</v>
      </c>
    </row>
    <row r="1882" spans="1:18" x14ac:dyDescent="0.2">
      <c r="B1882" s="225" t="s">
        <v>2037</v>
      </c>
      <c r="C1882" s="234"/>
      <c r="D1882" s="234"/>
      <c r="E1882" s="234"/>
      <c r="F1882" s="234"/>
      <c r="G1882" s="234"/>
      <c r="H1882" s="234"/>
      <c r="I1882" s="235"/>
      <c r="J1882" s="235"/>
      <c r="K1882" s="235"/>
      <c r="L1882" s="235"/>
      <c r="M1882" s="235"/>
      <c r="N1882" s="235"/>
      <c r="P1882" s="230">
        <f t="shared" si="846"/>
        <v>0</v>
      </c>
    </row>
    <row r="1883" spans="1:18" x14ac:dyDescent="0.2">
      <c r="B1883" s="225" t="s">
        <v>2052</v>
      </c>
      <c r="C1883" s="234"/>
      <c r="D1883" s="234"/>
      <c r="E1883" s="234"/>
      <c r="F1883" s="234"/>
      <c r="G1883" s="234"/>
      <c r="H1883" s="234"/>
      <c r="I1883" s="235"/>
      <c r="J1883" s="235"/>
      <c r="K1883" s="235"/>
      <c r="L1883" s="235"/>
      <c r="M1883" s="235"/>
      <c r="N1883" s="235"/>
      <c r="P1883" s="230">
        <f t="shared" si="846"/>
        <v>0</v>
      </c>
    </row>
    <row r="1884" spans="1:18" x14ac:dyDescent="0.2">
      <c r="B1884" s="225"/>
      <c r="C1884" s="225"/>
      <c r="D1884" s="225"/>
      <c r="E1884" s="225"/>
      <c r="F1884" s="225"/>
      <c r="G1884" s="225"/>
      <c r="H1884" s="201"/>
      <c r="I1884" s="226"/>
      <c r="J1884" s="226"/>
      <c r="K1884" s="226"/>
      <c r="L1884" s="226"/>
      <c r="M1884" s="226"/>
      <c r="N1884" s="226"/>
      <c r="P1884" s="230">
        <f t="shared" si="846"/>
        <v>0</v>
      </c>
    </row>
    <row r="1885" spans="1:18" x14ac:dyDescent="0.2">
      <c r="B1885" s="288" t="s">
        <v>106</v>
      </c>
      <c r="C1885" s="290" t="s">
        <v>463</v>
      </c>
      <c r="D1885" s="288" t="s">
        <v>464</v>
      </c>
      <c r="E1885" s="288" t="s">
        <v>465</v>
      </c>
      <c r="F1885" s="288" t="s">
        <v>490</v>
      </c>
      <c r="G1885" s="288" t="s">
        <v>466</v>
      </c>
      <c r="H1885" s="292" t="s">
        <v>8</v>
      </c>
      <c r="I1885" s="294" t="s">
        <v>467</v>
      </c>
      <c r="J1885" s="295"/>
      <c r="K1885" s="295"/>
      <c r="L1885" s="296"/>
      <c r="M1885" s="297" t="s">
        <v>468</v>
      </c>
      <c r="N1885" s="299" t="s">
        <v>469</v>
      </c>
      <c r="P1885" s="230">
        <f t="shared" si="846"/>
        <v>0</v>
      </c>
    </row>
    <row r="1886" spans="1:18" x14ac:dyDescent="0.2">
      <c r="B1886" s="289"/>
      <c r="C1886" s="291"/>
      <c r="D1886" s="289"/>
      <c r="E1886" s="289"/>
      <c r="F1886" s="289"/>
      <c r="G1886" s="289"/>
      <c r="H1886" s="293"/>
      <c r="I1886" s="236" t="s">
        <v>470</v>
      </c>
      <c r="J1886" s="236" t="s">
        <v>471</v>
      </c>
      <c r="K1886" s="236" t="s">
        <v>472</v>
      </c>
      <c r="L1886" s="236" t="s">
        <v>473</v>
      </c>
      <c r="M1886" s="298"/>
      <c r="N1886" s="300"/>
      <c r="P1886" s="230">
        <f t="shared" si="846"/>
        <v>0</v>
      </c>
    </row>
    <row r="1887" spans="1:18" x14ac:dyDescent="0.2">
      <c r="A1887" s="224" t="str">
        <f>CONCATENATE("Лот"," ",A1888)</f>
        <v>Лот 35</v>
      </c>
      <c r="B1887" s="273" t="s">
        <v>2087</v>
      </c>
      <c r="C1887" s="274"/>
      <c r="D1887" s="274"/>
      <c r="E1887" s="274"/>
      <c r="F1887" s="274"/>
      <c r="G1887" s="275"/>
      <c r="H1887" s="238" t="s">
        <v>17</v>
      </c>
      <c r="I1887" s="270">
        <f ca="1">ROUND(VLOOKUP($H1887,$AJ$4:$AN$13,2,0)*$Q1889*1.51,2)</f>
        <v>120.15</v>
      </c>
      <c r="J1887" s="270">
        <f ca="1">ROUND(VLOOKUP($H1887,$AJ$4:$AN$13,3,0)*$Q1889*1.51,2)</f>
        <v>85.62</v>
      </c>
      <c r="K1887" s="270">
        <f ca="1">ROUND(VLOOKUP($H1887,$AJ$4:$AN$13,4,0)*$Q1889*1.51,2)</f>
        <v>43.38</v>
      </c>
      <c r="L1887" s="270"/>
      <c r="M1887" s="270">
        <f ca="1">ROUND(VLOOKUP($H1887,$AJ$4:$AN$13,5,0)*$Q1889*1.51,2)</f>
        <v>6.85</v>
      </c>
      <c r="N1887" s="270"/>
      <c r="P1887" s="230">
        <f t="shared" si="846"/>
        <v>1</v>
      </c>
    </row>
    <row r="1888" spans="1:18" x14ac:dyDescent="0.2">
      <c r="A1888" s="224">
        <f>A1833+1</f>
        <v>35</v>
      </c>
      <c r="B1888" s="276"/>
      <c r="C1888" s="277"/>
      <c r="D1888" s="277"/>
      <c r="E1888" s="277"/>
      <c r="F1888" s="277"/>
      <c r="G1888" s="278"/>
      <c r="H1888" s="238" t="s">
        <v>25</v>
      </c>
      <c r="I1888" s="270">
        <f ca="1">ROUND(VLOOKUP($H1888,$AJ$4:$AN$13,2,0)*$Q1889*1.51,2)</f>
        <v>898.69</v>
      </c>
      <c r="J1888" s="270">
        <f ca="1">ROUND(VLOOKUP($H1888,$AJ$4:$AN$13,3,0)*$Q1889*1.51,2)</f>
        <v>642.13</v>
      </c>
      <c r="K1888" s="270">
        <f ca="1">ROUND(VLOOKUP($H1888,$AJ$4:$AN$13,4,0)*$Q1889*1.51,2)</f>
        <v>323.06</v>
      </c>
      <c r="L1888" s="270"/>
      <c r="M1888" s="270">
        <f ca="1">ROUND(VLOOKUP($H1888,$AJ$4:$AN$13,5,0)*$Q1889*1.51,2)</f>
        <v>27.97</v>
      </c>
      <c r="N1888" s="270"/>
      <c r="P1888" s="230">
        <f t="shared" si="846"/>
        <v>1</v>
      </c>
      <c r="Q1888" s="240" t="s">
        <v>2045</v>
      </c>
      <c r="R1888" s="240" t="s">
        <v>2046</v>
      </c>
    </row>
    <row r="1889" spans="1:43" x14ac:dyDescent="0.2">
      <c r="B1889" s="276"/>
      <c r="C1889" s="277"/>
      <c r="D1889" s="277"/>
      <c r="E1889" s="277"/>
      <c r="F1889" s="277"/>
      <c r="G1889" s="278"/>
      <c r="H1889" s="238" t="s">
        <v>19</v>
      </c>
      <c r="I1889" s="270">
        <f ca="1">ROUND(VLOOKUP($H1889,$AJ$4:$AN$13,2,0)*$Q1889*1.51,2)</f>
        <v>71.349999999999994</v>
      </c>
      <c r="J1889" s="270">
        <f ca="1">ROUND(VLOOKUP($H1889,$AJ$4:$AN$13,3,0)*$Q1889*1.51,2)</f>
        <v>51.94</v>
      </c>
      <c r="K1889" s="270">
        <f ca="1">ROUND(VLOOKUP($H1889,$AJ$4:$AN$13,4,0)*$Q1889*1.51,2)</f>
        <v>26.54</v>
      </c>
      <c r="L1889" s="270"/>
      <c r="M1889" s="270">
        <f ca="1">ROUND(VLOOKUP($H1889,$AJ$4:$AN$13,5,0)*$Q1889*1.51,2)</f>
        <v>1.43</v>
      </c>
      <c r="N1889" s="270"/>
      <c r="P1889" s="230">
        <f t="shared" si="846"/>
        <v>0</v>
      </c>
      <c r="Q1889" s="123">
        <f ca="1">IFERROR(IF(R1889="","",IF(OR(R1889&lt;100,R1889=100),0.9,IF(OR(AND(R1889&gt;100,R1889&lt;150),R1889=150),1,IF(R1889&gt;150,1.05,"")))),"0")</f>
        <v>1.05</v>
      </c>
      <c r="R1889" s="123">
        <f ca="1">N1905/G1893</f>
        <v>271.95510204081631</v>
      </c>
    </row>
    <row r="1890" spans="1:43" x14ac:dyDescent="0.2">
      <c r="B1890" s="276"/>
      <c r="C1890" s="277"/>
      <c r="D1890" s="277"/>
      <c r="E1890" s="277"/>
      <c r="F1890" s="277"/>
      <c r="G1890" s="278"/>
      <c r="H1890" s="238" t="s">
        <v>268</v>
      </c>
      <c r="I1890" s="270">
        <f ca="1">ROUND(VLOOKUP($H1890,$AJ$4:$AN$13,2,0)*$Q1889*1.51,2)</f>
        <v>898.69</v>
      </c>
      <c r="J1890" s="270">
        <f ca="1">ROUND(VLOOKUP($H1890,$AJ$4:$AN$13,3,0)*$Q1889*1.51,2)</f>
        <v>642.13</v>
      </c>
      <c r="K1890" s="270">
        <f ca="1">ROUND(VLOOKUP($H1890,$AJ$4:$AN$13,4,0)*$Q1889*1.51,2)</f>
        <v>323.06</v>
      </c>
      <c r="L1890" s="270"/>
      <c r="M1890" s="270">
        <f ca="1">ROUND(VLOOKUP($H1890,$AJ$4:$AN$13,5,0)*$Q1889*1.51,2)</f>
        <v>27.97</v>
      </c>
      <c r="N1890" s="270"/>
    </row>
    <row r="1891" spans="1:43" x14ac:dyDescent="0.2">
      <c r="B1891" s="276"/>
      <c r="C1891" s="277"/>
      <c r="D1891" s="277"/>
      <c r="E1891" s="277"/>
      <c r="F1891" s="277"/>
      <c r="G1891" s="278"/>
      <c r="H1891" s="238" t="s">
        <v>40</v>
      </c>
      <c r="I1891" s="270">
        <f ca="1">ROUND(VLOOKUP($H1891,$AJ$4:$AN$13,2,0)*$Q1889*1.51,2)</f>
        <v>71.349999999999994</v>
      </c>
      <c r="J1891" s="270">
        <f ca="1">ROUND(VLOOKUP($H1891,$AJ$4:$AN$13,3,0)*$Q1889*1.51,2)</f>
        <v>51.94</v>
      </c>
      <c r="K1891" s="270">
        <f ca="1">ROUND(VLOOKUP($H1891,$AJ$4:$AN$13,4,0)*$Q1889*1.51,2)</f>
        <v>26.54</v>
      </c>
      <c r="L1891" s="270"/>
      <c r="M1891" s="270">
        <f ca="1">ROUND(VLOOKUP($H1891,$AJ$4:$AN$13,5,0)*$Q1889*1.51,2)</f>
        <v>1.43</v>
      </c>
      <c r="N1891" s="270"/>
      <c r="P1891" s="230">
        <f t="shared" ref="P1891:P1904" si="847">IF(A1891&gt;0,1,0)</f>
        <v>0</v>
      </c>
    </row>
    <row r="1892" spans="1:43" x14ac:dyDescent="0.2">
      <c r="B1892" s="279"/>
      <c r="C1892" s="280"/>
      <c r="D1892" s="280"/>
      <c r="E1892" s="280"/>
      <c r="F1892" s="280"/>
      <c r="G1892" s="281"/>
      <c r="H1892" s="238" t="s">
        <v>18</v>
      </c>
      <c r="I1892" s="270">
        <f ca="1">ROUND(VLOOKUP($H1892,$AJ$4:$AN$13,2,0)*$Q1889*1.51,2)</f>
        <v>22.83</v>
      </c>
      <c r="J1892" s="270">
        <f ca="1">ROUND(VLOOKUP($H1892,$AJ$4:$AN$13,3,0)*$Q1889*1.51,2)</f>
        <v>17.41</v>
      </c>
      <c r="K1892" s="270">
        <f ca="1">ROUND(VLOOKUP($H1892,$AJ$4:$AN$13,4,0)*$Q1889*1.51,2)</f>
        <v>8.85</v>
      </c>
      <c r="L1892" s="270"/>
      <c r="M1892" s="270">
        <f ca="1">ROUND(VLOOKUP($H1892,$AJ$4:$AN$13,5,0)*$Q1889*1.51*1,2)</f>
        <v>0.56999999999999995</v>
      </c>
      <c r="N1892" s="270"/>
      <c r="P1892" s="230">
        <f t="shared" si="847"/>
        <v>0</v>
      </c>
      <c r="AP1892" s="241" t="s">
        <v>2053</v>
      </c>
      <c r="AQ1892" s="242"/>
    </row>
    <row r="1893" spans="1:43" x14ac:dyDescent="0.2">
      <c r="A1893" s="224">
        <f>A1838+37</f>
        <v>1258</v>
      </c>
      <c r="B1893" s="243" t="str">
        <f ca="1">OFFSET(ЛОТЫ!$L$5,A1893,0,1,1)</f>
        <v>Тимерликовское</v>
      </c>
      <c r="C1893" s="244" t="s">
        <v>474</v>
      </c>
      <c r="D1893" s="243">
        <f ca="1">OFFSET(ЛОТЫ!$M$5,A1893,0,1,1)</f>
        <v>11</v>
      </c>
      <c r="E1893" s="243">
        <f ca="1">OFFSET(ЛОТЫ!$N$5,A1893,0,1,1)</f>
        <v>27</v>
      </c>
      <c r="F1893" s="243">
        <f ca="1">OFFSET(ЛОТЫ!$O$5,A1893,0,1,1)</f>
        <v>5</v>
      </c>
      <c r="G1893" s="271">
        <f ca="1">IFERROR(INDEX('Ведомость расчета мин. платы'!$G$10:$AC$214,MATCH(CONCATENATE(B1893,"/",D1893,"/",E1893,"/",F1893),'Ведомость расчета мин. платы'!$AC$10:$AC$214,0),1),"")</f>
        <v>4.9000000000000004</v>
      </c>
      <c r="H1893" s="246" t="s">
        <v>17</v>
      </c>
      <c r="I1893" s="247">
        <f ca="1">IFERROR(INDEX('Ведомость расчета мин. платы'!$J$10:$AE$214,MATCH(CONCATENATE(РАСЧЕТ!B1893,"/",РАСЧЕТ!D1893,"/",РАСЧЕТ!E1893,"/",F1893,"/",H1893),'Ведомость расчета мин. платы'!$AE$10:$AE$214,0),2),"")</f>
        <v>22.47</v>
      </c>
      <c r="J1893" s="247">
        <f ca="1">IFERROR(INDEX('Ведомость расчета мин. платы'!$J$10:$AE$214,MATCH(CONCATENATE(РАСЧЕТ!B1893,"/",РАСЧЕТ!D1893,"/",РАСЧЕТ!E1893,"/",F1893,"/",H1893),'Ведомость расчета мин. платы'!$AE$10:$AE$214,0),3),"")</f>
        <v>120.81</v>
      </c>
      <c r="K1893" s="247">
        <f ca="1">IFERROR(INDEX('Ведомость расчета мин. платы'!$J$10:$AE$214,MATCH(CONCATENATE(РАСЧЕТ!B1893,"/",РАСЧЕТ!D1893,"/",РАСЧЕТ!E1893,"/",F1893,"/",H1893),'Ведомость расчета мин. платы'!$AE$10:$AE$214,0),4),"")</f>
        <v>37.69</v>
      </c>
      <c r="L1893" s="248">
        <f t="shared" ref="L1893:L1905" ca="1" si="848">IFERROR(SUM(I1893:K1893),"")</f>
        <v>180.97</v>
      </c>
      <c r="M1893" s="214">
        <f ca="1">IFERROR(INDEX('Ведомость расчета мин. платы'!$J$10:$AE$214,MATCH(CONCATENATE(РАСЧЕТ!B1893,"/",РАСЧЕТ!D1893,"/",РАСЧЕТ!E1893,"/",F1893,"/",H1893),'Ведомость расчета мин. платы'!$AE$10:$AE$214,0),6),"")</f>
        <v>99.62</v>
      </c>
      <c r="N1893" s="214">
        <f t="shared" ref="N1893:N1905" ca="1" si="849">IFERROR(SUM(L1893:M1893),"")</f>
        <v>280.59000000000003</v>
      </c>
      <c r="O1893" s="229">
        <f>IF(H1893="стоимость","",1)</f>
        <v>1</v>
      </c>
      <c r="P1893" s="230">
        <f t="shared" si="847"/>
        <v>1</v>
      </c>
      <c r="AP1893" s="242"/>
      <c r="AQ1893" s="242"/>
    </row>
    <row r="1894" spans="1:43" x14ac:dyDescent="0.2">
      <c r="B1894" s="249"/>
      <c r="C1894" s="249"/>
      <c r="D1894" s="249"/>
      <c r="E1894" s="249"/>
      <c r="F1894" s="249"/>
      <c r="G1894" s="249"/>
      <c r="H1894" s="250" t="s">
        <v>475</v>
      </c>
      <c r="I1894" s="251">
        <f ca="1">IFERROR(ROUND(I1893*I1887,2),"")</f>
        <v>2699.77</v>
      </c>
      <c r="J1894" s="251">
        <f t="shared" ref="J1894" ca="1" si="850">IFERROR(ROUND(J1893*J1887,2),"")</f>
        <v>10343.75</v>
      </c>
      <c r="K1894" s="251">
        <f t="shared" ref="K1894" ca="1" si="851">IFERROR(ROUND(K1893*K1887,2),"")</f>
        <v>1634.99</v>
      </c>
      <c r="L1894" s="251">
        <f t="shared" ca="1" si="848"/>
        <v>14678.51</v>
      </c>
      <c r="M1894" s="251">
        <f t="shared" ref="M1894" ca="1" si="852">IFERROR(ROUND(M1893*M1887,2),"")</f>
        <v>682.4</v>
      </c>
      <c r="N1894" s="252">
        <f t="shared" ca="1" si="849"/>
        <v>15360.91</v>
      </c>
      <c r="O1894" s="229" t="str">
        <f t="shared" ref="O1894:O1904" si="853">IF(H1894="стоимость","",1)</f>
        <v/>
      </c>
      <c r="P1894" s="230">
        <f t="shared" si="847"/>
        <v>0</v>
      </c>
      <c r="AP1894" s="242">
        <f ca="1">SUMIFS('Ведомость расчета мин. платы'!$S$10:$S$209,'Ведомость расчета мин. платы'!$AE$10:$AE$209,CONCATENATE(B1893,"/",D1893,"/",E1893,"/",F1893,"/",H1893))</f>
        <v>15360.91</v>
      </c>
      <c r="AQ1894" s="253">
        <f t="shared" ref="AQ1894" ca="1" si="854">AP1894-N1894</f>
        <v>0</v>
      </c>
    </row>
    <row r="1895" spans="1:43" x14ac:dyDescent="0.2">
      <c r="B1895" s="249"/>
      <c r="C1895" s="249"/>
      <c r="D1895" s="249"/>
      <c r="E1895" s="249"/>
      <c r="F1895" s="249"/>
      <c r="G1895" s="249"/>
      <c r="H1895" s="246" t="s">
        <v>25</v>
      </c>
      <c r="I1895" s="247" t="str">
        <f ca="1">IFERROR(INDEX('Ведомость расчета мин. платы'!$J$10:$AE$214,MATCH(CONCATENATE(РАСЧЕТ!B1893,"/",РАСЧЕТ!D1893,"/",РАСЧЕТ!E1893,"/",F1893,"/",H1895),'Ведомость расчета мин. платы'!$AE$10:$AE$214,0),2),"")</f>
        <v/>
      </c>
      <c r="J1895" s="247" t="str">
        <f ca="1">IFERROR(INDEX('Ведомость расчета мин. платы'!$J$10:$AE$214,MATCH(CONCATENATE(РАСЧЕТ!B1893,"/",РАСЧЕТ!D1893,"/",РАСЧЕТ!E1893,"/",F1893,"/",H1895),'Ведомость расчета мин. платы'!$AE$10:$AE$214,0),3),"")</f>
        <v/>
      </c>
      <c r="K1895" s="247" t="str">
        <f ca="1">IFERROR(INDEX('Ведомость расчета мин. платы'!$J$10:$AE$214,MATCH(CONCATENATE(РАСЧЕТ!B1893,"/",РАСЧЕТ!D1893,"/",РАСЧЕТ!E1893,"/",F1893,"/",H1895),'Ведомость расчета мин. платы'!$AE$10:$AE$214,0),4),"")</f>
        <v/>
      </c>
      <c r="L1895" s="248">
        <f t="shared" ca="1" si="848"/>
        <v>0</v>
      </c>
      <c r="M1895" s="214" t="str">
        <f ca="1">IFERROR(INDEX('Ведомость расчета мин. платы'!$J$10:$AE$214,MATCH(CONCATENATE(РАСЧЕТ!B1893,"/",РАСЧЕТ!D1893,"/",РАСЧЕТ!E1893,"/",F1893,"/",H1895),'Ведомость расчета мин. платы'!$AE$10:$AE$214,0),6),"")</f>
        <v/>
      </c>
      <c r="N1895" s="214">
        <f t="shared" ca="1" si="849"/>
        <v>0</v>
      </c>
      <c r="O1895" s="229">
        <f t="shared" si="853"/>
        <v>1</v>
      </c>
      <c r="P1895" s="230">
        <f t="shared" si="847"/>
        <v>0</v>
      </c>
      <c r="AP1895" s="242"/>
      <c r="AQ1895" s="253"/>
    </row>
    <row r="1896" spans="1:43" x14ac:dyDescent="0.2">
      <c r="B1896" s="249"/>
      <c r="C1896" s="249"/>
      <c r="D1896" s="249"/>
      <c r="E1896" s="249"/>
      <c r="F1896" s="249"/>
      <c r="G1896" s="249"/>
      <c r="H1896" s="250" t="s">
        <v>475</v>
      </c>
      <c r="I1896" s="251" t="str">
        <f ca="1">IFERROR(ROUND(I1895*I1888,2),"")</f>
        <v/>
      </c>
      <c r="J1896" s="251" t="str">
        <f t="shared" ref="J1896" ca="1" si="855">IFERROR(ROUND(J1895*J1888,2),"")</f>
        <v/>
      </c>
      <c r="K1896" s="251" t="str">
        <f t="shared" ref="K1896" ca="1" si="856">IFERROR(ROUND(K1895*K1888,2),"")</f>
        <v/>
      </c>
      <c r="L1896" s="251">
        <f t="shared" ca="1" si="848"/>
        <v>0</v>
      </c>
      <c r="M1896" s="251" t="str">
        <f t="shared" ref="M1896" ca="1" si="857">IFERROR(ROUND(M1895*M1888,2),"")</f>
        <v/>
      </c>
      <c r="N1896" s="252">
        <f t="shared" ca="1" si="849"/>
        <v>0</v>
      </c>
      <c r="O1896" s="229" t="str">
        <f t="shared" si="853"/>
        <v/>
      </c>
      <c r="P1896" s="230">
        <f t="shared" si="847"/>
        <v>0</v>
      </c>
      <c r="AP1896" s="242">
        <f ca="1">SUMIFS('Ведомость расчета мин. платы'!$S$10:$S$209,'Ведомость расчета мин. платы'!$AE$10:$AE$209,CONCATENATE(B1893,"/",D1893,"/",E1893,"/",F1893,"/",H1895))</f>
        <v>0</v>
      </c>
      <c r="AQ1896" s="253">
        <f t="shared" ref="AQ1896" ca="1" si="858">AP1896-N1896</f>
        <v>0</v>
      </c>
    </row>
    <row r="1897" spans="1:43" x14ac:dyDescent="0.2">
      <c r="B1897" s="249"/>
      <c r="C1897" s="249"/>
      <c r="D1897" s="249"/>
      <c r="E1897" s="249"/>
      <c r="F1897" s="249"/>
      <c r="G1897" s="249"/>
      <c r="H1897" s="205" t="s">
        <v>19</v>
      </c>
      <c r="I1897" s="248" t="str">
        <f ca="1">IFERROR(INDEX('Ведомость расчета мин. платы'!$J$10:$AE$214,MATCH(CONCATENATE(РАСЧЕТ!B1893,"/",РАСЧЕТ!D1893,"/",РАСЧЕТ!E1893,"/",F1893,"/",H1897),'Ведомость расчета мин. платы'!$AE$10:$AE$214,0),2),"")</f>
        <v/>
      </c>
      <c r="J1897" s="248" t="str">
        <f ca="1">IFERROR(INDEX('Ведомость расчета мин. платы'!$J$10:$AE$214,MATCH(CONCATENATE(РАСЧЕТ!B1893,"/",РАСЧЕТ!D1893,"/",РАСЧЕТ!E1893,"/",F1893,"/",H1897),'Ведомость расчета мин. платы'!$AE$10:$AE$214,0),3),"")</f>
        <v/>
      </c>
      <c r="K1897" s="248" t="str">
        <f ca="1">IFERROR(INDEX('Ведомость расчета мин. платы'!$J$10:$AE$214,MATCH(CONCATENATE(РАСЧЕТ!B1893,"/",РАСЧЕТ!D1893,"/",РАСЧЕТ!E1893,"/",F1893,"/",H1897),'Ведомость расчета мин. платы'!$AE$10:$AE$214,0),4),"")</f>
        <v/>
      </c>
      <c r="L1897" s="248">
        <f t="shared" ca="1" si="848"/>
        <v>0</v>
      </c>
      <c r="M1897" s="248" t="str">
        <f ca="1">IFERROR(INDEX('Ведомость расчета мин. платы'!$J$10:$AE$214,MATCH(CONCATENATE(РАСЧЕТ!B1893,"/",РАСЧЕТ!D1893,"/",РАСЧЕТ!E1893,"/",F1893,"/",H1897),'Ведомость расчета мин. платы'!$AE$10:$AE$214,0),6),"")</f>
        <v/>
      </c>
      <c r="N1897" s="214">
        <f t="shared" ca="1" si="849"/>
        <v>0</v>
      </c>
      <c r="O1897" s="229">
        <f t="shared" si="853"/>
        <v>1</v>
      </c>
      <c r="P1897" s="230">
        <f t="shared" si="847"/>
        <v>0</v>
      </c>
      <c r="AP1897" s="242"/>
      <c r="AQ1897" s="253"/>
    </row>
    <row r="1898" spans="1:43" x14ac:dyDescent="0.2">
      <c r="B1898" s="249"/>
      <c r="C1898" s="249"/>
      <c r="D1898" s="249"/>
      <c r="E1898" s="249"/>
      <c r="F1898" s="249"/>
      <c r="G1898" s="249"/>
      <c r="H1898" s="250" t="s">
        <v>475</v>
      </c>
      <c r="I1898" s="251" t="str">
        <f ca="1">IFERROR(ROUND(I1897*I1889,2),"")</f>
        <v/>
      </c>
      <c r="J1898" s="251" t="str">
        <f t="shared" ref="J1898" ca="1" si="859">IFERROR(ROUND(J1897*J1889,2),"")</f>
        <v/>
      </c>
      <c r="K1898" s="251" t="str">
        <f t="shared" ref="K1898" ca="1" si="860">IFERROR(ROUND(K1897*K1889,2),"")</f>
        <v/>
      </c>
      <c r="L1898" s="251">
        <f t="shared" ca="1" si="848"/>
        <v>0</v>
      </c>
      <c r="M1898" s="251" t="str">
        <f t="shared" ref="M1898" ca="1" si="861">IFERROR(ROUND(M1897*M1889,2),"")</f>
        <v/>
      </c>
      <c r="N1898" s="252">
        <f t="shared" ca="1" si="849"/>
        <v>0</v>
      </c>
      <c r="O1898" s="229" t="str">
        <f t="shared" si="853"/>
        <v/>
      </c>
      <c r="P1898" s="230">
        <f t="shared" si="847"/>
        <v>0</v>
      </c>
      <c r="AP1898" s="242">
        <f ca="1">SUMIFS('Ведомость расчета мин. платы'!$S$10:$S$209,'Ведомость расчета мин. платы'!$AE$10:$AE$209,CONCATENATE(B1893,"/",D1893,"/",E1893,"/",F1893,"/",H1897))</f>
        <v>0</v>
      </c>
      <c r="AQ1898" s="253">
        <f t="shared" ref="AQ1898" ca="1" si="862">AP1898-N1898</f>
        <v>0</v>
      </c>
    </row>
    <row r="1899" spans="1:43" x14ac:dyDescent="0.2">
      <c r="B1899" s="249"/>
      <c r="C1899" s="249"/>
      <c r="D1899" s="249"/>
      <c r="E1899" s="249"/>
      <c r="F1899" s="249"/>
      <c r="G1899" s="249"/>
      <c r="H1899" s="205" t="s">
        <v>268</v>
      </c>
      <c r="I1899" s="248" t="str">
        <f ca="1">IFERROR(INDEX('Ведомость расчета мин. платы'!$J$10:$AE$214,MATCH(CONCATENATE(РАСЧЕТ!B1893,"/",РАСЧЕТ!D1893,"/",РАСЧЕТ!E1893,"/",F1893,"/",H1899),'Ведомость расчета мин. платы'!$AE$10:$AE$214,0),2),"")</f>
        <v/>
      </c>
      <c r="J1899" s="248" t="str">
        <f ca="1">IFERROR(INDEX('Ведомость расчета мин. платы'!$J$10:$AE$214,MATCH(CONCATENATE(РАСЧЕТ!B1893,"/",РАСЧЕТ!D1893,"/",РАСЧЕТ!E1893,"/",F1893,"/",H1899),'Ведомость расчета мин. платы'!$AE$10:$AE$214,0),3),"")</f>
        <v/>
      </c>
      <c r="K1899" s="248" t="str">
        <f ca="1">IFERROR(INDEX('Ведомость расчета мин. платы'!$J$10:$AE$214,MATCH(CONCATENATE(РАСЧЕТ!B1893,"/",РАСЧЕТ!D1893,"/",РАСЧЕТ!E1893,"/",F1893,"/",H1899),'Ведомость расчета мин. платы'!$AE$10:$AE$214,0),4),"")</f>
        <v/>
      </c>
      <c r="L1899" s="248">
        <f t="shared" ca="1" si="848"/>
        <v>0</v>
      </c>
      <c r="M1899" s="248" t="str">
        <f ca="1">IFERROR(INDEX('Ведомость расчета мин. платы'!$J$10:$AE$214,MATCH(CONCATENATE(РАСЧЕТ!B1893,"/",РАСЧЕТ!D1893,"/",РАСЧЕТ!E1893,"/",F1893,"/",H1899),'Ведомость расчета мин. платы'!$AE$10:$AE$214,0),6),"")</f>
        <v/>
      </c>
      <c r="N1899" s="214">
        <f t="shared" ca="1" si="849"/>
        <v>0</v>
      </c>
      <c r="O1899" s="229">
        <f t="shared" si="853"/>
        <v>1</v>
      </c>
      <c r="P1899" s="230">
        <f t="shared" si="847"/>
        <v>0</v>
      </c>
      <c r="AP1899" s="242"/>
      <c r="AQ1899" s="253"/>
    </row>
    <row r="1900" spans="1:43" x14ac:dyDescent="0.2">
      <c r="B1900" s="249"/>
      <c r="C1900" s="249"/>
      <c r="D1900" s="249"/>
      <c r="E1900" s="249"/>
      <c r="F1900" s="249"/>
      <c r="G1900" s="249"/>
      <c r="H1900" s="250" t="s">
        <v>475</v>
      </c>
      <c r="I1900" s="251" t="str">
        <f ca="1">IFERROR(ROUND(I1899*I1892,2),"")</f>
        <v/>
      </c>
      <c r="J1900" s="251" t="str">
        <f ca="1">IFERROR(ROUND(J1899*J1890,2),"")</f>
        <v/>
      </c>
      <c r="K1900" s="251" t="str">
        <f ca="1">IFERROR(ROUND(K1899*K1890,2),"")</f>
        <v/>
      </c>
      <c r="L1900" s="251">
        <f t="shared" ca="1" si="848"/>
        <v>0</v>
      </c>
      <c r="M1900" s="251" t="str">
        <f ca="1">IFERROR(ROUND(M1899*M1890,2),"")</f>
        <v/>
      </c>
      <c r="N1900" s="252">
        <f t="shared" ca="1" si="849"/>
        <v>0</v>
      </c>
      <c r="O1900" s="229" t="str">
        <f t="shared" si="853"/>
        <v/>
      </c>
      <c r="P1900" s="230">
        <f t="shared" si="847"/>
        <v>0</v>
      </c>
      <c r="AP1900" s="242">
        <f ca="1">SUMIFS('Ведомость расчета мин. платы'!$S$10:$S$209,'Ведомость расчета мин. платы'!$AE$10:$AE$209,CONCATENATE(B1893,"/",D1893,"/",E1893,"/",F1893,"/",H1899))</f>
        <v>0</v>
      </c>
      <c r="AQ1900" s="253">
        <f t="shared" ref="AQ1900" ca="1" si="863">AP1900-N1900</f>
        <v>0</v>
      </c>
    </row>
    <row r="1901" spans="1:43" x14ac:dyDescent="0.2">
      <c r="B1901" s="249"/>
      <c r="C1901" s="249"/>
      <c r="D1901" s="249"/>
      <c r="E1901" s="249"/>
      <c r="F1901" s="249"/>
      <c r="G1901" s="249"/>
      <c r="H1901" s="205" t="s">
        <v>40</v>
      </c>
      <c r="I1901" s="248" t="str">
        <f ca="1">IFERROR(INDEX('Ведомость расчета мин. платы'!$J$10:$AE$214,MATCH(CONCATENATE(РАСЧЕТ!B1893,"/",РАСЧЕТ!D1893,"/",РАСЧЕТ!E1893,"/",F1893,"/",H1901),'Ведомость расчета мин. платы'!$AE$10:$AE$214,0),2),"")</f>
        <v/>
      </c>
      <c r="J1901" s="248" t="str">
        <f ca="1">IFERROR(INDEX('Ведомость расчета мин. платы'!$J$10:$AE$214,MATCH(CONCATENATE(РАСЧЕТ!B1893,"/",РАСЧЕТ!D1893,"/",РАСЧЕТ!E1893,"/",F1893,"/",H1901),'Ведомость расчета мин. платы'!$AE$10:$AE$214,0),3),"")</f>
        <v/>
      </c>
      <c r="K1901" s="248" t="str">
        <f ca="1">IFERROR(INDEX('Ведомость расчета мин. платы'!$J$10:$AE$214,MATCH(CONCATENATE(РАСЧЕТ!B1893,"/",РАСЧЕТ!D1893,"/",РАСЧЕТ!E1893,"/",F1893,"/",H1901),'Ведомость расчета мин. платы'!$AE$10:$AE$214,0),4),"")</f>
        <v/>
      </c>
      <c r="L1901" s="248">
        <f t="shared" ca="1" si="848"/>
        <v>0</v>
      </c>
      <c r="M1901" s="248" t="str">
        <f ca="1">IFERROR(INDEX('Ведомость расчета мин. платы'!$J$10:$AE$214,MATCH(CONCATENATE(РАСЧЕТ!B1893,"/",РАСЧЕТ!D1893,"/",РАСЧЕТ!E1893,"/",F1893,"/",H1901),'Ведомость расчета мин. платы'!$AE$10:$AE$214,0),6),"")</f>
        <v/>
      </c>
      <c r="N1901" s="214">
        <f t="shared" ca="1" si="849"/>
        <v>0</v>
      </c>
      <c r="O1901" s="229">
        <f t="shared" si="853"/>
        <v>1</v>
      </c>
      <c r="P1901" s="230">
        <f t="shared" si="847"/>
        <v>0</v>
      </c>
      <c r="AP1901" s="242"/>
      <c r="AQ1901" s="253"/>
    </row>
    <row r="1902" spans="1:43" x14ac:dyDescent="0.2">
      <c r="B1902" s="249"/>
      <c r="C1902" s="249"/>
      <c r="D1902" s="249"/>
      <c r="E1902" s="249"/>
      <c r="F1902" s="249"/>
      <c r="G1902" s="249"/>
      <c r="H1902" s="250" t="s">
        <v>475</v>
      </c>
      <c r="I1902" s="251" t="str">
        <f ca="1">IFERROR(ROUND(I1901*I1891,2),"")</f>
        <v/>
      </c>
      <c r="J1902" s="251" t="str">
        <f t="shared" ref="J1902" ca="1" si="864">IFERROR(ROUND(J1901*J1891,2),"")</f>
        <v/>
      </c>
      <c r="K1902" s="251" t="str">
        <f t="shared" ref="K1902" ca="1" si="865">IFERROR(ROUND(K1901*K1891,2),"")</f>
        <v/>
      </c>
      <c r="L1902" s="251">
        <f t="shared" ca="1" si="848"/>
        <v>0</v>
      </c>
      <c r="M1902" s="251" t="str">
        <f t="shared" ref="M1902" ca="1" si="866">IFERROR(ROUND(M1901*M1891,2),"")</f>
        <v/>
      </c>
      <c r="N1902" s="252">
        <f t="shared" ca="1" si="849"/>
        <v>0</v>
      </c>
      <c r="O1902" s="229" t="str">
        <f t="shared" si="853"/>
        <v/>
      </c>
      <c r="P1902" s="230">
        <f t="shared" si="847"/>
        <v>0</v>
      </c>
      <c r="AP1902" s="242">
        <f ca="1">SUMIFS('Ведомость расчета мин. платы'!$S$10:$S$209,'Ведомость расчета мин. платы'!$AE$10:$AE$209,CONCATENATE(B1893,"/",D1893,"/",E1893,"/",F1893,"/",H1901))</f>
        <v>0</v>
      </c>
      <c r="AQ1902" s="253">
        <f t="shared" ref="AQ1902" ca="1" si="867">AP1902-N1902</f>
        <v>0</v>
      </c>
    </row>
    <row r="1903" spans="1:43" x14ac:dyDescent="0.2">
      <c r="B1903" s="249"/>
      <c r="C1903" s="249"/>
      <c r="D1903" s="249"/>
      <c r="E1903" s="249"/>
      <c r="F1903" s="249"/>
      <c r="G1903" s="249"/>
      <c r="H1903" s="205" t="s">
        <v>18</v>
      </c>
      <c r="I1903" s="248">
        <f ca="1">IFERROR(INDEX('Ведомость расчета мин. платы'!$J$10:$AE$214,MATCH(CONCATENATE(РАСЧЕТ!B1893,"/",РАСЧЕТ!D1893,"/",РАСЧЕТ!E1893,"/",F1893,"/",H1903),'Ведомость расчета мин. платы'!$AE$10:$AE$214,0),2),"")</f>
        <v>250.38</v>
      </c>
      <c r="J1903" s="248">
        <f ca="1">IFERROR(INDEX('Ведомость расчета мин. платы'!$J$10:$AE$214,MATCH(CONCATENATE(РАСЧЕТ!B1893,"/",РАСЧЕТ!D1893,"/",РАСЧЕТ!E1893,"/",F1893,"/",H1903),'Ведомость расчета мин. платы'!$AE$10:$AE$214,0),3),"")</f>
        <v>406.22</v>
      </c>
      <c r="K1903" s="248">
        <f ca="1">IFERROR(INDEX('Ведомость расчета мин. платы'!$J$10:$AE$214,MATCH(CONCATENATE(РАСЧЕТ!B1893,"/",РАСЧЕТ!D1893,"/",РАСЧЕТ!E1893,"/",F1893,"/",H1903),'Ведомость расчета мин. платы'!$AE$10:$AE$214,0),4),"")</f>
        <v>27.41</v>
      </c>
      <c r="L1903" s="248">
        <f t="shared" ca="1" si="848"/>
        <v>684.01</v>
      </c>
      <c r="M1903" s="248">
        <f ca="1">IFERROR(INDEX('Ведомость расчета мин. платы'!$J$10:$AE$214,MATCH(CONCATENATE(РАСЧЕТ!B1893,"/",РАСЧЕТ!D1893,"/",РАСЧЕТ!E1893,"/",F1893,"/",H1903),'Ведомость расчета мин. платы'!$AE$10:$AE$214,0),6),"")</f>
        <v>367.98</v>
      </c>
      <c r="N1903" s="214">
        <f t="shared" ca="1" si="849"/>
        <v>1051.99</v>
      </c>
      <c r="O1903" s="229">
        <f t="shared" si="853"/>
        <v>1</v>
      </c>
      <c r="P1903" s="230">
        <f t="shared" si="847"/>
        <v>0</v>
      </c>
      <c r="AP1903" s="242"/>
      <c r="AQ1903" s="253"/>
    </row>
    <row r="1904" spans="1:43" x14ac:dyDescent="0.2">
      <c r="B1904" s="249"/>
      <c r="C1904" s="249"/>
      <c r="D1904" s="249"/>
      <c r="E1904" s="249"/>
      <c r="F1904" s="249"/>
      <c r="G1904" s="249"/>
      <c r="H1904" s="250" t="s">
        <v>475</v>
      </c>
      <c r="I1904" s="251">
        <f ca="1">IFERROR(ROUND(I1903*I1892,2),"")</f>
        <v>5716.18</v>
      </c>
      <c r="J1904" s="251">
        <f t="shared" ref="J1904" ca="1" si="868">IFERROR(ROUND(J1903*J1892,2),"")</f>
        <v>7072.29</v>
      </c>
      <c r="K1904" s="251">
        <f t="shared" ref="K1904" ca="1" si="869">IFERROR(ROUND(K1903*K1892,2),"")</f>
        <v>242.58</v>
      </c>
      <c r="L1904" s="251">
        <f t="shared" ca="1" si="848"/>
        <v>13031.050000000001</v>
      </c>
      <c r="M1904" s="251">
        <f t="shared" ref="M1904" ca="1" si="870">IFERROR(ROUND(M1903*M1892,2),"")</f>
        <v>209.75</v>
      </c>
      <c r="N1904" s="252">
        <f t="shared" ca="1" si="849"/>
        <v>13240.800000000001</v>
      </c>
      <c r="O1904" s="229" t="str">
        <f t="shared" si="853"/>
        <v/>
      </c>
      <c r="P1904" s="230">
        <f t="shared" si="847"/>
        <v>0</v>
      </c>
      <c r="AP1904" s="242">
        <f ca="1">SUMIFS('Ведомость расчета мин. платы'!$S$10:$S$209,'Ведомость расчета мин. платы'!$AE$10:$AE$209,CONCATENATE(B1893,"/",D1893,"/",E1893,"/",F1893,"/",H1903))</f>
        <v>13240.8</v>
      </c>
      <c r="AQ1904" s="253">
        <f t="shared" ref="AQ1904" ca="1" si="871">AP1904-N1904</f>
        <v>0</v>
      </c>
    </row>
    <row r="1905" spans="2:43" x14ac:dyDescent="0.2">
      <c r="B1905" s="249"/>
      <c r="C1905" s="249"/>
      <c r="D1905" s="249"/>
      <c r="E1905" s="249"/>
      <c r="F1905" s="249"/>
      <c r="G1905" s="249"/>
      <c r="H1905" s="254" t="s">
        <v>476</v>
      </c>
      <c r="I1905" s="251">
        <f ca="1">SUMIF($O1893:$O1906,1,I1893:I1904)</f>
        <v>272.85000000000002</v>
      </c>
      <c r="J1905" s="251">
        <f ca="1">SUMIF($O1893:$O1906,1,J1893:J1904)</f>
        <v>527.03</v>
      </c>
      <c r="K1905" s="251">
        <f ca="1">SUMIF($O1893:$O1906,1,K1893:K1904)</f>
        <v>65.099999999999994</v>
      </c>
      <c r="L1905" s="251">
        <f t="shared" ca="1" si="848"/>
        <v>864.98</v>
      </c>
      <c r="M1905" s="251">
        <f ca="1">SUMIF($O1893:$O1906,1,M1893:M1904)</f>
        <v>467.6</v>
      </c>
      <c r="N1905" s="252">
        <f t="shared" ca="1" si="849"/>
        <v>1332.58</v>
      </c>
      <c r="AP1905" s="242"/>
      <c r="AQ1905" s="253"/>
    </row>
    <row r="1906" spans="2:43" x14ac:dyDescent="0.2">
      <c r="B1906" s="249"/>
      <c r="C1906" s="249"/>
      <c r="D1906" s="249"/>
      <c r="E1906" s="249"/>
      <c r="F1906" s="249"/>
      <c r="G1906" s="249"/>
      <c r="H1906" s="254" t="s">
        <v>491</v>
      </c>
      <c r="I1906" s="251">
        <f ca="1">SUMIF(H1893:H1904,"стоимость",I1893:I1904)</f>
        <v>8415.9500000000007</v>
      </c>
      <c r="J1906" s="251">
        <f ca="1">SUMIF(H1893:H1904,"стоимость",J1893:J1904)</f>
        <v>17416.04</v>
      </c>
      <c r="K1906" s="251">
        <f ca="1">SUMIF(H1893:H1904,"стоимость",K1893:K1904)</f>
        <v>1877.57</v>
      </c>
      <c r="L1906" s="251">
        <f ca="1">IFERROR(SUM(I1906:K1906),"")</f>
        <v>27709.56</v>
      </c>
      <c r="M1906" s="251">
        <f ca="1">SUMIF(H1893:H1904,"стоимость",M1893:M1904)</f>
        <v>892.15</v>
      </c>
      <c r="N1906" s="252">
        <f ca="1">IFERROR(SUM(L1906:M1906),"")</f>
        <v>28601.710000000003</v>
      </c>
      <c r="AP1906" s="242">
        <f ca="1">SUMIFS('Ведомость расчета мин. платы'!$S$10:$S$209,'Ведомость расчета мин. платы'!$J$10:$J$209,"Итого",'Ведомость расчета мин. платы'!$AC$10:$AC$209,CONCATENATE(B1893,"/",D1893,"/",E1893,"/",F1893))</f>
        <v>28601.71</v>
      </c>
      <c r="AQ1906" s="253">
        <f ca="1">AP1906-N1906</f>
        <v>0</v>
      </c>
    </row>
    <row r="1907" spans="2:43" x14ac:dyDescent="0.2">
      <c r="B1907" s="255"/>
      <c r="C1907" s="255"/>
      <c r="D1907" s="255"/>
      <c r="E1907" s="255"/>
      <c r="F1907" s="255"/>
      <c r="G1907" s="256"/>
      <c r="H1907" s="257"/>
      <c r="I1907" s="258"/>
      <c r="J1907" s="258"/>
      <c r="K1907" s="258"/>
      <c r="L1907" s="258"/>
      <c r="M1907" s="258"/>
      <c r="N1907" s="258"/>
      <c r="P1907" s="230">
        <f t="shared" ref="P1907:P1925" si="872">IF(A1907&gt;0,1,0)</f>
        <v>0</v>
      </c>
    </row>
    <row r="1908" spans="2:43" x14ac:dyDescent="0.2">
      <c r="B1908" s="282" t="s">
        <v>477</v>
      </c>
      <c r="C1908" s="282"/>
      <c r="D1908" s="282"/>
      <c r="E1908" s="282"/>
      <c r="F1908" s="259"/>
      <c r="G1908" s="225"/>
      <c r="H1908" s="201"/>
      <c r="I1908" s="226"/>
      <c r="J1908" s="258"/>
      <c r="K1908" s="258"/>
      <c r="L1908" s="258"/>
      <c r="M1908" s="258"/>
      <c r="N1908" s="258"/>
      <c r="P1908" s="230">
        <f t="shared" si="872"/>
        <v>0</v>
      </c>
    </row>
    <row r="1909" spans="2:43" x14ac:dyDescent="0.2">
      <c r="B1909" s="283" t="s">
        <v>525</v>
      </c>
      <c r="C1909" s="283"/>
      <c r="D1909" s="283"/>
      <c r="E1909" s="283"/>
      <c r="F1909" s="283"/>
      <c r="G1909" s="283"/>
      <c r="H1909" s="283"/>
      <c r="I1909" s="283"/>
      <c r="J1909" s="261"/>
      <c r="K1909" s="261"/>
      <c r="L1909" s="261"/>
      <c r="M1909" s="261"/>
      <c r="N1909" s="261"/>
      <c r="P1909" s="230">
        <f t="shared" si="872"/>
        <v>0</v>
      </c>
    </row>
    <row r="1910" spans="2:43" x14ac:dyDescent="0.2">
      <c r="B1910" s="284" t="s">
        <v>478</v>
      </c>
      <c r="C1910" s="284"/>
      <c r="D1910" s="284"/>
      <c r="E1910" s="284"/>
      <c r="F1910" s="284"/>
      <c r="G1910" s="284"/>
      <c r="H1910" s="284"/>
      <c r="I1910" s="284"/>
      <c r="J1910" s="258"/>
      <c r="K1910" s="258"/>
      <c r="L1910" s="258"/>
      <c r="M1910" s="258"/>
      <c r="N1910" s="258"/>
      <c r="P1910" s="230">
        <f t="shared" si="872"/>
        <v>0</v>
      </c>
    </row>
    <row r="1911" spans="2:43" x14ac:dyDescent="0.2">
      <c r="B1911" s="284" t="s">
        <v>479</v>
      </c>
      <c r="C1911" s="284"/>
      <c r="D1911" s="284"/>
      <c r="E1911" s="284"/>
      <c r="F1911" s="284"/>
      <c r="G1911" s="284"/>
      <c r="H1911" s="284"/>
      <c r="I1911" s="284"/>
      <c r="J1911" s="258"/>
      <c r="K1911" s="258"/>
      <c r="L1911" s="258"/>
      <c r="M1911" s="258"/>
      <c r="N1911" s="258"/>
      <c r="P1911" s="230">
        <f t="shared" si="872"/>
        <v>0</v>
      </c>
    </row>
    <row r="1912" spans="2:43" x14ac:dyDescent="0.2">
      <c r="B1912" s="284" t="s">
        <v>480</v>
      </c>
      <c r="C1912" s="284"/>
      <c r="D1912" s="284"/>
      <c r="E1912" s="284"/>
      <c r="F1912" s="284"/>
      <c r="G1912" s="284"/>
      <c r="H1912" s="284"/>
      <c r="I1912" s="284"/>
      <c r="J1912" s="258"/>
      <c r="K1912" s="258"/>
      <c r="L1912" s="258"/>
      <c r="M1912" s="258"/>
      <c r="N1912" s="258"/>
      <c r="P1912" s="230">
        <f t="shared" si="872"/>
        <v>0</v>
      </c>
    </row>
    <row r="1913" spans="2:43" x14ac:dyDescent="0.2">
      <c r="B1913" s="284" t="s">
        <v>481</v>
      </c>
      <c r="C1913" s="284"/>
      <c r="D1913" s="284"/>
      <c r="E1913" s="284"/>
      <c r="F1913" s="284"/>
      <c r="G1913" s="284"/>
      <c r="H1913" s="284"/>
      <c r="I1913" s="284"/>
      <c r="J1913" s="226"/>
      <c r="K1913" s="226"/>
      <c r="L1913" s="226"/>
      <c r="M1913" s="226"/>
      <c r="N1913" s="226"/>
      <c r="P1913" s="230">
        <f t="shared" si="872"/>
        <v>0</v>
      </c>
    </row>
    <row r="1914" spans="2:43" x14ac:dyDescent="0.2">
      <c r="B1914" s="284" t="s">
        <v>482</v>
      </c>
      <c r="C1914" s="284"/>
      <c r="D1914" s="284"/>
      <c r="E1914" s="284"/>
      <c r="F1914" s="284"/>
      <c r="G1914" s="284"/>
      <c r="H1914" s="284"/>
      <c r="I1914" s="284"/>
      <c r="J1914" s="226"/>
      <c r="K1914" s="226"/>
      <c r="L1914" s="226"/>
      <c r="M1914" s="226"/>
      <c r="N1914" s="226"/>
      <c r="P1914" s="230">
        <f t="shared" si="872"/>
        <v>0</v>
      </c>
    </row>
    <row r="1915" spans="2:43" x14ac:dyDescent="0.2">
      <c r="B1915" s="284" t="s">
        <v>483</v>
      </c>
      <c r="C1915" s="284"/>
      <c r="D1915" s="284"/>
      <c r="E1915" s="284"/>
      <c r="F1915" s="284"/>
      <c r="G1915" s="284"/>
      <c r="H1915" s="284"/>
      <c r="I1915" s="284"/>
      <c r="J1915" s="226"/>
      <c r="K1915" s="226"/>
      <c r="L1915" s="226"/>
      <c r="M1915" s="226"/>
      <c r="N1915" s="226"/>
      <c r="P1915" s="230">
        <f t="shared" si="872"/>
        <v>0</v>
      </c>
    </row>
    <row r="1916" spans="2:43" x14ac:dyDescent="0.2">
      <c r="B1916" s="284" t="s">
        <v>484</v>
      </c>
      <c r="C1916" s="284"/>
      <c r="D1916" s="284"/>
      <c r="E1916" s="284"/>
      <c r="F1916" s="284"/>
      <c r="G1916" s="284"/>
      <c r="H1916" s="284"/>
      <c r="I1916" s="284"/>
      <c r="J1916" s="226"/>
      <c r="K1916" s="226"/>
      <c r="L1916" s="226"/>
      <c r="M1916" s="226"/>
      <c r="N1916" s="226"/>
      <c r="P1916" s="230">
        <f t="shared" si="872"/>
        <v>0</v>
      </c>
    </row>
    <row r="1917" spans="2:43" x14ac:dyDescent="0.2">
      <c r="B1917" s="264"/>
      <c r="C1917" s="264"/>
      <c r="D1917" s="264"/>
      <c r="E1917" s="264"/>
      <c r="F1917" s="264"/>
      <c r="G1917" s="264"/>
      <c r="H1917" s="264"/>
      <c r="I1917" s="265"/>
      <c r="J1917" s="226"/>
      <c r="K1917" s="226"/>
      <c r="L1917" s="226"/>
      <c r="M1917" s="226"/>
      <c r="N1917" s="226"/>
      <c r="P1917" s="230">
        <f t="shared" si="872"/>
        <v>0</v>
      </c>
    </row>
    <row r="1918" spans="2:43" x14ac:dyDescent="0.2">
      <c r="B1918" s="225" t="s">
        <v>485</v>
      </c>
      <c r="C1918" s="225"/>
      <c r="D1918" s="225"/>
      <c r="E1918" s="225"/>
      <c r="F1918" s="225"/>
      <c r="G1918" s="225"/>
      <c r="H1918" s="201"/>
      <c r="I1918" s="226"/>
      <c r="J1918" s="226" t="s">
        <v>486</v>
      </c>
      <c r="K1918" s="226"/>
      <c r="L1918" s="226"/>
      <c r="M1918" s="226"/>
      <c r="N1918" s="226"/>
      <c r="P1918" s="230">
        <f t="shared" si="872"/>
        <v>0</v>
      </c>
    </row>
    <row r="1919" spans="2:43" x14ac:dyDescent="0.2">
      <c r="B1919" s="266" t="s">
        <v>524</v>
      </c>
      <c r="C1919" s="266"/>
      <c r="D1919" s="225"/>
      <c r="E1919" s="225"/>
      <c r="F1919" s="225"/>
      <c r="G1919" s="225"/>
      <c r="H1919" s="201"/>
      <c r="I1919" s="226"/>
      <c r="J1919" s="267"/>
      <c r="K1919" s="267"/>
      <c r="L1919" s="267"/>
      <c r="M1919" s="226"/>
      <c r="N1919" s="226"/>
      <c r="P1919" s="230">
        <f t="shared" si="872"/>
        <v>0</v>
      </c>
    </row>
    <row r="1920" spans="2:43" x14ac:dyDescent="0.2">
      <c r="B1920" s="268" t="s">
        <v>487</v>
      </c>
      <c r="C1920" s="225"/>
      <c r="D1920" s="225"/>
      <c r="E1920" s="225"/>
      <c r="F1920" s="225"/>
      <c r="G1920" s="225"/>
      <c r="H1920" s="201"/>
      <c r="I1920" s="226"/>
      <c r="J1920" s="226" t="s">
        <v>487</v>
      </c>
      <c r="K1920" s="226"/>
      <c r="L1920" s="226"/>
      <c r="M1920" s="226"/>
      <c r="N1920" s="226"/>
      <c r="P1920" s="230">
        <f t="shared" si="872"/>
        <v>0</v>
      </c>
    </row>
    <row r="1921" spans="1:16" x14ac:dyDescent="0.2">
      <c r="B1921" s="225"/>
      <c r="C1921" s="225"/>
      <c r="D1921" s="225"/>
      <c r="E1921" s="225"/>
      <c r="F1921" s="225"/>
      <c r="G1921" s="225"/>
      <c r="H1921" s="201"/>
      <c r="I1921" s="226"/>
      <c r="J1921" s="226"/>
      <c r="K1921" s="226"/>
      <c r="L1921" s="226"/>
      <c r="M1921" s="226"/>
      <c r="N1921" s="226"/>
      <c r="P1921" s="230">
        <f t="shared" si="872"/>
        <v>0</v>
      </c>
    </row>
    <row r="1922" spans="1:16" x14ac:dyDescent="0.2">
      <c r="B1922" s="266"/>
      <c r="C1922" s="266"/>
      <c r="D1922" s="225"/>
      <c r="E1922" s="225"/>
      <c r="F1922" s="225"/>
      <c r="G1922" s="225"/>
      <c r="H1922" s="201"/>
      <c r="I1922" s="226"/>
      <c r="J1922" s="267"/>
      <c r="K1922" s="267"/>
      <c r="L1922" s="267"/>
      <c r="M1922" s="226"/>
      <c r="N1922" s="226"/>
      <c r="P1922" s="230">
        <f t="shared" si="872"/>
        <v>0</v>
      </c>
    </row>
    <row r="1923" spans="1:16" x14ac:dyDescent="0.2">
      <c r="B1923" s="269" t="s">
        <v>488</v>
      </c>
      <c r="C1923" s="225"/>
      <c r="D1923" s="225"/>
      <c r="E1923" s="225"/>
      <c r="F1923" s="225"/>
      <c r="G1923" s="225"/>
      <c r="H1923" s="201"/>
      <c r="I1923" s="226"/>
      <c r="J1923" s="285" t="s">
        <v>488</v>
      </c>
      <c r="K1923" s="285"/>
      <c r="L1923" s="285"/>
      <c r="M1923" s="226"/>
      <c r="N1923" s="226"/>
      <c r="P1923" s="230">
        <f t="shared" si="872"/>
        <v>0</v>
      </c>
    </row>
    <row r="1924" spans="1:16" x14ac:dyDescent="0.2">
      <c r="B1924" s="225"/>
      <c r="C1924" s="225"/>
      <c r="D1924" s="225"/>
      <c r="E1924" s="225"/>
      <c r="F1924" s="225"/>
      <c r="G1924" s="225"/>
      <c r="H1924" s="201"/>
      <c r="I1924" s="226"/>
      <c r="J1924" s="226"/>
      <c r="K1924" s="226"/>
      <c r="L1924" s="226"/>
      <c r="M1924" s="226"/>
      <c r="N1924" s="226"/>
      <c r="P1924" s="230">
        <f t="shared" si="872"/>
        <v>0</v>
      </c>
    </row>
    <row r="1925" spans="1:16" x14ac:dyDescent="0.2">
      <c r="B1925" s="264" t="s">
        <v>489</v>
      </c>
      <c r="C1925" s="225"/>
      <c r="D1925" s="225"/>
      <c r="E1925" s="225"/>
      <c r="F1925" s="225"/>
      <c r="G1925" s="225"/>
      <c r="H1925" s="201"/>
      <c r="I1925" s="226"/>
      <c r="J1925" s="226" t="s">
        <v>489</v>
      </c>
      <c r="K1925" s="226"/>
      <c r="L1925" s="226"/>
      <c r="M1925" s="226"/>
      <c r="N1925" s="226"/>
      <c r="P1925" s="230">
        <f t="shared" si="872"/>
        <v>0</v>
      </c>
    </row>
    <row r="1926" spans="1:16" x14ac:dyDescent="0.2">
      <c r="A1926" s="272"/>
      <c r="B1926" s="225"/>
      <c r="C1926" s="225"/>
      <c r="D1926" s="225"/>
      <c r="E1926" s="225"/>
      <c r="F1926" s="225"/>
      <c r="G1926" s="225"/>
      <c r="H1926" s="201"/>
      <c r="I1926" s="226"/>
      <c r="J1926" s="226"/>
      <c r="K1926" s="226"/>
      <c r="M1926" s="226"/>
      <c r="N1926" s="228"/>
    </row>
    <row r="1927" spans="1:16" x14ac:dyDescent="0.2">
      <c r="A1927" s="260"/>
      <c r="B1927" s="225"/>
      <c r="C1927" s="225"/>
      <c r="D1927" s="225"/>
      <c r="E1927" s="225"/>
      <c r="F1927" s="225"/>
      <c r="G1927" s="225"/>
      <c r="H1927" s="201"/>
      <c r="I1927" s="226"/>
      <c r="J1927" s="226"/>
      <c r="K1927" s="226"/>
      <c r="M1927" s="226"/>
      <c r="N1927" s="228" t="s">
        <v>455</v>
      </c>
      <c r="P1927" s="230">
        <f t="shared" ref="P1927:P1944" si="873">IF(A1927&gt;0,1,0)</f>
        <v>0</v>
      </c>
    </row>
    <row r="1928" spans="1:16" x14ac:dyDescent="0.2">
      <c r="B1928" s="225"/>
      <c r="C1928" s="225"/>
      <c r="D1928" s="225"/>
      <c r="E1928" s="225"/>
      <c r="F1928" s="225"/>
      <c r="G1928" s="225"/>
      <c r="H1928" s="201"/>
      <c r="I1928" s="226"/>
      <c r="J1928" s="226"/>
      <c r="K1928" s="226"/>
      <c r="M1928" s="226"/>
      <c r="N1928" s="228" t="s">
        <v>456</v>
      </c>
      <c r="P1928" s="230">
        <f t="shared" si="873"/>
        <v>0</v>
      </c>
    </row>
    <row r="1929" spans="1:16" x14ac:dyDescent="0.2">
      <c r="B1929" s="225"/>
      <c r="C1929" s="225"/>
      <c r="D1929" s="225"/>
      <c r="E1929" s="225"/>
      <c r="F1929" s="225"/>
      <c r="G1929" s="225"/>
      <c r="H1929" s="201"/>
      <c r="I1929" s="226"/>
      <c r="J1929" s="226"/>
      <c r="K1929" s="226"/>
      <c r="M1929" s="226"/>
      <c r="N1929" s="228" t="s">
        <v>457</v>
      </c>
      <c r="P1929" s="230">
        <f t="shared" si="873"/>
        <v>0</v>
      </c>
    </row>
    <row r="1930" spans="1:16" x14ac:dyDescent="0.2">
      <c r="B1930" s="225"/>
      <c r="C1930" s="225"/>
      <c r="D1930" s="225"/>
      <c r="E1930" s="225"/>
      <c r="F1930" s="225"/>
      <c r="G1930" s="225"/>
      <c r="H1930" s="201"/>
      <c r="I1930" s="226"/>
      <c r="J1930" s="226"/>
      <c r="K1930" s="226"/>
      <c r="L1930" s="226"/>
      <c r="M1930" s="226"/>
      <c r="N1930" s="226"/>
      <c r="P1930" s="230">
        <f t="shared" si="873"/>
        <v>0</v>
      </c>
    </row>
    <row r="1931" spans="1:16" x14ac:dyDescent="0.2">
      <c r="B1931" s="225"/>
      <c r="C1931" s="286" t="s">
        <v>458</v>
      </c>
      <c r="D1931" s="286"/>
      <c r="E1931" s="286"/>
      <c r="F1931" s="286"/>
      <c r="G1931" s="286"/>
      <c r="H1931" s="286"/>
      <c r="I1931" s="286"/>
      <c r="J1931" s="286"/>
      <c r="K1931" s="286"/>
      <c r="L1931" s="286"/>
      <c r="M1931" s="226"/>
      <c r="N1931" s="226"/>
      <c r="P1931" s="230">
        <f t="shared" si="873"/>
        <v>0</v>
      </c>
    </row>
    <row r="1932" spans="1:16" x14ac:dyDescent="0.2">
      <c r="B1932" s="225"/>
      <c r="C1932" s="286" t="s">
        <v>459</v>
      </c>
      <c r="D1932" s="286"/>
      <c r="E1932" s="286"/>
      <c r="F1932" s="286"/>
      <c r="G1932" s="286"/>
      <c r="H1932" s="286"/>
      <c r="I1932" s="286"/>
      <c r="J1932" s="286"/>
      <c r="K1932" s="286"/>
      <c r="L1932" s="286"/>
      <c r="M1932" s="226"/>
      <c r="N1932" s="226"/>
      <c r="P1932" s="230">
        <f t="shared" si="873"/>
        <v>0</v>
      </c>
    </row>
    <row r="1933" spans="1:16" x14ac:dyDescent="0.2">
      <c r="B1933" s="225" t="s">
        <v>460</v>
      </c>
      <c r="C1933" s="234"/>
      <c r="D1933" s="234"/>
      <c r="E1933" s="234"/>
      <c r="F1933" s="234"/>
      <c r="G1933" s="234"/>
      <c r="H1933" s="234"/>
      <c r="I1933" s="235"/>
      <c r="J1933" s="235"/>
      <c r="K1933" s="235"/>
      <c r="L1933" s="287" t="s">
        <v>461</v>
      </c>
      <c r="M1933" s="287"/>
      <c r="N1933" s="287"/>
      <c r="P1933" s="230">
        <f t="shared" si="873"/>
        <v>0</v>
      </c>
    </row>
    <row r="1934" spans="1:16" x14ac:dyDescent="0.2">
      <c r="B1934" s="225"/>
      <c r="C1934" s="234"/>
      <c r="D1934" s="234"/>
      <c r="E1934" s="234"/>
      <c r="F1934" s="234"/>
      <c r="G1934" s="234"/>
      <c r="H1934" s="234"/>
      <c r="I1934" s="235"/>
      <c r="J1934" s="235"/>
      <c r="K1934" s="235"/>
      <c r="L1934" s="235"/>
      <c r="M1934" s="235"/>
      <c r="N1934" s="235"/>
      <c r="P1934" s="230">
        <f t="shared" si="873"/>
        <v>0</v>
      </c>
    </row>
    <row r="1935" spans="1:16" x14ac:dyDescent="0.2">
      <c r="B1935" s="225" t="s">
        <v>2038</v>
      </c>
      <c r="C1935" s="234"/>
      <c r="D1935" s="234"/>
      <c r="E1935" s="234"/>
      <c r="F1935" s="234"/>
      <c r="G1935" s="234"/>
      <c r="H1935" s="234"/>
      <c r="I1935" s="235"/>
      <c r="J1935" s="235"/>
      <c r="K1935" s="235"/>
      <c r="L1935" s="235"/>
      <c r="M1935" s="235"/>
      <c r="N1935" s="235"/>
      <c r="P1935" s="230">
        <f t="shared" si="873"/>
        <v>0</v>
      </c>
    </row>
    <row r="1936" spans="1:16" x14ac:dyDescent="0.2">
      <c r="B1936" s="225" t="s">
        <v>462</v>
      </c>
      <c r="C1936" s="234"/>
      <c r="D1936" s="234"/>
      <c r="E1936" s="234"/>
      <c r="F1936" s="234"/>
      <c r="G1936" s="234"/>
      <c r="H1936" s="234"/>
      <c r="I1936" s="235"/>
      <c r="J1936" s="235"/>
      <c r="K1936" s="235"/>
      <c r="L1936" s="235"/>
      <c r="M1936" s="235"/>
      <c r="N1936" s="235"/>
      <c r="P1936" s="230">
        <f t="shared" si="873"/>
        <v>0</v>
      </c>
    </row>
    <row r="1937" spans="1:43" x14ac:dyDescent="0.2">
      <c r="B1937" s="225" t="s">
        <v>2037</v>
      </c>
      <c r="C1937" s="234"/>
      <c r="D1937" s="234"/>
      <c r="E1937" s="234"/>
      <c r="F1937" s="234"/>
      <c r="G1937" s="234"/>
      <c r="H1937" s="234"/>
      <c r="I1937" s="235"/>
      <c r="J1937" s="235"/>
      <c r="K1937" s="235"/>
      <c r="L1937" s="235"/>
      <c r="M1937" s="235"/>
      <c r="N1937" s="235"/>
      <c r="P1937" s="230">
        <f t="shared" si="873"/>
        <v>0</v>
      </c>
    </row>
    <row r="1938" spans="1:43" x14ac:dyDescent="0.2">
      <c r="B1938" s="225" t="s">
        <v>2052</v>
      </c>
      <c r="C1938" s="234"/>
      <c r="D1938" s="234"/>
      <c r="E1938" s="234"/>
      <c r="F1938" s="234"/>
      <c r="G1938" s="234"/>
      <c r="H1938" s="234"/>
      <c r="I1938" s="235"/>
      <c r="J1938" s="235"/>
      <c r="K1938" s="235"/>
      <c r="L1938" s="235"/>
      <c r="M1938" s="235"/>
      <c r="N1938" s="235"/>
      <c r="P1938" s="230">
        <f t="shared" si="873"/>
        <v>0</v>
      </c>
    </row>
    <row r="1939" spans="1:43" x14ac:dyDescent="0.2">
      <c r="B1939" s="225"/>
      <c r="C1939" s="225"/>
      <c r="D1939" s="225"/>
      <c r="E1939" s="225"/>
      <c r="F1939" s="225"/>
      <c r="G1939" s="225"/>
      <c r="H1939" s="201"/>
      <c r="I1939" s="226"/>
      <c r="J1939" s="226"/>
      <c r="K1939" s="226"/>
      <c r="L1939" s="226"/>
      <c r="M1939" s="226"/>
      <c r="N1939" s="226"/>
      <c r="P1939" s="230">
        <f t="shared" si="873"/>
        <v>0</v>
      </c>
    </row>
    <row r="1940" spans="1:43" x14ac:dyDescent="0.2">
      <c r="B1940" s="288" t="s">
        <v>106</v>
      </c>
      <c r="C1940" s="290" t="s">
        <v>463</v>
      </c>
      <c r="D1940" s="288" t="s">
        <v>464</v>
      </c>
      <c r="E1940" s="288" t="s">
        <v>465</v>
      </c>
      <c r="F1940" s="288" t="s">
        <v>490</v>
      </c>
      <c r="G1940" s="288" t="s">
        <v>466</v>
      </c>
      <c r="H1940" s="292" t="s">
        <v>8</v>
      </c>
      <c r="I1940" s="294" t="s">
        <v>467</v>
      </c>
      <c r="J1940" s="295"/>
      <c r="K1940" s="295"/>
      <c r="L1940" s="296"/>
      <c r="M1940" s="297" t="s">
        <v>468</v>
      </c>
      <c r="N1940" s="299" t="s">
        <v>469</v>
      </c>
      <c r="P1940" s="230">
        <f t="shared" si="873"/>
        <v>0</v>
      </c>
    </row>
    <row r="1941" spans="1:43" x14ac:dyDescent="0.2">
      <c r="B1941" s="289"/>
      <c r="C1941" s="291"/>
      <c r="D1941" s="289"/>
      <c r="E1941" s="289"/>
      <c r="F1941" s="289"/>
      <c r="G1941" s="289"/>
      <c r="H1941" s="293"/>
      <c r="I1941" s="236" t="s">
        <v>470</v>
      </c>
      <c r="J1941" s="236" t="s">
        <v>471</v>
      </c>
      <c r="K1941" s="236" t="s">
        <v>472</v>
      </c>
      <c r="L1941" s="236" t="s">
        <v>473</v>
      </c>
      <c r="M1941" s="298"/>
      <c r="N1941" s="300"/>
      <c r="P1941" s="230">
        <f t="shared" si="873"/>
        <v>0</v>
      </c>
    </row>
    <row r="1942" spans="1:43" x14ac:dyDescent="0.2">
      <c r="A1942" s="224" t="str">
        <f>CONCATENATE("Лот"," ",A1943)</f>
        <v>Лот 36</v>
      </c>
      <c r="B1942" s="273" t="s">
        <v>2087</v>
      </c>
      <c r="C1942" s="274"/>
      <c r="D1942" s="274"/>
      <c r="E1942" s="274"/>
      <c r="F1942" s="274"/>
      <c r="G1942" s="275"/>
      <c r="H1942" s="238" t="s">
        <v>17</v>
      </c>
      <c r="I1942" s="270">
        <f ca="1">ROUND(VLOOKUP($H1942,$AJ$4:$AN$13,2,0)*$Q1944*1.51,2)</f>
        <v>120.15</v>
      </c>
      <c r="J1942" s="270">
        <f ca="1">ROUND(VLOOKUP($H1942,$AJ$4:$AN$13,3,0)*$Q1944*1.51,2)</f>
        <v>85.62</v>
      </c>
      <c r="K1942" s="270">
        <f ca="1">ROUND(VLOOKUP($H1942,$AJ$4:$AN$13,4,0)*$Q1944*1.51,2)</f>
        <v>43.38</v>
      </c>
      <c r="L1942" s="270"/>
      <c r="M1942" s="270">
        <f ca="1">ROUND(VLOOKUP($H1942,$AJ$4:$AN$13,5,0)*$Q1944*1.51,2)</f>
        <v>6.85</v>
      </c>
      <c r="N1942" s="270"/>
      <c r="P1942" s="230">
        <f t="shared" si="873"/>
        <v>1</v>
      </c>
    </row>
    <row r="1943" spans="1:43" x14ac:dyDescent="0.2">
      <c r="A1943" s="224">
        <f>A1888+1</f>
        <v>36</v>
      </c>
      <c r="B1943" s="276"/>
      <c r="C1943" s="277"/>
      <c r="D1943" s="277"/>
      <c r="E1943" s="277"/>
      <c r="F1943" s="277"/>
      <c r="G1943" s="278"/>
      <c r="H1943" s="238" t="s">
        <v>25</v>
      </c>
      <c r="I1943" s="270">
        <f ca="1">ROUND(VLOOKUP($H1943,$AJ$4:$AN$13,2,0)*$Q1944*1.51,2)</f>
        <v>898.69</v>
      </c>
      <c r="J1943" s="270">
        <f ca="1">ROUND(VLOOKUP($H1943,$AJ$4:$AN$13,3,0)*$Q1944*1.51,2)</f>
        <v>642.13</v>
      </c>
      <c r="K1943" s="270">
        <f ca="1">ROUND(VLOOKUP($H1943,$AJ$4:$AN$13,4,0)*$Q1944*1.51,2)</f>
        <v>323.06</v>
      </c>
      <c r="L1943" s="270"/>
      <c r="M1943" s="270">
        <f ca="1">ROUND(VLOOKUP($H1943,$AJ$4:$AN$13,5,0)*$Q1944*1.51,2)</f>
        <v>27.97</v>
      </c>
      <c r="N1943" s="270"/>
      <c r="P1943" s="230">
        <f t="shared" si="873"/>
        <v>1</v>
      </c>
      <c r="Q1943" s="240" t="s">
        <v>2045</v>
      </c>
      <c r="R1943" s="240" t="s">
        <v>2046</v>
      </c>
    </row>
    <row r="1944" spans="1:43" x14ac:dyDescent="0.2">
      <c r="B1944" s="276"/>
      <c r="C1944" s="277"/>
      <c r="D1944" s="277"/>
      <c r="E1944" s="277"/>
      <c r="F1944" s="277"/>
      <c r="G1944" s="278"/>
      <c r="H1944" s="238" t="s">
        <v>19</v>
      </c>
      <c r="I1944" s="270">
        <f ca="1">ROUND(VLOOKUP($H1944,$AJ$4:$AN$13,2,0)*$Q1944*1.51,2)</f>
        <v>71.349999999999994</v>
      </c>
      <c r="J1944" s="270">
        <f ca="1">ROUND(VLOOKUP($H1944,$AJ$4:$AN$13,3,0)*$Q1944*1.51,2)</f>
        <v>51.94</v>
      </c>
      <c r="K1944" s="270">
        <f ca="1">ROUND(VLOOKUP($H1944,$AJ$4:$AN$13,4,0)*$Q1944*1.51,2)</f>
        <v>26.54</v>
      </c>
      <c r="L1944" s="270"/>
      <c r="M1944" s="270">
        <f ca="1">ROUND(VLOOKUP($H1944,$AJ$4:$AN$13,5,0)*$Q1944*1.51,2)</f>
        <v>1.43</v>
      </c>
      <c r="N1944" s="270"/>
      <c r="P1944" s="230">
        <f t="shared" si="873"/>
        <v>0</v>
      </c>
      <c r="Q1944" s="123">
        <f ca="1">IFERROR(IF(R1944="","",IF(OR(R1944&lt;100,R1944=100),0.9,IF(OR(AND(R1944&gt;100,R1944&lt;150),R1944=150),1,IF(R1944&gt;150,1.05,"")))),"0")</f>
        <v>1.05</v>
      </c>
      <c r="R1944" s="123">
        <f ca="1">N1960/G1948</f>
        <v>222.35624999999999</v>
      </c>
    </row>
    <row r="1945" spans="1:43" x14ac:dyDescent="0.2">
      <c r="B1945" s="276"/>
      <c r="C1945" s="277"/>
      <c r="D1945" s="277"/>
      <c r="E1945" s="277"/>
      <c r="F1945" s="277"/>
      <c r="G1945" s="278"/>
      <c r="H1945" s="238" t="s">
        <v>268</v>
      </c>
      <c r="I1945" s="270">
        <f ca="1">ROUND(VLOOKUP($H1945,$AJ$4:$AN$13,2,0)*$Q1944*1.51,2)</f>
        <v>898.69</v>
      </c>
      <c r="J1945" s="270">
        <f ca="1">ROUND(VLOOKUP($H1945,$AJ$4:$AN$13,3,0)*$Q1944*1.51,2)</f>
        <v>642.13</v>
      </c>
      <c r="K1945" s="270">
        <f ca="1">ROUND(VLOOKUP($H1945,$AJ$4:$AN$13,4,0)*$Q1944*1.51,2)</f>
        <v>323.06</v>
      </c>
      <c r="L1945" s="270"/>
      <c r="M1945" s="270">
        <f ca="1">ROUND(VLOOKUP($H1945,$AJ$4:$AN$13,5,0)*$Q1944*1.51,2)</f>
        <v>27.97</v>
      </c>
      <c r="N1945" s="270"/>
    </row>
    <row r="1946" spans="1:43" x14ac:dyDescent="0.2">
      <c r="B1946" s="276"/>
      <c r="C1946" s="277"/>
      <c r="D1946" s="277"/>
      <c r="E1946" s="277"/>
      <c r="F1946" s="277"/>
      <c r="G1946" s="278"/>
      <c r="H1946" s="238" t="s">
        <v>40</v>
      </c>
      <c r="I1946" s="270">
        <f ca="1">ROUND(VLOOKUP($H1946,$AJ$4:$AN$13,2,0)*$Q1944*1.51,2)</f>
        <v>71.349999999999994</v>
      </c>
      <c r="J1946" s="270">
        <f ca="1">ROUND(VLOOKUP($H1946,$AJ$4:$AN$13,3,0)*$Q1944*1.51,2)</f>
        <v>51.94</v>
      </c>
      <c r="K1946" s="270">
        <f ca="1">ROUND(VLOOKUP($H1946,$AJ$4:$AN$13,4,0)*$Q1944*1.51,2)</f>
        <v>26.54</v>
      </c>
      <c r="L1946" s="270"/>
      <c r="M1946" s="270">
        <f ca="1">ROUND(VLOOKUP($H1946,$AJ$4:$AN$13,5,0)*$Q1944*1.51,2)</f>
        <v>1.43</v>
      </c>
      <c r="N1946" s="270"/>
      <c r="P1946" s="230">
        <f t="shared" ref="P1946:P1959" si="874">IF(A1946&gt;0,1,0)</f>
        <v>0</v>
      </c>
    </row>
    <row r="1947" spans="1:43" x14ac:dyDescent="0.2">
      <c r="B1947" s="279"/>
      <c r="C1947" s="280"/>
      <c r="D1947" s="280"/>
      <c r="E1947" s="280"/>
      <c r="F1947" s="280"/>
      <c r="G1947" s="281"/>
      <c r="H1947" s="238" t="s">
        <v>18</v>
      </c>
      <c r="I1947" s="270">
        <f ca="1">ROUND(VLOOKUP($H1947,$AJ$4:$AN$13,2,0)*$Q1944*1.51,2)</f>
        <v>22.83</v>
      </c>
      <c r="J1947" s="270">
        <f ca="1">ROUND(VLOOKUP($H1947,$AJ$4:$AN$13,3,0)*$Q1944*1.51,2)</f>
        <v>17.41</v>
      </c>
      <c r="K1947" s="270">
        <f ca="1">ROUND(VLOOKUP($H1947,$AJ$4:$AN$13,4,0)*$Q1944*1.51,2)</f>
        <v>8.85</v>
      </c>
      <c r="L1947" s="270"/>
      <c r="M1947" s="270">
        <f ca="1">ROUND(VLOOKUP($H1947,$AJ$4:$AN$13,5,0)*$Q1944*1.51*1,2)</f>
        <v>0.56999999999999995</v>
      </c>
      <c r="N1947" s="270"/>
      <c r="P1947" s="230">
        <f t="shared" si="874"/>
        <v>0</v>
      </c>
      <c r="AP1947" s="241" t="s">
        <v>2053</v>
      </c>
      <c r="AQ1947" s="242"/>
    </row>
    <row r="1948" spans="1:43" x14ac:dyDescent="0.2">
      <c r="A1948" s="224">
        <f>A1893+37</f>
        <v>1295</v>
      </c>
      <c r="B1948" s="243" t="str">
        <f ca="1">OFFSET(ЛОТЫ!$L$5,A1948,0,1,1)</f>
        <v>Тимерликовское</v>
      </c>
      <c r="C1948" s="244" t="s">
        <v>474</v>
      </c>
      <c r="D1948" s="243">
        <f ca="1">OFFSET(ЛОТЫ!$M$5,A1948,0,1,1)</f>
        <v>16</v>
      </c>
      <c r="E1948" s="243">
        <f ca="1">OFFSET(ЛОТЫ!$N$5,A1948,0,1,1)</f>
        <v>6</v>
      </c>
      <c r="F1948" s="243">
        <f ca="1">OFFSET(ЛОТЫ!$O$5,A1948,0,1,1)</f>
        <v>1</v>
      </c>
      <c r="G1948" s="271">
        <f ca="1">IFERROR(INDEX('Ведомость расчета мин. платы'!$G$10:$AC$214,MATCH(CONCATENATE(B1948,"/",D1948,"/",E1948,"/",F1948),'Ведомость расчета мин. платы'!$AC$10:$AC$214,0),1),"")</f>
        <v>3.2</v>
      </c>
      <c r="H1948" s="246" t="s">
        <v>17</v>
      </c>
      <c r="I1948" s="247">
        <f ca="1">IFERROR(INDEX('Ведомость расчета мин. платы'!$J$10:$AE$214,MATCH(CONCATENATE(РАСЧЕТ!B1948,"/",РАСЧЕТ!D1948,"/",РАСЧЕТ!E1948,"/",F1948,"/",H1948),'Ведомость расчета мин. платы'!$AE$10:$AE$214,0),2),"")</f>
        <v>14.4</v>
      </c>
      <c r="J1948" s="247">
        <f ca="1">IFERROR(INDEX('Ведомость расчета мин. платы'!$J$10:$AE$214,MATCH(CONCATENATE(РАСЧЕТ!B1948,"/",РАСЧЕТ!D1948,"/",РАСЧЕТ!E1948,"/",F1948,"/",H1948),'Ведомость расчета мин. платы'!$AE$10:$AE$214,0),3),"")</f>
        <v>61.66</v>
      </c>
      <c r="K1948" s="247">
        <f ca="1">IFERROR(INDEX('Ведомость расчета мин. платы'!$J$10:$AE$214,MATCH(CONCATENATE(РАСЧЕТ!B1948,"/",РАСЧЕТ!D1948,"/",РАСЧЕТ!E1948,"/",F1948,"/",H1948),'Ведомость расчета мин. платы'!$AE$10:$AE$214,0),4),"")</f>
        <v>14.1</v>
      </c>
      <c r="L1948" s="248">
        <f t="shared" ref="L1948:L1960" ca="1" si="875">IFERROR(SUM(I1948:K1948),"")</f>
        <v>90.16</v>
      </c>
      <c r="M1948" s="214">
        <f ca="1">IFERROR(INDEX('Ведомость расчета мин. платы'!$J$10:$AE$214,MATCH(CONCATENATE(РАСЧЕТ!B1948,"/",РАСЧЕТ!D1948,"/",РАСЧЕТ!E1948,"/",F1948,"/",H1948),'Ведомость расчета мин. платы'!$AE$10:$AE$214,0),6),"")</f>
        <v>55.16</v>
      </c>
      <c r="N1948" s="214">
        <f t="shared" ref="N1948:N1960" ca="1" si="876">IFERROR(SUM(L1948:M1948),"")</f>
        <v>145.32</v>
      </c>
      <c r="O1948" s="229">
        <f>IF(H1948="стоимость","",1)</f>
        <v>1</v>
      </c>
      <c r="P1948" s="230">
        <f t="shared" si="874"/>
        <v>1</v>
      </c>
      <c r="AP1948" s="242"/>
      <c r="AQ1948" s="242"/>
    </row>
    <row r="1949" spans="1:43" x14ac:dyDescent="0.2">
      <c r="B1949" s="249"/>
      <c r="C1949" s="249"/>
      <c r="D1949" s="249"/>
      <c r="E1949" s="249"/>
      <c r="F1949" s="249"/>
      <c r="G1949" s="249"/>
      <c r="H1949" s="250" t="s">
        <v>475</v>
      </c>
      <c r="I1949" s="251">
        <f ca="1">IFERROR(ROUND(I1948*I1942,2),"")</f>
        <v>1730.16</v>
      </c>
      <c r="J1949" s="251">
        <f t="shared" ref="J1949" ca="1" si="877">IFERROR(ROUND(J1948*J1942,2),"")</f>
        <v>5279.33</v>
      </c>
      <c r="K1949" s="251">
        <f t="shared" ref="K1949" ca="1" si="878">IFERROR(ROUND(K1948*K1942,2),"")</f>
        <v>611.66</v>
      </c>
      <c r="L1949" s="251">
        <f t="shared" ca="1" si="875"/>
        <v>7621.15</v>
      </c>
      <c r="M1949" s="251">
        <f t="shared" ref="M1949" ca="1" si="879">IFERROR(ROUND(M1948*M1942,2),"")</f>
        <v>377.85</v>
      </c>
      <c r="N1949" s="252">
        <f t="shared" ca="1" si="876"/>
        <v>7999</v>
      </c>
      <c r="O1949" s="229" t="str">
        <f t="shared" ref="O1949:O1959" si="880">IF(H1949="стоимость","",1)</f>
        <v/>
      </c>
      <c r="P1949" s="230">
        <f t="shared" si="874"/>
        <v>0</v>
      </c>
      <c r="AP1949" s="242">
        <f ca="1">SUMIFS('Ведомость расчета мин. платы'!$S$10:$S$209,'Ведомость расчета мин. платы'!$AE$10:$AE$209,CONCATENATE(B1948,"/",D1948,"/",E1948,"/",F1948,"/",H1948))</f>
        <v>7999</v>
      </c>
      <c r="AQ1949" s="253">
        <f t="shared" ref="AQ1949" ca="1" si="881">AP1949-N1949</f>
        <v>0</v>
      </c>
    </row>
    <row r="1950" spans="1:43" x14ac:dyDescent="0.2">
      <c r="B1950" s="249"/>
      <c r="C1950" s="249"/>
      <c r="D1950" s="249"/>
      <c r="E1950" s="249"/>
      <c r="F1950" s="249"/>
      <c r="G1950" s="249"/>
      <c r="H1950" s="246" t="s">
        <v>25</v>
      </c>
      <c r="I1950" s="247" t="str">
        <f ca="1">IFERROR(INDEX('Ведомость расчета мин. платы'!$J$10:$AE$214,MATCH(CONCATENATE(РАСЧЕТ!B1948,"/",РАСЧЕТ!D1948,"/",РАСЧЕТ!E1948,"/",F1948,"/",H1950),'Ведомость расчета мин. платы'!$AE$10:$AE$214,0),2),"")</f>
        <v/>
      </c>
      <c r="J1950" s="247" t="str">
        <f ca="1">IFERROR(INDEX('Ведомость расчета мин. платы'!$J$10:$AE$214,MATCH(CONCATENATE(РАСЧЕТ!B1948,"/",РАСЧЕТ!D1948,"/",РАСЧЕТ!E1948,"/",F1948,"/",H1950),'Ведомость расчета мин. платы'!$AE$10:$AE$214,0),3),"")</f>
        <v/>
      </c>
      <c r="K1950" s="247" t="str">
        <f ca="1">IFERROR(INDEX('Ведомость расчета мин. платы'!$J$10:$AE$214,MATCH(CONCATENATE(РАСЧЕТ!B1948,"/",РАСЧЕТ!D1948,"/",РАСЧЕТ!E1948,"/",F1948,"/",H1950),'Ведомость расчета мин. платы'!$AE$10:$AE$214,0),4),"")</f>
        <v/>
      </c>
      <c r="L1950" s="248">
        <f t="shared" ca="1" si="875"/>
        <v>0</v>
      </c>
      <c r="M1950" s="214" t="str">
        <f ca="1">IFERROR(INDEX('Ведомость расчета мин. платы'!$J$10:$AE$214,MATCH(CONCATENATE(РАСЧЕТ!B1948,"/",РАСЧЕТ!D1948,"/",РАСЧЕТ!E1948,"/",F1948,"/",H1950),'Ведомость расчета мин. платы'!$AE$10:$AE$214,0),6),"")</f>
        <v/>
      </c>
      <c r="N1950" s="214">
        <f t="shared" ca="1" si="876"/>
        <v>0</v>
      </c>
      <c r="O1950" s="229">
        <f t="shared" si="880"/>
        <v>1</v>
      </c>
      <c r="P1950" s="230">
        <f t="shared" si="874"/>
        <v>0</v>
      </c>
      <c r="AP1950" s="242"/>
      <c r="AQ1950" s="253"/>
    </row>
    <row r="1951" spans="1:43" x14ac:dyDescent="0.2">
      <c r="B1951" s="249"/>
      <c r="C1951" s="249"/>
      <c r="D1951" s="249"/>
      <c r="E1951" s="249"/>
      <c r="F1951" s="249"/>
      <c r="G1951" s="249"/>
      <c r="H1951" s="250" t="s">
        <v>475</v>
      </c>
      <c r="I1951" s="251" t="str">
        <f ca="1">IFERROR(ROUND(I1950*I1943,2),"")</f>
        <v/>
      </c>
      <c r="J1951" s="251" t="str">
        <f t="shared" ref="J1951" ca="1" si="882">IFERROR(ROUND(J1950*J1943,2),"")</f>
        <v/>
      </c>
      <c r="K1951" s="251" t="str">
        <f t="shared" ref="K1951" ca="1" si="883">IFERROR(ROUND(K1950*K1943,2),"")</f>
        <v/>
      </c>
      <c r="L1951" s="251">
        <f t="shared" ca="1" si="875"/>
        <v>0</v>
      </c>
      <c r="M1951" s="251" t="str">
        <f t="shared" ref="M1951" ca="1" si="884">IFERROR(ROUND(M1950*M1943,2),"")</f>
        <v/>
      </c>
      <c r="N1951" s="252">
        <f t="shared" ca="1" si="876"/>
        <v>0</v>
      </c>
      <c r="O1951" s="229" t="str">
        <f t="shared" si="880"/>
        <v/>
      </c>
      <c r="P1951" s="230">
        <f t="shared" si="874"/>
        <v>0</v>
      </c>
      <c r="AP1951" s="242">
        <f ca="1">SUMIFS('Ведомость расчета мин. платы'!$S$10:$S$209,'Ведомость расчета мин. платы'!$AE$10:$AE$209,CONCATENATE(B1948,"/",D1948,"/",E1948,"/",F1948,"/",H1950))</f>
        <v>0</v>
      </c>
      <c r="AQ1951" s="253">
        <f t="shared" ref="AQ1951" ca="1" si="885">AP1951-N1951</f>
        <v>0</v>
      </c>
    </row>
    <row r="1952" spans="1:43" x14ac:dyDescent="0.2">
      <c r="B1952" s="249"/>
      <c r="C1952" s="249"/>
      <c r="D1952" s="249"/>
      <c r="E1952" s="249"/>
      <c r="F1952" s="249"/>
      <c r="G1952" s="249"/>
      <c r="H1952" s="205" t="s">
        <v>19</v>
      </c>
      <c r="I1952" s="248" t="str">
        <f ca="1">IFERROR(INDEX('Ведомость расчета мин. платы'!$J$10:$AE$214,MATCH(CONCATENATE(РАСЧЕТ!B1948,"/",РАСЧЕТ!D1948,"/",РАСЧЕТ!E1948,"/",F1948,"/",H1952),'Ведомость расчета мин. платы'!$AE$10:$AE$214,0),2),"")</f>
        <v/>
      </c>
      <c r="J1952" s="248" t="str">
        <f ca="1">IFERROR(INDEX('Ведомость расчета мин. платы'!$J$10:$AE$214,MATCH(CONCATENATE(РАСЧЕТ!B1948,"/",РАСЧЕТ!D1948,"/",РАСЧЕТ!E1948,"/",F1948,"/",H1952),'Ведомость расчета мин. платы'!$AE$10:$AE$214,0),3),"")</f>
        <v/>
      </c>
      <c r="K1952" s="248" t="str">
        <f ca="1">IFERROR(INDEX('Ведомость расчета мин. платы'!$J$10:$AE$214,MATCH(CONCATENATE(РАСЧЕТ!B1948,"/",РАСЧЕТ!D1948,"/",РАСЧЕТ!E1948,"/",F1948,"/",H1952),'Ведомость расчета мин. платы'!$AE$10:$AE$214,0),4),"")</f>
        <v/>
      </c>
      <c r="L1952" s="248">
        <f t="shared" ca="1" si="875"/>
        <v>0</v>
      </c>
      <c r="M1952" s="248" t="str">
        <f ca="1">IFERROR(INDEX('Ведомость расчета мин. платы'!$J$10:$AE$214,MATCH(CONCATENATE(РАСЧЕТ!B1948,"/",РАСЧЕТ!D1948,"/",РАСЧЕТ!E1948,"/",F1948,"/",H1952),'Ведомость расчета мин. платы'!$AE$10:$AE$214,0),6),"")</f>
        <v/>
      </c>
      <c r="N1952" s="214">
        <f t="shared" ca="1" si="876"/>
        <v>0</v>
      </c>
      <c r="O1952" s="229">
        <f t="shared" si="880"/>
        <v>1</v>
      </c>
      <c r="P1952" s="230">
        <f t="shared" si="874"/>
        <v>0</v>
      </c>
      <c r="AP1952" s="242"/>
      <c r="AQ1952" s="253"/>
    </row>
    <row r="1953" spans="2:43" x14ac:dyDescent="0.2">
      <c r="B1953" s="249"/>
      <c r="C1953" s="249"/>
      <c r="D1953" s="249"/>
      <c r="E1953" s="249"/>
      <c r="F1953" s="249"/>
      <c r="G1953" s="249"/>
      <c r="H1953" s="250" t="s">
        <v>475</v>
      </c>
      <c r="I1953" s="251" t="str">
        <f ca="1">IFERROR(ROUND(I1952*I1944,2),"")</f>
        <v/>
      </c>
      <c r="J1953" s="251" t="str">
        <f t="shared" ref="J1953" ca="1" si="886">IFERROR(ROUND(J1952*J1944,2),"")</f>
        <v/>
      </c>
      <c r="K1953" s="251" t="str">
        <f t="shared" ref="K1953" ca="1" si="887">IFERROR(ROUND(K1952*K1944,2),"")</f>
        <v/>
      </c>
      <c r="L1953" s="251">
        <f t="shared" ca="1" si="875"/>
        <v>0</v>
      </c>
      <c r="M1953" s="251" t="str">
        <f t="shared" ref="M1953" ca="1" si="888">IFERROR(ROUND(M1952*M1944,2),"")</f>
        <v/>
      </c>
      <c r="N1953" s="252">
        <f t="shared" ca="1" si="876"/>
        <v>0</v>
      </c>
      <c r="O1953" s="229" t="str">
        <f t="shared" si="880"/>
        <v/>
      </c>
      <c r="P1953" s="230">
        <f t="shared" si="874"/>
        <v>0</v>
      </c>
      <c r="AP1953" s="242">
        <f ca="1">SUMIFS('Ведомость расчета мин. платы'!$S$10:$S$209,'Ведомость расчета мин. платы'!$AE$10:$AE$209,CONCATENATE(B1948,"/",D1948,"/",E1948,"/",F1948,"/",H1952))</f>
        <v>0</v>
      </c>
      <c r="AQ1953" s="253">
        <f t="shared" ref="AQ1953" ca="1" si="889">AP1953-N1953</f>
        <v>0</v>
      </c>
    </row>
    <row r="1954" spans="2:43" x14ac:dyDescent="0.2">
      <c r="B1954" s="249"/>
      <c r="C1954" s="249"/>
      <c r="D1954" s="249"/>
      <c r="E1954" s="249"/>
      <c r="F1954" s="249"/>
      <c r="G1954" s="249"/>
      <c r="H1954" s="205" t="s">
        <v>268</v>
      </c>
      <c r="I1954" s="248" t="str">
        <f ca="1">IFERROR(INDEX('Ведомость расчета мин. платы'!$J$10:$AE$214,MATCH(CONCATENATE(РАСЧЕТ!B1948,"/",РАСЧЕТ!D1948,"/",РАСЧЕТ!E1948,"/",F1948,"/",H1954),'Ведомость расчета мин. платы'!$AE$10:$AE$214,0),2),"")</f>
        <v/>
      </c>
      <c r="J1954" s="248" t="str">
        <f ca="1">IFERROR(INDEX('Ведомость расчета мин. платы'!$J$10:$AE$214,MATCH(CONCATENATE(РАСЧЕТ!B1948,"/",РАСЧЕТ!D1948,"/",РАСЧЕТ!E1948,"/",F1948,"/",H1954),'Ведомость расчета мин. платы'!$AE$10:$AE$214,0),3),"")</f>
        <v/>
      </c>
      <c r="K1954" s="248" t="str">
        <f ca="1">IFERROR(INDEX('Ведомость расчета мин. платы'!$J$10:$AE$214,MATCH(CONCATENATE(РАСЧЕТ!B1948,"/",РАСЧЕТ!D1948,"/",РАСЧЕТ!E1948,"/",F1948,"/",H1954),'Ведомость расчета мин. платы'!$AE$10:$AE$214,0),4),"")</f>
        <v/>
      </c>
      <c r="L1954" s="248">
        <f t="shared" ca="1" si="875"/>
        <v>0</v>
      </c>
      <c r="M1954" s="248" t="str">
        <f ca="1">IFERROR(INDEX('Ведомость расчета мин. платы'!$J$10:$AE$214,MATCH(CONCATENATE(РАСЧЕТ!B1948,"/",РАСЧЕТ!D1948,"/",РАСЧЕТ!E1948,"/",F1948,"/",H1954),'Ведомость расчета мин. платы'!$AE$10:$AE$214,0),6),"")</f>
        <v/>
      </c>
      <c r="N1954" s="214">
        <f t="shared" ca="1" si="876"/>
        <v>0</v>
      </c>
      <c r="O1954" s="229">
        <f t="shared" si="880"/>
        <v>1</v>
      </c>
      <c r="P1954" s="230">
        <f t="shared" si="874"/>
        <v>0</v>
      </c>
      <c r="AP1954" s="242"/>
      <c r="AQ1954" s="253"/>
    </row>
    <row r="1955" spans="2:43" x14ac:dyDescent="0.2">
      <c r="B1955" s="249"/>
      <c r="C1955" s="249"/>
      <c r="D1955" s="249"/>
      <c r="E1955" s="249"/>
      <c r="F1955" s="249"/>
      <c r="G1955" s="249"/>
      <c r="H1955" s="250" t="s">
        <v>475</v>
      </c>
      <c r="I1955" s="251" t="str">
        <f ca="1">IFERROR(ROUND(I1954*I1947,2),"")</f>
        <v/>
      </c>
      <c r="J1955" s="251" t="str">
        <f ca="1">IFERROR(ROUND(J1954*J1945,2),"")</f>
        <v/>
      </c>
      <c r="K1955" s="251" t="str">
        <f ca="1">IFERROR(ROUND(K1954*K1945,2),"")</f>
        <v/>
      </c>
      <c r="L1955" s="251">
        <f t="shared" ca="1" si="875"/>
        <v>0</v>
      </c>
      <c r="M1955" s="251" t="str">
        <f ca="1">IFERROR(ROUND(M1954*M1945,2),"")</f>
        <v/>
      </c>
      <c r="N1955" s="252">
        <f t="shared" ca="1" si="876"/>
        <v>0</v>
      </c>
      <c r="O1955" s="229" t="str">
        <f t="shared" si="880"/>
        <v/>
      </c>
      <c r="P1955" s="230">
        <f t="shared" si="874"/>
        <v>0</v>
      </c>
      <c r="AP1955" s="242">
        <f ca="1">SUMIFS('Ведомость расчета мин. платы'!$S$10:$S$209,'Ведомость расчета мин. платы'!$AE$10:$AE$209,CONCATENATE(B1948,"/",D1948,"/",E1948,"/",F1948,"/",H1954))</f>
        <v>0</v>
      </c>
      <c r="AQ1955" s="253">
        <f t="shared" ref="AQ1955" ca="1" si="890">AP1955-N1955</f>
        <v>0</v>
      </c>
    </row>
    <row r="1956" spans="2:43" x14ac:dyDescent="0.2">
      <c r="B1956" s="249"/>
      <c r="C1956" s="249"/>
      <c r="D1956" s="249"/>
      <c r="E1956" s="249"/>
      <c r="F1956" s="249"/>
      <c r="G1956" s="249"/>
      <c r="H1956" s="205" t="s">
        <v>40</v>
      </c>
      <c r="I1956" s="248" t="str">
        <f ca="1">IFERROR(INDEX('Ведомость расчета мин. платы'!$J$10:$AE$214,MATCH(CONCATENATE(РАСЧЕТ!B1948,"/",РАСЧЕТ!D1948,"/",РАСЧЕТ!E1948,"/",F1948,"/",H1956),'Ведомость расчета мин. платы'!$AE$10:$AE$214,0),2),"")</f>
        <v/>
      </c>
      <c r="J1956" s="248" t="str">
        <f ca="1">IFERROR(INDEX('Ведомость расчета мин. платы'!$J$10:$AE$214,MATCH(CONCATENATE(РАСЧЕТ!B1948,"/",РАСЧЕТ!D1948,"/",РАСЧЕТ!E1948,"/",F1948,"/",H1956),'Ведомость расчета мин. платы'!$AE$10:$AE$214,0),3),"")</f>
        <v/>
      </c>
      <c r="K1956" s="248" t="str">
        <f ca="1">IFERROR(INDEX('Ведомость расчета мин. платы'!$J$10:$AE$214,MATCH(CONCATENATE(РАСЧЕТ!B1948,"/",РАСЧЕТ!D1948,"/",РАСЧЕТ!E1948,"/",F1948,"/",H1956),'Ведомость расчета мин. платы'!$AE$10:$AE$214,0),4),"")</f>
        <v/>
      </c>
      <c r="L1956" s="248">
        <f t="shared" ca="1" si="875"/>
        <v>0</v>
      </c>
      <c r="M1956" s="248" t="str">
        <f ca="1">IFERROR(INDEX('Ведомость расчета мин. платы'!$J$10:$AE$214,MATCH(CONCATENATE(РАСЧЕТ!B1948,"/",РАСЧЕТ!D1948,"/",РАСЧЕТ!E1948,"/",F1948,"/",H1956),'Ведомость расчета мин. платы'!$AE$10:$AE$214,0),6),"")</f>
        <v/>
      </c>
      <c r="N1956" s="214">
        <f t="shared" ca="1" si="876"/>
        <v>0</v>
      </c>
      <c r="O1956" s="229">
        <f t="shared" si="880"/>
        <v>1</v>
      </c>
      <c r="P1956" s="230">
        <f t="shared" si="874"/>
        <v>0</v>
      </c>
      <c r="AP1956" s="242"/>
      <c r="AQ1956" s="253"/>
    </row>
    <row r="1957" spans="2:43" x14ac:dyDescent="0.2">
      <c r="B1957" s="249"/>
      <c r="C1957" s="249"/>
      <c r="D1957" s="249"/>
      <c r="E1957" s="249"/>
      <c r="F1957" s="249"/>
      <c r="G1957" s="249"/>
      <c r="H1957" s="250" t="s">
        <v>475</v>
      </c>
      <c r="I1957" s="251" t="str">
        <f ca="1">IFERROR(ROUND(I1956*I1946,2),"")</f>
        <v/>
      </c>
      <c r="J1957" s="251" t="str">
        <f t="shared" ref="J1957" ca="1" si="891">IFERROR(ROUND(J1956*J1946,2),"")</f>
        <v/>
      </c>
      <c r="K1957" s="251" t="str">
        <f t="shared" ref="K1957" ca="1" si="892">IFERROR(ROUND(K1956*K1946,2),"")</f>
        <v/>
      </c>
      <c r="L1957" s="251">
        <f t="shared" ca="1" si="875"/>
        <v>0</v>
      </c>
      <c r="M1957" s="251" t="str">
        <f t="shared" ref="M1957" ca="1" si="893">IFERROR(ROUND(M1956*M1946,2),"")</f>
        <v/>
      </c>
      <c r="N1957" s="252">
        <f t="shared" ca="1" si="876"/>
        <v>0</v>
      </c>
      <c r="O1957" s="229" t="str">
        <f t="shared" si="880"/>
        <v/>
      </c>
      <c r="P1957" s="230">
        <f t="shared" si="874"/>
        <v>0</v>
      </c>
      <c r="AP1957" s="242">
        <f ca="1">SUMIFS('Ведомость расчета мин. платы'!$S$10:$S$209,'Ведомость расчета мин. платы'!$AE$10:$AE$209,CONCATENATE(B1948,"/",D1948,"/",E1948,"/",F1948,"/",H1956))</f>
        <v>0</v>
      </c>
      <c r="AQ1957" s="253">
        <f t="shared" ref="AQ1957" ca="1" si="894">AP1957-N1957</f>
        <v>0</v>
      </c>
    </row>
    <row r="1958" spans="2:43" x14ac:dyDescent="0.2">
      <c r="B1958" s="249"/>
      <c r="C1958" s="249"/>
      <c r="D1958" s="249"/>
      <c r="E1958" s="249"/>
      <c r="F1958" s="249"/>
      <c r="G1958" s="249"/>
      <c r="H1958" s="205" t="s">
        <v>18</v>
      </c>
      <c r="I1958" s="248">
        <f ca="1">IFERROR(INDEX('Ведомость расчета мин. платы'!$J$10:$AE$214,MATCH(CONCATENATE(РАСЧЕТ!B1948,"/",РАСЧЕТ!D1948,"/",РАСЧЕТ!E1948,"/",F1948,"/",H1958),'Ведомость расчета мин. платы'!$AE$10:$AE$214,0),2),"")</f>
        <v>176.44</v>
      </c>
      <c r="J1958" s="248">
        <f ca="1">IFERROR(INDEX('Ведомость расчета мин. платы'!$J$10:$AE$214,MATCH(CONCATENATE(РАСЧЕТ!B1948,"/",РАСЧЕТ!D1948,"/",РАСЧЕТ!E1948,"/",F1948,"/",H1958),'Ведомость расчета мин. платы'!$AE$10:$AE$214,0),3),"")</f>
        <v>185.18</v>
      </c>
      <c r="K1958" s="248">
        <f ca="1">IFERROR(INDEX('Ведомость расчета мин. платы'!$J$10:$AE$214,MATCH(CONCATENATE(РАСЧЕТ!B1948,"/",РАСЧЕТ!D1948,"/",РАСЧЕТ!E1948,"/",F1948,"/",H1958),'Ведомость расчета мин. платы'!$AE$10:$AE$214,0),4),"")</f>
        <v>11.16</v>
      </c>
      <c r="L1958" s="248">
        <f t="shared" ca="1" si="875"/>
        <v>372.78000000000003</v>
      </c>
      <c r="M1958" s="248">
        <f ca="1">IFERROR(INDEX('Ведомость расчета мин. платы'!$J$10:$AE$214,MATCH(CONCATENATE(РАСЧЕТ!B1948,"/",РАСЧЕТ!D1948,"/",РАСЧЕТ!E1948,"/",F1948,"/",H1958),'Ведомость расчета мин. платы'!$AE$10:$AE$214,0),6),"")</f>
        <v>193.44</v>
      </c>
      <c r="N1958" s="214">
        <f t="shared" ca="1" si="876"/>
        <v>566.22</v>
      </c>
      <c r="O1958" s="229">
        <f t="shared" si="880"/>
        <v>1</v>
      </c>
      <c r="P1958" s="230">
        <f t="shared" si="874"/>
        <v>0</v>
      </c>
      <c r="AP1958" s="242"/>
      <c r="AQ1958" s="253"/>
    </row>
    <row r="1959" spans="2:43" x14ac:dyDescent="0.2">
      <c r="B1959" s="249"/>
      <c r="C1959" s="249"/>
      <c r="D1959" s="249"/>
      <c r="E1959" s="249"/>
      <c r="F1959" s="249"/>
      <c r="G1959" s="249"/>
      <c r="H1959" s="250" t="s">
        <v>475</v>
      </c>
      <c r="I1959" s="251">
        <f ca="1">IFERROR(ROUND(I1958*I1947,2),"")</f>
        <v>4028.13</v>
      </c>
      <c r="J1959" s="251">
        <f t="shared" ref="J1959" ca="1" si="895">IFERROR(ROUND(J1958*J1947,2),"")</f>
        <v>3223.98</v>
      </c>
      <c r="K1959" s="251">
        <f t="shared" ref="K1959" ca="1" si="896">IFERROR(ROUND(K1958*K1947,2),"")</f>
        <v>98.77</v>
      </c>
      <c r="L1959" s="251">
        <f t="shared" ca="1" si="875"/>
        <v>7350.880000000001</v>
      </c>
      <c r="M1959" s="251">
        <v>110.27</v>
      </c>
      <c r="N1959" s="252">
        <f t="shared" ca="1" si="876"/>
        <v>7461.1500000000015</v>
      </c>
      <c r="O1959" s="229" t="str">
        <f t="shared" si="880"/>
        <v/>
      </c>
      <c r="P1959" s="230">
        <f t="shared" si="874"/>
        <v>0</v>
      </c>
      <c r="AP1959" s="242">
        <f ca="1">SUMIFS('Ведомость расчета мин. платы'!$S$10:$S$209,'Ведомость расчета мин. платы'!$AE$10:$AE$209,CONCATENATE(B1948,"/",D1948,"/",E1948,"/",F1948,"/",H1958))</f>
        <v>7461.15</v>
      </c>
      <c r="AQ1959" s="253">
        <f t="shared" ref="AQ1959" ca="1" si="897">AP1959-N1959</f>
        <v>0</v>
      </c>
    </row>
    <row r="1960" spans="2:43" x14ac:dyDescent="0.2">
      <c r="B1960" s="249"/>
      <c r="C1960" s="249"/>
      <c r="D1960" s="249"/>
      <c r="E1960" s="249"/>
      <c r="F1960" s="249"/>
      <c r="G1960" s="249"/>
      <c r="H1960" s="254" t="s">
        <v>476</v>
      </c>
      <c r="I1960" s="251">
        <f ca="1">SUMIF($O1948:$O1961,1,I1948:I1959)</f>
        <v>190.84</v>
      </c>
      <c r="J1960" s="251">
        <f ca="1">SUMIF($O1948:$O1961,1,J1948:J1959)</f>
        <v>246.84</v>
      </c>
      <c r="K1960" s="251">
        <f ca="1">SUMIF($O1948:$O1961,1,K1948:K1959)</f>
        <v>25.259999999999998</v>
      </c>
      <c r="L1960" s="251">
        <f t="shared" ca="1" si="875"/>
        <v>462.94</v>
      </c>
      <c r="M1960" s="251">
        <f ca="1">SUMIF($O1948:$O1961,1,M1948:M1959)</f>
        <v>248.6</v>
      </c>
      <c r="N1960" s="252">
        <f t="shared" ca="1" si="876"/>
        <v>711.54</v>
      </c>
      <c r="AP1960" s="242"/>
      <c r="AQ1960" s="253"/>
    </row>
    <row r="1961" spans="2:43" x14ac:dyDescent="0.2">
      <c r="B1961" s="249"/>
      <c r="C1961" s="249"/>
      <c r="D1961" s="249"/>
      <c r="E1961" s="249"/>
      <c r="F1961" s="249"/>
      <c r="G1961" s="249"/>
      <c r="H1961" s="254" t="s">
        <v>491</v>
      </c>
      <c r="I1961" s="251">
        <f ca="1">SUMIF(H1948:H1959,"стоимость",I1948:I1959)</f>
        <v>5758.29</v>
      </c>
      <c r="J1961" s="251">
        <f ca="1">SUMIF(H1948:H1959,"стоимость",J1948:J1959)</f>
        <v>8503.31</v>
      </c>
      <c r="K1961" s="251">
        <f ca="1">SUMIF(H1948:H1959,"стоимость",K1948:K1959)</f>
        <v>710.43</v>
      </c>
      <c r="L1961" s="251">
        <f ca="1">IFERROR(SUM(I1961:K1961),"")</f>
        <v>14972.029999999999</v>
      </c>
      <c r="M1961" s="251">
        <f ca="1">SUMIF(H1948:H1959,"стоимость",M1948:M1959)</f>
        <v>488.12</v>
      </c>
      <c r="N1961" s="252">
        <f ca="1">IFERROR(SUM(L1961:M1961),"")</f>
        <v>15460.15</v>
      </c>
      <c r="AP1961" s="242">
        <f ca="1">SUMIFS('Ведомость расчета мин. платы'!$S$10:$S$209,'Ведомость расчета мин. платы'!$J$10:$J$209,"Итого",'Ведомость расчета мин. платы'!$AC$10:$AC$209,CONCATENATE(B1948,"/",D1948,"/",E1948,"/",F1948))</f>
        <v>15460.15</v>
      </c>
      <c r="AQ1961" s="253">
        <f ca="1">AP1961-N1961</f>
        <v>0</v>
      </c>
    </row>
    <row r="1962" spans="2:43" x14ac:dyDescent="0.2">
      <c r="B1962" s="255"/>
      <c r="C1962" s="255"/>
      <c r="D1962" s="255"/>
      <c r="E1962" s="255"/>
      <c r="F1962" s="255"/>
      <c r="G1962" s="256"/>
      <c r="H1962" s="257"/>
      <c r="I1962" s="258"/>
      <c r="J1962" s="258"/>
      <c r="K1962" s="258"/>
      <c r="L1962" s="258"/>
      <c r="M1962" s="258"/>
      <c r="N1962" s="258"/>
      <c r="P1962" s="230">
        <f t="shared" ref="P1962:P1980" si="898">IF(A1962&gt;0,1,0)</f>
        <v>0</v>
      </c>
    </row>
    <row r="1963" spans="2:43" x14ac:dyDescent="0.2">
      <c r="B1963" s="282" t="s">
        <v>477</v>
      </c>
      <c r="C1963" s="282"/>
      <c r="D1963" s="282"/>
      <c r="E1963" s="282"/>
      <c r="F1963" s="259"/>
      <c r="G1963" s="225"/>
      <c r="H1963" s="201"/>
      <c r="I1963" s="226"/>
      <c r="J1963" s="258"/>
      <c r="K1963" s="258"/>
      <c r="L1963" s="258"/>
      <c r="M1963" s="258"/>
      <c r="N1963" s="258"/>
      <c r="P1963" s="230">
        <f t="shared" si="898"/>
        <v>0</v>
      </c>
    </row>
    <row r="1964" spans="2:43" x14ac:dyDescent="0.2">
      <c r="B1964" s="283" t="s">
        <v>525</v>
      </c>
      <c r="C1964" s="283"/>
      <c r="D1964" s="283"/>
      <c r="E1964" s="283"/>
      <c r="F1964" s="283"/>
      <c r="G1964" s="283"/>
      <c r="H1964" s="283"/>
      <c r="I1964" s="283"/>
      <c r="J1964" s="261"/>
      <c r="K1964" s="261"/>
      <c r="L1964" s="261"/>
      <c r="M1964" s="261"/>
      <c r="N1964" s="261"/>
      <c r="P1964" s="230">
        <f t="shared" si="898"/>
        <v>0</v>
      </c>
    </row>
    <row r="1965" spans="2:43" x14ac:dyDescent="0.2">
      <c r="B1965" s="284" t="s">
        <v>478</v>
      </c>
      <c r="C1965" s="284"/>
      <c r="D1965" s="284"/>
      <c r="E1965" s="284"/>
      <c r="F1965" s="284"/>
      <c r="G1965" s="284"/>
      <c r="H1965" s="284"/>
      <c r="I1965" s="284"/>
      <c r="J1965" s="258"/>
      <c r="K1965" s="258"/>
      <c r="L1965" s="258"/>
      <c r="M1965" s="258"/>
      <c r="N1965" s="258"/>
      <c r="P1965" s="230">
        <f t="shared" si="898"/>
        <v>0</v>
      </c>
    </row>
    <row r="1966" spans="2:43" x14ac:dyDescent="0.2">
      <c r="B1966" s="284" t="s">
        <v>479</v>
      </c>
      <c r="C1966" s="284"/>
      <c r="D1966" s="284"/>
      <c r="E1966" s="284"/>
      <c r="F1966" s="284"/>
      <c r="G1966" s="284"/>
      <c r="H1966" s="284"/>
      <c r="I1966" s="284"/>
      <c r="J1966" s="258"/>
      <c r="K1966" s="258"/>
      <c r="L1966" s="258"/>
      <c r="M1966" s="258"/>
      <c r="N1966" s="258"/>
      <c r="P1966" s="230">
        <f t="shared" si="898"/>
        <v>0</v>
      </c>
    </row>
    <row r="1967" spans="2:43" x14ac:dyDescent="0.2">
      <c r="B1967" s="284" t="s">
        <v>480</v>
      </c>
      <c r="C1967" s="284"/>
      <c r="D1967" s="284"/>
      <c r="E1967" s="284"/>
      <c r="F1967" s="284"/>
      <c r="G1967" s="284"/>
      <c r="H1967" s="284"/>
      <c r="I1967" s="284"/>
      <c r="J1967" s="258"/>
      <c r="K1967" s="258"/>
      <c r="L1967" s="258"/>
      <c r="M1967" s="258"/>
      <c r="N1967" s="258"/>
      <c r="P1967" s="230">
        <f t="shared" si="898"/>
        <v>0</v>
      </c>
    </row>
    <row r="1968" spans="2:43" x14ac:dyDescent="0.2">
      <c r="B1968" s="284" t="s">
        <v>481</v>
      </c>
      <c r="C1968" s="284"/>
      <c r="D1968" s="284"/>
      <c r="E1968" s="284"/>
      <c r="F1968" s="284"/>
      <c r="G1968" s="284"/>
      <c r="H1968" s="284"/>
      <c r="I1968" s="284"/>
      <c r="J1968" s="226"/>
      <c r="K1968" s="226"/>
      <c r="L1968" s="226"/>
      <c r="M1968" s="226"/>
      <c r="N1968" s="226"/>
      <c r="P1968" s="230">
        <f t="shared" si="898"/>
        <v>0</v>
      </c>
    </row>
    <row r="1969" spans="1:16" x14ac:dyDescent="0.2">
      <c r="B1969" s="284" t="s">
        <v>482</v>
      </c>
      <c r="C1969" s="284"/>
      <c r="D1969" s="284"/>
      <c r="E1969" s="284"/>
      <c r="F1969" s="284"/>
      <c r="G1969" s="284"/>
      <c r="H1969" s="284"/>
      <c r="I1969" s="284"/>
      <c r="J1969" s="226"/>
      <c r="K1969" s="226"/>
      <c r="L1969" s="226"/>
      <c r="M1969" s="226"/>
      <c r="N1969" s="226"/>
      <c r="P1969" s="230">
        <f t="shared" si="898"/>
        <v>0</v>
      </c>
    </row>
    <row r="1970" spans="1:16" x14ac:dyDescent="0.2">
      <c r="B1970" s="284" t="s">
        <v>483</v>
      </c>
      <c r="C1970" s="284"/>
      <c r="D1970" s="284"/>
      <c r="E1970" s="284"/>
      <c r="F1970" s="284"/>
      <c r="G1970" s="284"/>
      <c r="H1970" s="284"/>
      <c r="I1970" s="284"/>
      <c r="J1970" s="226"/>
      <c r="K1970" s="226"/>
      <c r="L1970" s="226"/>
      <c r="M1970" s="226"/>
      <c r="N1970" s="226"/>
      <c r="P1970" s="230">
        <f t="shared" si="898"/>
        <v>0</v>
      </c>
    </row>
    <row r="1971" spans="1:16" x14ac:dyDescent="0.2">
      <c r="B1971" s="284" t="s">
        <v>484</v>
      </c>
      <c r="C1971" s="284"/>
      <c r="D1971" s="284"/>
      <c r="E1971" s="284"/>
      <c r="F1971" s="284"/>
      <c r="G1971" s="284"/>
      <c r="H1971" s="284"/>
      <c r="I1971" s="284"/>
      <c r="J1971" s="226"/>
      <c r="K1971" s="226"/>
      <c r="L1971" s="226"/>
      <c r="M1971" s="226"/>
      <c r="N1971" s="226"/>
      <c r="P1971" s="230">
        <f t="shared" si="898"/>
        <v>0</v>
      </c>
    </row>
    <row r="1972" spans="1:16" x14ac:dyDescent="0.2">
      <c r="B1972" s="264"/>
      <c r="C1972" s="264"/>
      <c r="D1972" s="264"/>
      <c r="E1972" s="264"/>
      <c r="F1972" s="264"/>
      <c r="G1972" s="264"/>
      <c r="H1972" s="264"/>
      <c r="I1972" s="265"/>
      <c r="J1972" s="226"/>
      <c r="K1972" s="226"/>
      <c r="L1972" s="226"/>
      <c r="M1972" s="226"/>
      <c r="N1972" s="226"/>
      <c r="P1972" s="230">
        <f t="shared" si="898"/>
        <v>0</v>
      </c>
    </row>
    <row r="1973" spans="1:16" x14ac:dyDescent="0.2">
      <c r="B1973" s="225" t="s">
        <v>485</v>
      </c>
      <c r="C1973" s="225"/>
      <c r="D1973" s="225"/>
      <c r="E1973" s="225"/>
      <c r="F1973" s="225"/>
      <c r="G1973" s="225"/>
      <c r="H1973" s="201"/>
      <c r="I1973" s="226"/>
      <c r="J1973" s="226" t="s">
        <v>486</v>
      </c>
      <c r="K1973" s="226"/>
      <c r="L1973" s="226"/>
      <c r="M1973" s="226"/>
      <c r="N1973" s="226"/>
      <c r="P1973" s="230">
        <f t="shared" si="898"/>
        <v>0</v>
      </c>
    </row>
    <row r="1974" spans="1:16" x14ac:dyDescent="0.2">
      <c r="B1974" s="266" t="s">
        <v>524</v>
      </c>
      <c r="C1974" s="266"/>
      <c r="D1974" s="225"/>
      <c r="E1974" s="225"/>
      <c r="F1974" s="225"/>
      <c r="G1974" s="225"/>
      <c r="H1974" s="201"/>
      <c r="I1974" s="226"/>
      <c r="J1974" s="267"/>
      <c r="K1974" s="267"/>
      <c r="L1974" s="267"/>
      <c r="M1974" s="226"/>
      <c r="N1974" s="226"/>
      <c r="P1974" s="230">
        <f t="shared" si="898"/>
        <v>0</v>
      </c>
    </row>
    <row r="1975" spans="1:16" x14ac:dyDescent="0.2">
      <c r="B1975" s="268" t="s">
        <v>487</v>
      </c>
      <c r="C1975" s="225"/>
      <c r="D1975" s="225"/>
      <c r="E1975" s="225"/>
      <c r="F1975" s="225"/>
      <c r="G1975" s="225"/>
      <c r="H1975" s="201"/>
      <c r="I1975" s="226"/>
      <c r="J1975" s="226" t="s">
        <v>487</v>
      </c>
      <c r="K1975" s="226"/>
      <c r="L1975" s="226"/>
      <c r="M1975" s="226"/>
      <c r="N1975" s="226"/>
      <c r="P1975" s="230">
        <f t="shared" si="898"/>
        <v>0</v>
      </c>
    </row>
    <row r="1976" spans="1:16" x14ac:dyDescent="0.2">
      <c r="B1976" s="225"/>
      <c r="C1976" s="225"/>
      <c r="D1976" s="225"/>
      <c r="E1976" s="225"/>
      <c r="F1976" s="225"/>
      <c r="G1976" s="225"/>
      <c r="H1976" s="201"/>
      <c r="I1976" s="226"/>
      <c r="J1976" s="226"/>
      <c r="K1976" s="226"/>
      <c r="L1976" s="226"/>
      <c r="M1976" s="226"/>
      <c r="N1976" s="226"/>
      <c r="P1976" s="230">
        <f t="shared" si="898"/>
        <v>0</v>
      </c>
    </row>
    <row r="1977" spans="1:16" x14ac:dyDescent="0.2">
      <c r="B1977" s="266"/>
      <c r="C1977" s="266"/>
      <c r="D1977" s="225"/>
      <c r="E1977" s="225"/>
      <c r="F1977" s="225"/>
      <c r="G1977" s="225"/>
      <c r="H1977" s="201"/>
      <c r="I1977" s="226"/>
      <c r="J1977" s="267"/>
      <c r="K1977" s="267"/>
      <c r="L1977" s="267"/>
      <c r="M1977" s="226"/>
      <c r="N1977" s="226"/>
      <c r="P1977" s="230">
        <f t="shared" si="898"/>
        <v>0</v>
      </c>
    </row>
    <row r="1978" spans="1:16" x14ac:dyDescent="0.2">
      <c r="B1978" s="269" t="s">
        <v>488</v>
      </c>
      <c r="C1978" s="225"/>
      <c r="D1978" s="225"/>
      <c r="E1978" s="225"/>
      <c r="F1978" s="225"/>
      <c r="G1978" s="225"/>
      <c r="H1978" s="201"/>
      <c r="I1978" s="226"/>
      <c r="J1978" s="285" t="s">
        <v>488</v>
      </c>
      <c r="K1978" s="285"/>
      <c r="L1978" s="285"/>
      <c r="M1978" s="226"/>
      <c r="N1978" s="226"/>
      <c r="P1978" s="230">
        <f t="shared" si="898"/>
        <v>0</v>
      </c>
    </row>
    <row r="1979" spans="1:16" x14ac:dyDescent="0.2">
      <c r="B1979" s="225"/>
      <c r="C1979" s="225"/>
      <c r="D1979" s="225"/>
      <c r="E1979" s="225"/>
      <c r="F1979" s="225"/>
      <c r="G1979" s="225"/>
      <c r="H1979" s="201"/>
      <c r="I1979" s="226"/>
      <c r="J1979" s="226"/>
      <c r="K1979" s="226"/>
      <c r="L1979" s="226"/>
      <c r="M1979" s="226"/>
      <c r="N1979" s="226"/>
      <c r="P1979" s="230">
        <f t="shared" si="898"/>
        <v>0</v>
      </c>
    </row>
    <row r="1980" spans="1:16" x14ac:dyDescent="0.2">
      <c r="B1980" s="264" t="s">
        <v>489</v>
      </c>
      <c r="C1980" s="225"/>
      <c r="D1980" s="225"/>
      <c r="E1980" s="225"/>
      <c r="F1980" s="225"/>
      <c r="G1980" s="225"/>
      <c r="H1980" s="201"/>
      <c r="I1980" s="226"/>
      <c r="J1980" s="226" t="s">
        <v>489</v>
      </c>
      <c r="K1980" s="226"/>
      <c r="L1980" s="226"/>
      <c r="M1980" s="226"/>
      <c r="N1980" s="226"/>
      <c r="P1980" s="230">
        <f t="shared" si="898"/>
        <v>0</v>
      </c>
    </row>
    <row r="1981" spans="1:16" x14ac:dyDescent="0.2">
      <c r="A1981" s="272"/>
      <c r="B1981" s="225"/>
      <c r="C1981" s="225"/>
      <c r="D1981" s="225"/>
      <c r="E1981" s="225"/>
      <c r="F1981" s="225"/>
      <c r="G1981" s="225"/>
      <c r="H1981" s="201"/>
      <c r="I1981" s="226"/>
      <c r="J1981" s="226"/>
      <c r="K1981" s="226"/>
      <c r="M1981" s="226"/>
      <c r="N1981" s="228"/>
    </row>
    <row r="1982" spans="1:16" x14ac:dyDescent="0.2">
      <c r="A1982" s="260"/>
      <c r="B1982" s="225"/>
      <c r="C1982" s="225"/>
      <c r="D1982" s="225"/>
      <c r="E1982" s="225"/>
      <c r="F1982" s="225"/>
      <c r="G1982" s="225"/>
      <c r="H1982" s="201"/>
      <c r="I1982" s="226"/>
      <c r="J1982" s="226"/>
      <c r="K1982" s="226"/>
      <c r="M1982" s="226"/>
      <c r="N1982" s="228" t="s">
        <v>455</v>
      </c>
      <c r="P1982" s="230">
        <f t="shared" ref="P1982:P1999" si="899">IF(A1982&gt;0,1,0)</f>
        <v>0</v>
      </c>
    </row>
    <row r="1983" spans="1:16" x14ac:dyDescent="0.2">
      <c r="B1983" s="225"/>
      <c r="C1983" s="225"/>
      <c r="D1983" s="225"/>
      <c r="E1983" s="225"/>
      <c r="F1983" s="225"/>
      <c r="G1983" s="225"/>
      <c r="H1983" s="201"/>
      <c r="I1983" s="226"/>
      <c r="J1983" s="226"/>
      <c r="K1983" s="226"/>
      <c r="M1983" s="226"/>
      <c r="N1983" s="228" t="s">
        <v>456</v>
      </c>
      <c r="P1983" s="230">
        <f t="shared" si="899"/>
        <v>0</v>
      </c>
    </row>
    <row r="1984" spans="1:16" x14ac:dyDescent="0.2">
      <c r="B1984" s="225"/>
      <c r="C1984" s="225"/>
      <c r="D1984" s="225"/>
      <c r="E1984" s="225"/>
      <c r="F1984" s="225"/>
      <c r="G1984" s="225"/>
      <c r="H1984" s="201"/>
      <c r="I1984" s="226"/>
      <c r="J1984" s="226"/>
      <c r="K1984" s="226"/>
      <c r="M1984" s="226"/>
      <c r="N1984" s="228" t="s">
        <v>457</v>
      </c>
      <c r="P1984" s="230">
        <f t="shared" si="899"/>
        <v>0</v>
      </c>
    </row>
    <row r="1985" spans="1:18" x14ac:dyDescent="0.2">
      <c r="B1985" s="225"/>
      <c r="C1985" s="225"/>
      <c r="D1985" s="225"/>
      <c r="E1985" s="225"/>
      <c r="F1985" s="225"/>
      <c r="G1985" s="225"/>
      <c r="H1985" s="201"/>
      <c r="I1985" s="226"/>
      <c r="J1985" s="226"/>
      <c r="K1985" s="226"/>
      <c r="L1985" s="226"/>
      <c r="M1985" s="226"/>
      <c r="N1985" s="226"/>
      <c r="P1985" s="230">
        <f t="shared" si="899"/>
        <v>0</v>
      </c>
    </row>
    <row r="1986" spans="1:18" x14ac:dyDescent="0.2">
      <c r="B1986" s="225"/>
      <c r="C1986" s="286" t="s">
        <v>458</v>
      </c>
      <c r="D1986" s="286"/>
      <c r="E1986" s="286"/>
      <c r="F1986" s="286"/>
      <c r="G1986" s="286"/>
      <c r="H1986" s="286"/>
      <c r="I1986" s="286"/>
      <c r="J1986" s="286"/>
      <c r="K1986" s="286"/>
      <c r="L1986" s="286"/>
      <c r="M1986" s="226"/>
      <c r="N1986" s="226"/>
      <c r="P1986" s="230">
        <f t="shared" si="899"/>
        <v>0</v>
      </c>
    </row>
    <row r="1987" spans="1:18" x14ac:dyDescent="0.2">
      <c r="B1987" s="225"/>
      <c r="C1987" s="286" t="s">
        <v>459</v>
      </c>
      <c r="D1987" s="286"/>
      <c r="E1987" s="286"/>
      <c r="F1987" s="286"/>
      <c r="G1987" s="286"/>
      <c r="H1987" s="286"/>
      <c r="I1987" s="286"/>
      <c r="J1987" s="286"/>
      <c r="K1987" s="286"/>
      <c r="L1987" s="286"/>
      <c r="M1987" s="226"/>
      <c r="N1987" s="226"/>
      <c r="P1987" s="230">
        <f t="shared" si="899"/>
        <v>0</v>
      </c>
    </row>
    <row r="1988" spans="1:18" x14ac:dyDescent="0.2">
      <c r="B1988" s="225" t="s">
        <v>460</v>
      </c>
      <c r="C1988" s="234"/>
      <c r="D1988" s="234"/>
      <c r="E1988" s="234"/>
      <c r="F1988" s="234"/>
      <c r="G1988" s="234"/>
      <c r="H1988" s="234"/>
      <c r="I1988" s="235"/>
      <c r="J1988" s="235"/>
      <c r="K1988" s="235"/>
      <c r="L1988" s="287" t="s">
        <v>461</v>
      </c>
      <c r="M1988" s="287"/>
      <c r="N1988" s="287"/>
      <c r="P1988" s="230">
        <f t="shared" si="899"/>
        <v>0</v>
      </c>
    </row>
    <row r="1989" spans="1:18" x14ac:dyDescent="0.2">
      <c r="B1989" s="225"/>
      <c r="C1989" s="234"/>
      <c r="D1989" s="234"/>
      <c r="E1989" s="234"/>
      <c r="F1989" s="234"/>
      <c r="G1989" s="234"/>
      <c r="H1989" s="234"/>
      <c r="I1989" s="235"/>
      <c r="J1989" s="235"/>
      <c r="K1989" s="235"/>
      <c r="L1989" s="235"/>
      <c r="M1989" s="235"/>
      <c r="N1989" s="235"/>
      <c r="P1989" s="230">
        <f t="shared" si="899"/>
        <v>0</v>
      </c>
    </row>
    <row r="1990" spans="1:18" x14ac:dyDescent="0.2">
      <c r="B1990" s="225" t="s">
        <v>2038</v>
      </c>
      <c r="C1990" s="234"/>
      <c r="D1990" s="234"/>
      <c r="E1990" s="234"/>
      <c r="F1990" s="234"/>
      <c r="G1990" s="234"/>
      <c r="H1990" s="234"/>
      <c r="I1990" s="235"/>
      <c r="J1990" s="235"/>
      <c r="K1990" s="235"/>
      <c r="L1990" s="235"/>
      <c r="M1990" s="235"/>
      <c r="N1990" s="235"/>
      <c r="P1990" s="230">
        <f t="shared" si="899"/>
        <v>0</v>
      </c>
    </row>
    <row r="1991" spans="1:18" x14ac:dyDescent="0.2">
      <c r="B1991" s="225" t="s">
        <v>462</v>
      </c>
      <c r="C1991" s="234"/>
      <c r="D1991" s="234"/>
      <c r="E1991" s="234"/>
      <c r="F1991" s="234"/>
      <c r="G1991" s="234"/>
      <c r="H1991" s="234"/>
      <c r="I1991" s="235"/>
      <c r="J1991" s="235"/>
      <c r="K1991" s="235"/>
      <c r="L1991" s="235"/>
      <c r="M1991" s="235"/>
      <c r="N1991" s="235"/>
      <c r="P1991" s="230">
        <f t="shared" si="899"/>
        <v>0</v>
      </c>
    </row>
    <row r="1992" spans="1:18" x14ac:dyDescent="0.2">
      <c r="B1992" s="225" t="s">
        <v>2037</v>
      </c>
      <c r="C1992" s="234"/>
      <c r="D1992" s="234"/>
      <c r="E1992" s="234"/>
      <c r="F1992" s="234"/>
      <c r="G1992" s="234"/>
      <c r="H1992" s="234"/>
      <c r="I1992" s="235"/>
      <c r="J1992" s="235"/>
      <c r="K1992" s="235"/>
      <c r="L1992" s="235"/>
      <c r="M1992" s="235"/>
      <c r="N1992" s="235"/>
      <c r="P1992" s="230">
        <f t="shared" si="899"/>
        <v>0</v>
      </c>
    </row>
    <row r="1993" spans="1:18" x14ac:dyDescent="0.2">
      <c r="B1993" s="225" t="s">
        <v>2052</v>
      </c>
      <c r="C1993" s="234"/>
      <c r="D1993" s="234"/>
      <c r="E1993" s="234"/>
      <c r="F1993" s="234"/>
      <c r="G1993" s="234"/>
      <c r="H1993" s="234"/>
      <c r="I1993" s="235"/>
      <c r="J1993" s="235"/>
      <c r="K1993" s="235"/>
      <c r="L1993" s="235"/>
      <c r="M1993" s="235"/>
      <c r="N1993" s="235"/>
      <c r="P1993" s="230">
        <f t="shared" si="899"/>
        <v>0</v>
      </c>
    </row>
    <row r="1994" spans="1:18" x14ac:dyDescent="0.2">
      <c r="B1994" s="225"/>
      <c r="C1994" s="225"/>
      <c r="D1994" s="225"/>
      <c r="E1994" s="225"/>
      <c r="F1994" s="225"/>
      <c r="G1994" s="225"/>
      <c r="H1994" s="201"/>
      <c r="I1994" s="226"/>
      <c r="J1994" s="226"/>
      <c r="K1994" s="226"/>
      <c r="L1994" s="226"/>
      <c r="M1994" s="226"/>
      <c r="N1994" s="226"/>
      <c r="P1994" s="230">
        <f t="shared" si="899"/>
        <v>0</v>
      </c>
    </row>
    <row r="1995" spans="1:18" x14ac:dyDescent="0.2">
      <c r="B1995" s="288" t="s">
        <v>106</v>
      </c>
      <c r="C1995" s="290" t="s">
        <v>463</v>
      </c>
      <c r="D1995" s="288" t="s">
        <v>464</v>
      </c>
      <c r="E1995" s="288" t="s">
        <v>465</v>
      </c>
      <c r="F1995" s="288" t="s">
        <v>490</v>
      </c>
      <c r="G1995" s="288" t="s">
        <v>466</v>
      </c>
      <c r="H1995" s="292" t="s">
        <v>8</v>
      </c>
      <c r="I1995" s="294" t="s">
        <v>467</v>
      </c>
      <c r="J1995" s="295"/>
      <c r="K1995" s="295"/>
      <c r="L1995" s="296"/>
      <c r="M1995" s="297" t="s">
        <v>468</v>
      </c>
      <c r="N1995" s="299" t="s">
        <v>469</v>
      </c>
      <c r="P1995" s="230">
        <f t="shared" si="899"/>
        <v>0</v>
      </c>
    </row>
    <row r="1996" spans="1:18" x14ac:dyDescent="0.2">
      <c r="B1996" s="289"/>
      <c r="C1996" s="291"/>
      <c r="D1996" s="289"/>
      <c r="E1996" s="289"/>
      <c r="F1996" s="289"/>
      <c r="G1996" s="289"/>
      <c r="H1996" s="293"/>
      <c r="I1996" s="236" t="s">
        <v>470</v>
      </c>
      <c r="J1996" s="236" t="s">
        <v>471</v>
      </c>
      <c r="K1996" s="236" t="s">
        <v>472</v>
      </c>
      <c r="L1996" s="236" t="s">
        <v>473</v>
      </c>
      <c r="M1996" s="298"/>
      <c r="N1996" s="300"/>
      <c r="P1996" s="230">
        <f t="shared" si="899"/>
        <v>0</v>
      </c>
    </row>
    <row r="1997" spans="1:18" x14ac:dyDescent="0.2">
      <c r="A1997" s="224" t="str">
        <f>CONCATENATE("Лот"," ",A1998)</f>
        <v>Лот 37</v>
      </c>
      <c r="B1997" s="273" t="s">
        <v>2087</v>
      </c>
      <c r="C1997" s="274"/>
      <c r="D1997" s="274"/>
      <c r="E1997" s="274"/>
      <c r="F1997" s="274"/>
      <c r="G1997" s="275"/>
      <c r="H1997" s="238" t="s">
        <v>17</v>
      </c>
      <c r="I1997" s="270">
        <f ca="1">ROUND(VLOOKUP($H1997,$AJ$4:$AN$13,2,0)*$Q1999*1.51,2)</f>
        <v>120.15</v>
      </c>
      <c r="J1997" s="270">
        <f ca="1">ROUND(VLOOKUP($H1997,$AJ$4:$AN$13,3,0)*$Q1999*1.51,2)</f>
        <v>85.62</v>
      </c>
      <c r="K1997" s="270">
        <f ca="1">ROUND(VLOOKUP($H1997,$AJ$4:$AN$13,4,0)*$Q1999*1.51,2)</f>
        <v>43.38</v>
      </c>
      <c r="L1997" s="270"/>
      <c r="M1997" s="270">
        <f ca="1">ROUND(VLOOKUP($H1997,$AJ$4:$AN$13,5,0)*$Q1999*1.51,2)</f>
        <v>6.85</v>
      </c>
      <c r="N1997" s="270"/>
      <c r="P1997" s="230">
        <f t="shared" si="899"/>
        <v>1</v>
      </c>
    </row>
    <row r="1998" spans="1:18" x14ac:dyDescent="0.2">
      <c r="A1998" s="224">
        <f>A1943+1</f>
        <v>37</v>
      </c>
      <c r="B1998" s="276"/>
      <c r="C1998" s="277"/>
      <c r="D1998" s="277"/>
      <c r="E1998" s="277"/>
      <c r="F1998" s="277"/>
      <c r="G1998" s="278"/>
      <c r="H1998" s="238" t="s">
        <v>25</v>
      </c>
      <c r="I1998" s="270">
        <f ca="1">ROUND(VLOOKUP($H1998,$AJ$4:$AN$13,2,0)*$Q1999*1.51,2)</f>
        <v>898.69</v>
      </c>
      <c r="J1998" s="270">
        <f ca="1">ROUND(VLOOKUP($H1998,$AJ$4:$AN$13,3,0)*$Q1999*1.51,2)</f>
        <v>642.13</v>
      </c>
      <c r="K1998" s="270">
        <f ca="1">ROUND(VLOOKUP($H1998,$AJ$4:$AN$13,4,0)*$Q1999*1.51,2)</f>
        <v>323.06</v>
      </c>
      <c r="L1998" s="270"/>
      <c r="M1998" s="270">
        <f ca="1">ROUND(VLOOKUP($H1998,$AJ$4:$AN$13,5,0)*$Q1999*1.51,2)</f>
        <v>27.97</v>
      </c>
      <c r="N1998" s="270"/>
      <c r="P1998" s="230">
        <f t="shared" si="899"/>
        <v>1</v>
      </c>
      <c r="Q1998" s="240" t="s">
        <v>2045</v>
      </c>
      <c r="R1998" s="240" t="s">
        <v>2046</v>
      </c>
    </row>
    <row r="1999" spans="1:18" x14ac:dyDescent="0.2">
      <c r="B1999" s="276"/>
      <c r="C1999" s="277"/>
      <c r="D1999" s="277"/>
      <c r="E1999" s="277"/>
      <c r="F1999" s="277"/>
      <c r="G1999" s="278"/>
      <c r="H1999" s="238" t="s">
        <v>19</v>
      </c>
      <c r="I1999" s="270">
        <f ca="1">ROUND(VLOOKUP($H1999,$AJ$4:$AN$13,2,0)*$Q1999*1.51,2)</f>
        <v>71.349999999999994</v>
      </c>
      <c r="J1999" s="270">
        <f ca="1">ROUND(VLOOKUP($H1999,$AJ$4:$AN$13,3,0)*$Q1999*1.51,2)</f>
        <v>51.94</v>
      </c>
      <c r="K1999" s="270">
        <f ca="1">ROUND(VLOOKUP($H1999,$AJ$4:$AN$13,4,0)*$Q1999*1.51,2)</f>
        <v>26.54</v>
      </c>
      <c r="L1999" s="270"/>
      <c r="M1999" s="270">
        <f ca="1">ROUND(VLOOKUP($H1999,$AJ$4:$AN$13,5,0)*$Q1999*1.51,2)</f>
        <v>1.43</v>
      </c>
      <c r="N1999" s="270"/>
      <c r="P1999" s="230">
        <f t="shared" si="899"/>
        <v>0</v>
      </c>
      <c r="Q1999" s="123">
        <f ca="1">IFERROR(IF(R1999="","",IF(OR(R1999&lt;100,R1999=100),0.9,IF(OR(AND(R1999&gt;100,R1999&lt;150),R1999=150),1,IF(R1999&gt;150,1.05,"")))),"0")</f>
        <v>1.05</v>
      </c>
      <c r="R1999" s="123">
        <f ca="1">N2015/G2003</f>
        <v>239.10149253731342</v>
      </c>
    </row>
    <row r="2000" spans="1:18" x14ac:dyDescent="0.2">
      <c r="B2000" s="276"/>
      <c r="C2000" s="277"/>
      <c r="D2000" s="277"/>
      <c r="E2000" s="277"/>
      <c r="F2000" s="277"/>
      <c r="G2000" s="278"/>
      <c r="H2000" s="238" t="s">
        <v>268</v>
      </c>
      <c r="I2000" s="270">
        <f ca="1">ROUND(VLOOKUP($H2000,$AJ$4:$AN$13,2,0)*$Q1999*1.51,2)</f>
        <v>898.69</v>
      </c>
      <c r="J2000" s="270">
        <f ca="1">ROUND(VLOOKUP($H2000,$AJ$4:$AN$13,3,0)*$Q1999*1.51,2)</f>
        <v>642.13</v>
      </c>
      <c r="K2000" s="270">
        <f ca="1">ROUND(VLOOKUP($H2000,$AJ$4:$AN$13,4,0)*$Q1999*1.51,2)</f>
        <v>323.06</v>
      </c>
      <c r="L2000" s="270"/>
      <c r="M2000" s="270">
        <f ca="1">ROUND(VLOOKUP($H2000,$AJ$4:$AN$13,5,0)*$Q1999*1.51,2)</f>
        <v>27.97</v>
      </c>
      <c r="N2000" s="270"/>
    </row>
    <row r="2001" spans="1:43" x14ac:dyDescent="0.2">
      <c r="B2001" s="276"/>
      <c r="C2001" s="277"/>
      <c r="D2001" s="277"/>
      <c r="E2001" s="277"/>
      <c r="F2001" s="277"/>
      <c r="G2001" s="278"/>
      <c r="H2001" s="238" t="s">
        <v>40</v>
      </c>
      <c r="I2001" s="270">
        <f ca="1">ROUND(VLOOKUP($H2001,$AJ$4:$AN$13,2,0)*$Q1999*1.51,2)</f>
        <v>71.349999999999994</v>
      </c>
      <c r="J2001" s="270">
        <f ca="1">ROUND(VLOOKUP($H2001,$AJ$4:$AN$13,3,0)*$Q1999*1.51,2)</f>
        <v>51.94</v>
      </c>
      <c r="K2001" s="270">
        <f ca="1">ROUND(VLOOKUP($H2001,$AJ$4:$AN$13,4,0)*$Q1999*1.51,2)</f>
        <v>26.54</v>
      </c>
      <c r="L2001" s="270"/>
      <c r="M2001" s="270">
        <f ca="1">ROUND(VLOOKUP($H2001,$AJ$4:$AN$13,5,0)*$Q1999*1.51,2)</f>
        <v>1.43</v>
      </c>
      <c r="N2001" s="270"/>
      <c r="P2001" s="230">
        <f t="shared" ref="P2001:P2014" si="900">IF(A2001&gt;0,1,0)</f>
        <v>0</v>
      </c>
    </row>
    <row r="2002" spans="1:43" x14ac:dyDescent="0.2">
      <c r="B2002" s="279"/>
      <c r="C2002" s="280"/>
      <c r="D2002" s="280"/>
      <c r="E2002" s="280"/>
      <c r="F2002" s="280"/>
      <c r="G2002" s="281"/>
      <c r="H2002" s="238" t="s">
        <v>18</v>
      </c>
      <c r="I2002" s="270">
        <f ca="1">ROUND(VLOOKUP($H2002,$AJ$4:$AN$13,2,0)*$Q1999*1.51,2)</f>
        <v>22.83</v>
      </c>
      <c r="J2002" s="270">
        <f ca="1">ROUND(VLOOKUP($H2002,$AJ$4:$AN$13,3,0)*$Q1999*1.51,2)</f>
        <v>17.41</v>
      </c>
      <c r="K2002" s="270">
        <f ca="1">ROUND(VLOOKUP($H2002,$AJ$4:$AN$13,4,0)*$Q1999*1.51,2)</f>
        <v>8.85</v>
      </c>
      <c r="L2002" s="270"/>
      <c r="M2002" s="270">
        <f ca="1">ROUND(VLOOKUP($H2002,$AJ$4:$AN$13,5,0)*$Q1999*1.51*1,2)</f>
        <v>0.56999999999999995</v>
      </c>
      <c r="N2002" s="270"/>
      <c r="P2002" s="230">
        <f t="shared" si="900"/>
        <v>0</v>
      </c>
      <c r="AP2002" s="241" t="s">
        <v>2053</v>
      </c>
      <c r="AQ2002" s="242"/>
    </row>
    <row r="2003" spans="1:43" x14ac:dyDescent="0.2">
      <c r="A2003" s="224">
        <f>A1948+37</f>
        <v>1332</v>
      </c>
      <c r="B2003" s="243" t="str">
        <f ca="1">OFFSET(ЛОТЫ!$L$5,A2003,0,1,1)</f>
        <v>Тимерликовское</v>
      </c>
      <c r="C2003" s="244" t="s">
        <v>474</v>
      </c>
      <c r="D2003" s="243">
        <f ca="1">OFFSET(ЛОТЫ!$M$5,A2003,0,1,1)</f>
        <v>16</v>
      </c>
      <c r="E2003" s="243">
        <f ca="1">OFFSET(ЛОТЫ!$N$5,A2003,0,1,1)</f>
        <v>9</v>
      </c>
      <c r="F2003" s="243">
        <f ca="1">OFFSET(ЛОТЫ!$O$5,A2003,0,1,1)</f>
        <v>2</v>
      </c>
      <c r="G2003" s="271">
        <f ca="1">IFERROR(INDEX('Ведомость расчета мин. платы'!$G$10:$AC$214,MATCH(CONCATENATE(B2003,"/",D2003,"/",E2003,"/",F2003),'Ведомость расчета мин. платы'!$AC$10:$AC$214,0),1),"")</f>
        <v>6.7</v>
      </c>
      <c r="H2003" s="246" t="s">
        <v>17</v>
      </c>
      <c r="I2003" s="247">
        <f ca="1">IFERROR(INDEX('Ведомость расчета мин. платы'!$J$10:$AE$214,MATCH(CONCATENATE(РАСЧЕТ!B2003,"/",РАСЧЕТ!D2003,"/",РАСЧЕТ!E2003,"/",F2003,"/",H2003),'Ведомость расчета мин. платы'!$AE$10:$AE$214,0),2),"")</f>
        <v>17.95</v>
      </c>
      <c r="J2003" s="247">
        <f ca="1">IFERROR(INDEX('Ведомость расчета мин. платы'!$J$10:$AE$214,MATCH(CONCATENATE(РАСЧЕТ!B2003,"/",РАСЧЕТ!D2003,"/",РАСЧЕТ!E2003,"/",F2003,"/",H2003),'Ведомость расчета мин. платы'!$AE$10:$AE$214,0),3),"")</f>
        <v>67.2</v>
      </c>
      <c r="K2003" s="247">
        <f ca="1">IFERROR(INDEX('Ведомость расчета мин. платы'!$J$10:$AE$214,MATCH(CONCATENATE(РАСЧЕТ!B2003,"/",РАСЧЕТ!D2003,"/",РАСЧЕТ!E2003,"/",F2003,"/",H2003),'Ведомость расчета мин. платы'!$AE$10:$AE$214,0),4),"")</f>
        <v>16.39</v>
      </c>
      <c r="L2003" s="248">
        <f t="shared" ref="L2003:L2015" ca="1" si="901">IFERROR(SUM(I2003:K2003),"")</f>
        <v>101.54</v>
      </c>
      <c r="M2003" s="214">
        <f ca="1">IFERROR(INDEX('Ведомость расчета мин. платы'!$J$10:$AE$214,MATCH(CONCATENATE(РАСЧЕТ!B2003,"/",РАСЧЕТ!D2003,"/",РАСЧЕТ!E2003,"/",F2003,"/",H2003),'Ведомость расчета мин. платы'!$AE$10:$AE$214,0),6),"")</f>
        <v>65.77</v>
      </c>
      <c r="N2003" s="214">
        <f t="shared" ref="N2003:N2015" ca="1" si="902">IFERROR(SUM(L2003:M2003),"")</f>
        <v>167.31</v>
      </c>
      <c r="O2003" s="229">
        <f>IF(H2003="стоимость","",1)</f>
        <v>1</v>
      </c>
      <c r="P2003" s="230">
        <f t="shared" si="900"/>
        <v>1</v>
      </c>
      <c r="AP2003" s="242"/>
      <c r="AQ2003" s="242"/>
    </row>
    <row r="2004" spans="1:43" x14ac:dyDescent="0.2">
      <c r="B2004" s="249"/>
      <c r="C2004" s="249"/>
      <c r="D2004" s="249"/>
      <c r="E2004" s="249"/>
      <c r="F2004" s="249"/>
      <c r="G2004" s="249"/>
      <c r="H2004" s="250" t="s">
        <v>475</v>
      </c>
      <c r="I2004" s="251">
        <f ca="1">IFERROR(ROUND(I2003*I1997,2),"")</f>
        <v>2156.69</v>
      </c>
      <c r="J2004" s="251">
        <f t="shared" ref="J2004" ca="1" si="903">IFERROR(ROUND(J2003*J1997,2),"")</f>
        <v>5753.66</v>
      </c>
      <c r="K2004" s="251">
        <f t="shared" ref="K2004" ca="1" si="904">IFERROR(ROUND(K2003*K1997,2),"")</f>
        <v>711</v>
      </c>
      <c r="L2004" s="251">
        <f t="shared" ca="1" si="901"/>
        <v>8621.35</v>
      </c>
      <c r="M2004" s="251">
        <v>450.52999999999838</v>
      </c>
      <c r="N2004" s="252">
        <f t="shared" ca="1" si="902"/>
        <v>9071.8799999999992</v>
      </c>
      <c r="O2004" s="229" t="str">
        <f t="shared" ref="O2004:O2014" si="905">IF(H2004="стоимость","",1)</f>
        <v/>
      </c>
      <c r="P2004" s="230">
        <f t="shared" si="900"/>
        <v>0</v>
      </c>
      <c r="AP2004" s="242">
        <f ca="1">SUMIFS('Ведомость расчета мин. платы'!$S$10:$S$209,'Ведомость расчета мин. платы'!$AE$10:$AE$209,CONCATENATE(B2003,"/",D2003,"/",E2003,"/",F2003,"/",H2003))</f>
        <v>9071.8799999999992</v>
      </c>
      <c r="AQ2004" s="253">
        <f t="shared" ref="AQ2004" ca="1" si="906">AP2004-N2004</f>
        <v>0</v>
      </c>
    </row>
    <row r="2005" spans="1:43" x14ac:dyDescent="0.2">
      <c r="B2005" s="249"/>
      <c r="C2005" s="249"/>
      <c r="D2005" s="249"/>
      <c r="E2005" s="249"/>
      <c r="F2005" s="249"/>
      <c r="G2005" s="249"/>
      <c r="H2005" s="246" t="s">
        <v>25</v>
      </c>
      <c r="I2005" s="247" t="str">
        <f ca="1">IFERROR(INDEX('Ведомость расчета мин. платы'!$J$10:$AE$214,MATCH(CONCATENATE(РАСЧЕТ!B2003,"/",РАСЧЕТ!D2003,"/",РАСЧЕТ!E2003,"/",F2003,"/",H2005),'Ведомость расчета мин. платы'!$AE$10:$AE$214,0),2),"")</f>
        <v/>
      </c>
      <c r="J2005" s="247" t="str">
        <f ca="1">IFERROR(INDEX('Ведомость расчета мин. платы'!$J$10:$AE$214,MATCH(CONCATENATE(РАСЧЕТ!B2003,"/",РАСЧЕТ!D2003,"/",РАСЧЕТ!E2003,"/",F2003,"/",H2005),'Ведомость расчета мин. платы'!$AE$10:$AE$214,0),3),"")</f>
        <v/>
      </c>
      <c r="K2005" s="247" t="str">
        <f ca="1">IFERROR(INDEX('Ведомость расчета мин. платы'!$J$10:$AE$214,MATCH(CONCATENATE(РАСЧЕТ!B2003,"/",РАСЧЕТ!D2003,"/",РАСЧЕТ!E2003,"/",F2003,"/",H2005),'Ведомость расчета мин. платы'!$AE$10:$AE$214,0),4),"")</f>
        <v/>
      </c>
      <c r="L2005" s="248">
        <f t="shared" ca="1" si="901"/>
        <v>0</v>
      </c>
      <c r="M2005" s="214">
        <v>0</v>
      </c>
      <c r="N2005" s="214">
        <f t="shared" ca="1" si="902"/>
        <v>0</v>
      </c>
      <c r="O2005" s="229">
        <f t="shared" si="905"/>
        <v>1</v>
      </c>
      <c r="P2005" s="230">
        <f t="shared" si="900"/>
        <v>0</v>
      </c>
      <c r="AP2005" s="242"/>
      <c r="AQ2005" s="253"/>
    </row>
    <row r="2006" spans="1:43" x14ac:dyDescent="0.2">
      <c r="B2006" s="249"/>
      <c r="C2006" s="249"/>
      <c r="D2006" s="249"/>
      <c r="E2006" s="249"/>
      <c r="F2006" s="249"/>
      <c r="G2006" s="249"/>
      <c r="H2006" s="250" t="s">
        <v>475</v>
      </c>
      <c r="I2006" s="251" t="str">
        <f ca="1">IFERROR(ROUND(I2005*I1998,2),"")</f>
        <v/>
      </c>
      <c r="J2006" s="251" t="str">
        <f t="shared" ref="J2006" ca="1" si="907">IFERROR(ROUND(J2005*J1998,2),"")</f>
        <v/>
      </c>
      <c r="K2006" s="251" t="str">
        <f t="shared" ref="K2006" ca="1" si="908">IFERROR(ROUND(K2005*K1998,2),"")</f>
        <v/>
      </c>
      <c r="L2006" s="251">
        <f t="shared" ca="1" si="901"/>
        <v>0</v>
      </c>
      <c r="M2006" s="251">
        <v>0</v>
      </c>
      <c r="N2006" s="252">
        <f t="shared" ca="1" si="902"/>
        <v>0</v>
      </c>
      <c r="O2006" s="229" t="str">
        <f t="shared" si="905"/>
        <v/>
      </c>
      <c r="P2006" s="230">
        <f t="shared" si="900"/>
        <v>0</v>
      </c>
      <c r="AP2006" s="242">
        <f ca="1">SUMIFS('Ведомость расчета мин. платы'!$S$10:$S$209,'Ведомость расчета мин. платы'!$AE$10:$AE$209,CONCATENATE(B2003,"/",D2003,"/",E2003,"/",F2003,"/",H2005))</f>
        <v>0</v>
      </c>
      <c r="AQ2006" s="253">
        <f t="shared" ref="AQ2006" ca="1" si="909">AP2006-N2006</f>
        <v>0</v>
      </c>
    </row>
    <row r="2007" spans="1:43" x14ac:dyDescent="0.2">
      <c r="B2007" s="249"/>
      <c r="C2007" s="249"/>
      <c r="D2007" s="249"/>
      <c r="E2007" s="249"/>
      <c r="F2007" s="249"/>
      <c r="G2007" s="249"/>
      <c r="H2007" s="205" t="s">
        <v>19</v>
      </c>
      <c r="I2007" s="248" t="str">
        <f ca="1">IFERROR(INDEX('Ведомость расчета мин. платы'!$J$10:$AE$214,MATCH(CONCATENATE(РАСЧЕТ!B2003,"/",РАСЧЕТ!D2003,"/",РАСЧЕТ!E2003,"/",F2003,"/",H2007),'Ведомость расчета мин. платы'!$AE$10:$AE$214,0),2),"")</f>
        <v/>
      </c>
      <c r="J2007" s="248" t="str">
        <f ca="1">IFERROR(INDEX('Ведомость расчета мин. платы'!$J$10:$AE$214,MATCH(CONCATENATE(РАСЧЕТ!B2003,"/",РАСЧЕТ!D2003,"/",РАСЧЕТ!E2003,"/",F2003,"/",H2007),'Ведомость расчета мин. платы'!$AE$10:$AE$214,0),3),"")</f>
        <v/>
      </c>
      <c r="K2007" s="248" t="str">
        <f ca="1">IFERROR(INDEX('Ведомость расчета мин. платы'!$J$10:$AE$214,MATCH(CONCATENATE(РАСЧЕТ!B2003,"/",РАСЧЕТ!D2003,"/",РАСЧЕТ!E2003,"/",F2003,"/",H2007),'Ведомость расчета мин. платы'!$AE$10:$AE$214,0),4),"")</f>
        <v/>
      </c>
      <c r="L2007" s="248">
        <f t="shared" ca="1" si="901"/>
        <v>0</v>
      </c>
      <c r="M2007" s="248">
        <v>0</v>
      </c>
      <c r="N2007" s="214">
        <f t="shared" ca="1" si="902"/>
        <v>0</v>
      </c>
      <c r="O2007" s="229">
        <f t="shared" si="905"/>
        <v>1</v>
      </c>
      <c r="P2007" s="230">
        <f t="shared" si="900"/>
        <v>0</v>
      </c>
      <c r="AP2007" s="242"/>
      <c r="AQ2007" s="253"/>
    </row>
    <row r="2008" spans="1:43" x14ac:dyDescent="0.2">
      <c r="B2008" s="249"/>
      <c r="C2008" s="249"/>
      <c r="D2008" s="249"/>
      <c r="E2008" s="249"/>
      <c r="F2008" s="249"/>
      <c r="G2008" s="249"/>
      <c r="H2008" s="250" t="s">
        <v>475</v>
      </c>
      <c r="I2008" s="251" t="str">
        <f ca="1">IFERROR(ROUND(I2007*I1999,2),"")</f>
        <v/>
      </c>
      <c r="J2008" s="251" t="str">
        <f t="shared" ref="J2008" ca="1" si="910">IFERROR(ROUND(J2007*J1999,2),"")</f>
        <v/>
      </c>
      <c r="K2008" s="251" t="str">
        <f t="shared" ref="K2008" ca="1" si="911">IFERROR(ROUND(K2007*K1999,2),"")</f>
        <v/>
      </c>
      <c r="L2008" s="251">
        <f t="shared" ca="1" si="901"/>
        <v>0</v>
      </c>
      <c r="M2008" s="251">
        <v>0</v>
      </c>
      <c r="N2008" s="252">
        <f t="shared" ca="1" si="902"/>
        <v>0</v>
      </c>
      <c r="O2008" s="229" t="str">
        <f t="shared" si="905"/>
        <v/>
      </c>
      <c r="P2008" s="230">
        <f t="shared" si="900"/>
        <v>0</v>
      </c>
      <c r="AP2008" s="242">
        <f ca="1">SUMIFS('Ведомость расчета мин. платы'!$S$10:$S$209,'Ведомость расчета мин. платы'!$AE$10:$AE$209,CONCATENATE(B2003,"/",D2003,"/",E2003,"/",F2003,"/",H2007))</f>
        <v>0</v>
      </c>
      <c r="AQ2008" s="253">
        <f t="shared" ref="AQ2008" ca="1" si="912">AP2008-N2008</f>
        <v>0</v>
      </c>
    </row>
    <row r="2009" spans="1:43" x14ac:dyDescent="0.2">
      <c r="B2009" s="249"/>
      <c r="C2009" s="249"/>
      <c r="D2009" s="249"/>
      <c r="E2009" s="249"/>
      <c r="F2009" s="249"/>
      <c r="G2009" s="249"/>
      <c r="H2009" s="205" t="s">
        <v>268</v>
      </c>
      <c r="I2009" s="248" t="str">
        <f ca="1">IFERROR(INDEX('Ведомость расчета мин. платы'!$J$10:$AE$214,MATCH(CONCATENATE(РАСЧЕТ!B2003,"/",РАСЧЕТ!D2003,"/",РАСЧЕТ!E2003,"/",F2003,"/",H2009),'Ведомость расчета мин. платы'!$AE$10:$AE$214,0),2),"")</f>
        <v/>
      </c>
      <c r="J2009" s="248" t="str">
        <f ca="1">IFERROR(INDEX('Ведомость расчета мин. платы'!$J$10:$AE$214,MATCH(CONCATENATE(РАСЧЕТ!B2003,"/",РАСЧЕТ!D2003,"/",РАСЧЕТ!E2003,"/",F2003,"/",H2009),'Ведомость расчета мин. платы'!$AE$10:$AE$214,0),3),"")</f>
        <v/>
      </c>
      <c r="K2009" s="248" t="str">
        <f ca="1">IFERROR(INDEX('Ведомость расчета мин. платы'!$J$10:$AE$214,MATCH(CONCATENATE(РАСЧЕТ!B2003,"/",РАСЧЕТ!D2003,"/",РАСЧЕТ!E2003,"/",F2003,"/",H2009),'Ведомость расчета мин. платы'!$AE$10:$AE$214,0),4),"")</f>
        <v/>
      </c>
      <c r="L2009" s="248">
        <f t="shared" ca="1" si="901"/>
        <v>0</v>
      </c>
      <c r="M2009" s="248">
        <v>0</v>
      </c>
      <c r="N2009" s="214">
        <f t="shared" ca="1" si="902"/>
        <v>0</v>
      </c>
      <c r="O2009" s="229">
        <f t="shared" si="905"/>
        <v>1</v>
      </c>
      <c r="P2009" s="230">
        <f t="shared" si="900"/>
        <v>0</v>
      </c>
      <c r="AP2009" s="242"/>
      <c r="AQ2009" s="253"/>
    </row>
    <row r="2010" spans="1:43" x14ac:dyDescent="0.2">
      <c r="B2010" s="249"/>
      <c r="C2010" s="249"/>
      <c r="D2010" s="249"/>
      <c r="E2010" s="249"/>
      <c r="F2010" s="249"/>
      <c r="G2010" s="249"/>
      <c r="H2010" s="250" t="s">
        <v>475</v>
      </c>
      <c r="I2010" s="251" t="str">
        <f ca="1">IFERROR(ROUND(I2009*I2002,2),"")</f>
        <v/>
      </c>
      <c r="J2010" s="251" t="str">
        <f ca="1">IFERROR(ROUND(J2009*J2000,2),"")</f>
        <v/>
      </c>
      <c r="K2010" s="251" t="str">
        <f ca="1">IFERROR(ROUND(K2009*K2000,2),"")</f>
        <v/>
      </c>
      <c r="L2010" s="251">
        <f t="shared" ca="1" si="901"/>
        <v>0</v>
      </c>
      <c r="M2010" s="251">
        <v>0</v>
      </c>
      <c r="N2010" s="252">
        <f t="shared" ca="1" si="902"/>
        <v>0</v>
      </c>
      <c r="O2010" s="229" t="str">
        <f t="shared" si="905"/>
        <v/>
      </c>
      <c r="P2010" s="230">
        <f t="shared" si="900"/>
        <v>0</v>
      </c>
      <c r="AP2010" s="242">
        <f ca="1">SUMIFS('Ведомость расчета мин. платы'!$S$10:$S$209,'Ведомость расчета мин. платы'!$AE$10:$AE$209,CONCATENATE(B2003,"/",D2003,"/",E2003,"/",F2003,"/",H2009))</f>
        <v>0</v>
      </c>
      <c r="AQ2010" s="253">
        <f t="shared" ref="AQ2010" ca="1" si="913">AP2010-N2010</f>
        <v>0</v>
      </c>
    </row>
    <row r="2011" spans="1:43" x14ac:dyDescent="0.2">
      <c r="B2011" s="249"/>
      <c r="C2011" s="249"/>
      <c r="D2011" s="249"/>
      <c r="E2011" s="249"/>
      <c r="F2011" s="249"/>
      <c r="G2011" s="249"/>
      <c r="H2011" s="205" t="s">
        <v>40</v>
      </c>
      <c r="I2011" s="248" t="str">
        <f ca="1">IFERROR(INDEX('Ведомость расчета мин. платы'!$J$10:$AE$214,MATCH(CONCATENATE(РАСЧЕТ!B2003,"/",РАСЧЕТ!D2003,"/",РАСЧЕТ!E2003,"/",F2003,"/",H2011),'Ведомость расчета мин. платы'!$AE$10:$AE$214,0),2),"")</f>
        <v/>
      </c>
      <c r="J2011" s="248" t="str">
        <f ca="1">IFERROR(INDEX('Ведомость расчета мин. платы'!$J$10:$AE$214,MATCH(CONCATENATE(РАСЧЕТ!B2003,"/",РАСЧЕТ!D2003,"/",РАСЧЕТ!E2003,"/",F2003,"/",H2011),'Ведомость расчета мин. платы'!$AE$10:$AE$214,0),3),"")</f>
        <v/>
      </c>
      <c r="K2011" s="248" t="str">
        <f ca="1">IFERROR(INDEX('Ведомость расчета мин. платы'!$J$10:$AE$214,MATCH(CONCATENATE(РАСЧЕТ!B2003,"/",РАСЧЕТ!D2003,"/",РАСЧЕТ!E2003,"/",F2003,"/",H2011),'Ведомость расчета мин. платы'!$AE$10:$AE$214,0),4),"")</f>
        <v/>
      </c>
      <c r="L2011" s="248">
        <f t="shared" ca="1" si="901"/>
        <v>0</v>
      </c>
      <c r="M2011" s="248">
        <v>0</v>
      </c>
      <c r="N2011" s="214">
        <f t="shared" ca="1" si="902"/>
        <v>0</v>
      </c>
      <c r="O2011" s="229">
        <f t="shared" si="905"/>
        <v>1</v>
      </c>
      <c r="P2011" s="230">
        <f t="shared" si="900"/>
        <v>0</v>
      </c>
      <c r="AP2011" s="242"/>
      <c r="AQ2011" s="253"/>
    </row>
    <row r="2012" spans="1:43" x14ac:dyDescent="0.2">
      <c r="B2012" s="249"/>
      <c r="C2012" s="249"/>
      <c r="D2012" s="249"/>
      <c r="E2012" s="249"/>
      <c r="F2012" s="249"/>
      <c r="G2012" s="249"/>
      <c r="H2012" s="250" t="s">
        <v>475</v>
      </c>
      <c r="I2012" s="251" t="str">
        <f ca="1">IFERROR(ROUND(I2011*I2001,2),"")</f>
        <v/>
      </c>
      <c r="J2012" s="251" t="str">
        <f t="shared" ref="J2012" ca="1" si="914">IFERROR(ROUND(J2011*J2001,2),"")</f>
        <v/>
      </c>
      <c r="K2012" s="251" t="str">
        <f t="shared" ref="K2012" ca="1" si="915">IFERROR(ROUND(K2011*K2001,2),"")</f>
        <v/>
      </c>
      <c r="L2012" s="251">
        <f t="shared" ca="1" si="901"/>
        <v>0</v>
      </c>
      <c r="M2012" s="251">
        <v>0</v>
      </c>
      <c r="N2012" s="252">
        <f t="shared" ca="1" si="902"/>
        <v>0</v>
      </c>
      <c r="O2012" s="229" t="str">
        <f t="shared" si="905"/>
        <v/>
      </c>
      <c r="P2012" s="230">
        <f t="shared" si="900"/>
        <v>0</v>
      </c>
      <c r="AP2012" s="242">
        <f ca="1">SUMIFS('Ведомость расчета мин. платы'!$S$10:$S$209,'Ведомость расчета мин. платы'!$AE$10:$AE$209,CONCATENATE(B2003,"/",D2003,"/",E2003,"/",F2003,"/",H2011))</f>
        <v>0</v>
      </c>
      <c r="AQ2012" s="253">
        <f t="shared" ref="AQ2012" ca="1" si="916">AP2012-N2012</f>
        <v>0</v>
      </c>
    </row>
    <row r="2013" spans="1:43" x14ac:dyDescent="0.2">
      <c r="B2013" s="249"/>
      <c r="C2013" s="249"/>
      <c r="D2013" s="249"/>
      <c r="E2013" s="249"/>
      <c r="F2013" s="249"/>
      <c r="G2013" s="249"/>
      <c r="H2013" s="205" t="s">
        <v>18</v>
      </c>
      <c r="I2013" s="248">
        <f ca="1">IFERROR(INDEX('Ведомость расчета мин. платы'!$J$10:$AE$214,MATCH(CONCATENATE(РАСЧЕТ!B2003,"/",РАСЧЕТ!D2003,"/",РАСЧЕТ!E2003,"/",F2003,"/",H2013),'Ведомость расчета мин. платы'!$AE$10:$AE$214,0),2),"")</f>
        <v>501.46</v>
      </c>
      <c r="J2013" s="248">
        <f ca="1">IFERROR(INDEX('Ведомость расчета мин. платы'!$J$10:$AE$214,MATCH(CONCATENATE(РАСЧЕТ!B2003,"/",РАСЧЕТ!D2003,"/",РАСЧЕТ!E2003,"/",F2003,"/",H2013),'Ведомость расчета мин. платы'!$AE$10:$AE$214,0),3),"")</f>
        <v>435.86</v>
      </c>
      <c r="K2013" s="248">
        <f ca="1">IFERROR(INDEX('Ведомость расчета мин. платы'!$J$10:$AE$214,MATCH(CONCATENATE(РАСЧЕТ!B2003,"/",РАСЧЕТ!D2003,"/",РАСЧЕТ!E2003,"/",F2003,"/",H2013),'Ведомость расчета мин. платы'!$AE$10:$AE$214,0),4),"")</f>
        <v>26.32</v>
      </c>
      <c r="L2013" s="248">
        <f t="shared" ca="1" si="901"/>
        <v>963.64</v>
      </c>
      <c r="M2013" s="248">
        <v>471.03</v>
      </c>
      <c r="N2013" s="214">
        <f t="shared" ca="1" si="902"/>
        <v>1434.67</v>
      </c>
      <c r="O2013" s="229">
        <f t="shared" si="905"/>
        <v>1</v>
      </c>
      <c r="P2013" s="230">
        <f t="shared" si="900"/>
        <v>0</v>
      </c>
      <c r="AP2013" s="242"/>
      <c r="AQ2013" s="253"/>
    </row>
    <row r="2014" spans="1:43" x14ac:dyDescent="0.2">
      <c r="B2014" s="249"/>
      <c r="C2014" s="249"/>
      <c r="D2014" s="249"/>
      <c r="E2014" s="249"/>
      <c r="F2014" s="249"/>
      <c r="G2014" s="249"/>
      <c r="H2014" s="250" t="s">
        <v>475</v>
      </c>
      <c r="I2014" s="251">
        <f ca="1">IFERROR(ROUND(I2013*I2002,2),"")</f>
        <v>11448.33</v>
      </c>
      <c r="J2014" s="251">
        <f t="shared" ref="J2014" ca="1" si="917">IFERROR(ROUND(J2013*J2002,2),"")</f>
        <v>7588.32</v>
      </c>
      <c r="K2014" s="251">
        <f t="shared" ref="K2014" ca="1" si="918">IFERROR(ROUND(K2013*K2002,2),"")</f>
        <v>232.93</v>
      </c>
      <c r="L2014" s="251">
        <f t="shared" ca="1" si="901"/>
        <v>19269.580000000002</v>
      </c>
      <c r="M2014" s="251">
        <v>268.47999999999797</v>
      </c>
      <c r="N2014" s="252">
        <f t="shared" ca="1" si="902"/>
        <v>19538.060000000001</v>
      </c>
      <c r="O2014" s="229" t="str">
        <f t="shared" si="905"/>
        <v/>
      </c>
      <c r="P2014" s="230">
        <f t="shared" si="900"/>
        <v>0</v>
      </c>
      <c r="AP2014" s="242">
        <f ca="1">SUMIFS('Ведомость расчета мин. платы'!$S$10:$S$209,'Ведомость расчета мин. платы'!$AE$10:$AE$209,CONCATENATE(B2003,"/",D2003,"/",E2003,"/",F2003,"/",H2013))</f>
        <v>19538.060000000001</v>
      </c>
      <c r="AQ2014" s="253">
        <f t="shared" ref="AQ2014" ca="1" si="919">AP2014-N2014</f>
        <v>0</v>
      </c>
    </row>
    <row r="2015" spans="1:43" x14ac:dyDescent="0.2">
      <c r="B2015" s="249"/>
      <c r="C2015" s="249"/>
      <c r="D2015" s="249"/>
      <c r="E2015" s="249"/>
      <c r="F2015" s="249"/>
      <c r="G2015" s="249"/>
      <c r="H2015" s="254" t="s">
        <v>476</v>
      </c>
      <c r="I2015" s="251">
        <f ca="1">SUMIF($O2003:$O2016,1,I2003:I2014)</f>
        <v>519.41</v>
      </c>
      <c r="J2015" s="251">
        <f ca="1">SUMIF($O2003:$O2016,1,J2003:J2014)</f>
        <v>503.06</v>
      </c>
      <c r="K2015" s="251">
        <f ca="1">SUMIF($O2003:$O2016,1,K2003:K2014)</f>
        <v>42.71</v>
      </c>
      <c r="L2015" s="251">
        <f t="shared" ca="1" si="901"/>
        <v>1065.18</v>
      </c>
      <c r="M2015" s="251">
        <f ca="1">SUMIF($O2003:$O2016,1,M2003:M2014)</f>
        <v>536.79999999999995</v>
      </c>
      <c r="N2015" s="252">
        <f t="shared" ca="1" si="902"/>
        <v>1601.98</v>
      </c>
      <c r="AP2015" s="242"/>
      <c r="AQ2015" s="253"/>
    </row>
    <row r="2016" spans="1:43" x14ac:dyDescent="0.2">
      <c r="B2016" s="249"/>
      <c r="C2016" s="249"/>
      <c r="D2016" s="249"/>
      <c r="E2016" s="249"/>
      <c r="F2016" s="249"/>
      <c r="G2016" s="249"/>
      <c r="H2016" s="254" t="s">
        <v>491</v>
      </c>
      <c r="I2016" s="251">
        <f ca="1">SUMIF(H2003:H2014,"стоимость",I2003:I2014)</f>
        <v>13605.02</v>
      </c>
      <c r="J2016" s="251">
        <f ca="1">SUMIF(H2003:H2014,"стоимость",J2003:J2014)</f>
        <v>13341.98</v>
      </c>
      <c r="K2016" s="251">
        <f ca="1">SUMIF(H2003:H2014,"стоимость",K2003:K2014)</f>
        <v>943.93000000000006</v>
      </c>
      <c r="L2016" s="251">
        <f ca="1">IFERROR(SUM(I2016:K2016),"")</f>
        <v>27890.93</v>
      </c>
      <c r="M2016" s="251">
        <f>SUMIF(H2003:H2014,"стоимость",M2003:M2014)</f>
        <v>719.00999999999635</v>
      </c>
      <c r="N2016" s="252">
        <f ca="1">IFERROR(SUM(L2016:M2016),"")</f>
        <v>28609.939999999995</v>
      </c>
      <c r="AP2016" s="242">
        <f ca="1">SUMIFS('Ведомость расчета мин. платы'!$S$10:$S$209,'Ведомость расчета мин. платы'!$J$10:$J$209,"Итого",'Ведомость расчета мин. платы'!$AC$10:$AC$209,CONCATENATE(B2003,"/",D2003,"/",E2003,"/",F2003))</f>
        <v>28609.940000000002</v>
      </c>
      <c r="AQ2016" s="253">
        <f ca="1">AP2016-N2016</f>
        <v>0</v>
      </c>
    </row>
    <row r="2017" spans="2:16" x14ac:dyDescent="0.2">
      <c r="B2017" s="255"/>
      <c r="C2017" s="255"/>
      <c r="D2017" s="255"/>
      <c r="E2017" s="255"/>
      <c r="F2017" s="255"/>
      <c r="G2017" s="256"/>
      <c r="H2017" s="257"/>
      <c r="I2017" s="258"/>
      <c r="J2017" s="258"/>
      <c r="K2017" s="258"/>
      <c r="L2017" s="258"/>
      <c r="M2017" s="258"/>
      <c r="N2017" s="258"/>
      <c r="P2017" s="230">
        <f t="shared" ref="P2017:P2035" si="920">IF(A2017&gt;0,1,0)</f>
        <v>0</v>
      </c>
    </row>
    <row r="2018" spans="2:16" x14ac:dyDescent="0.2">
      <c r="B2018" s="282" t="s">
        <v>477</v>
      </c>
      <c r="C2018" s="282"/>
      <c r="D2018" s="282"/>
      <c r="E2018" s="282"/>
      <c r="F2018" s="259"/>
      <c r="G2018" s="225"/>
      <c r="H2018" s="201"/>
      <c r="I2018" s="226"/>
      <c r="J2018" s="258"/>
      <c r="K2018" s="258"/>
      <c r="L2018" s="258"/>
      <c r="M2018" s="258"/>
      <c r="N2018" s="258"/>
      <c r="P2018" s="230">
        <f t="shared" si="920"/>
        <v>0</v>
      </c>
    </row>
    <row r="2019" spans="2:16" x14ac:dyDescent="0.2">
      <c r="B2019" s="283" t="s">
        <v>525</v>
      </c>
      <c r="C2019" s="283"/>
      <c r="D2019" s="283"/>
      <c r="E2019" s="283"/>
      <c r="F2019" s="283"/>
      <c r="G2019" s="283"/>
      <c r="H2019" s="283"/>
      <c r="I2019" s="283"/>
      <c r="J2019" s="261"/>
      <c r="K2019" s="261"/>
      <c r="L2019" s="261"/>
      <c r="M2019" s="261"/>
      <c r="N2019" s="261"/>
      <c r="P2019" s="230">
        <f t="shared" si="920"/>
        <v>0</v>
      </c>
    </row>
    <row r="2020" spans="2:16" x14ac:dyDescent="0.2">
      <c r="B2020" s="284" t="s">
        <v>478</v>
      </c>
      <c r="C2020" s="284"/>
      <c r="D2020" s="284"/>
      <c r="E2020" s="284"/>
      <c r="F2020" s="284"/>
      <c r="G2020" s="284"/>
      <c r="H2020" s="284"/>
      <c r="I2020" s="284"/>
      <c r="J2020" s="258"/>
      <c r="K2020" s="258"/>
      <c r="L2020" s="258"/>
      <c r="M2020" s="258"/>
      <c r="N2020" s="258"/>
      <c r="P2020" s="230">
        <f t="shared" si="920"/>
        <v>0</v>
      </c>
    </row>
    <row r="2021" spans="2:16" x14ac:dyDescent="0.2">
      <c r="B2021" s="284" t="s">
        <v>479</v>
      </c>
      <c r="C2021" s="284"/>
      <c r="D2021" s="284"/>
      <c r="E2021" s="284"/>
      <c r="F2021" s="284"/>
      <c r="G2021" s="284"/>
      <c r="H2021" s="284"/>
      <c r="I2021" s="284"/>
      <c r="J2021" s="258"/>
      <c r="K2021" s="258"/>
      <c r="L2021" s="258"/>
      <c r="M2021" s="258"/>
      <c r="N2021" s="258"/>
      <c r="P2021" s="230">
        <f t="shared" si="920"/>
        <v>0</v>
      </c>
    </row>
    <row r="2022" spans="2:16" x14ac:dyDescent="0.2">
      <c r="B2022" s="284" t="s">
        <v>480</v>
      </c>
      <c r="C2022" s="284"/>
      <c r="D2022" s="284"/>
      <c r="E2022" s="284"/>
      <c r="F2022" s="284"/>
      <c r="G2022" s="284"/>
      <c r="H2022" s="284"/>
      <c r="I2022" s="284"/>
      <c r="J2022" s="258"/>
      <c r="K2022" s="258"/>
      <c r="L2022" s="258"/>
      <c r="M2022" s="258"/>
      <c r="N2022" s="258"/>
      <c r="P2022" s="230">
        <f t="shared" si="920"/>
        <v>0</v>
      </c>
    </row>
    <row r="2023" spans="2:16" x14ac:dyDescent="0.2">
      <c r="B2023" s="284" t="s">
        <v>481</v>
      </c>
      <c r="C2023" s="284"/>
      <c r="D2023" s="284"/>
      <c r="E2023" s="284"/>
      <c r="F2023" s="284"/>
      <c r="G2023" s="284"/>
      <c r="H2023" s="284"/>
      <c r="I2023" s="284"/>
      <c r="J2023" s="226"/>
      <c r="K2023" s="226"/>
      <c r="L2023" s="226"/>
      <c r="M2023" s="226"/>
      <c r="N2023" s="226"/>
      <c r="P2023" s="230">
        <f t="shared" si="920"/>
        <v>0</v>
      </c>
    </row>
    <row r="2024" spans="2:16" x14ac:dyDescent="0.2">
      <c r="B2024" s="284" t="s">
        <v>482</v>
      </c>
      <c r="C2024" s="284"/>
      <c r="D2024" s="284"/>
      <c r="E2024" s="284"/>
      <c r="F2024" s="284"/>
      <c r="G2024" s="284"/>
      <c r="H2024" s="284"/>
      <c r="I2024" s="284"/>
      <c r="J2024" s="226"/>
      <c r="K2024" s="226"/>
      <c r="L2024" s="226"/>
      <c r="M2024" s="226"/>
      <c r="N2024" s="226"/>
      <c r="P2024" s="230">
        <f t="shared" si="920"/>
        <v>0</v>
      </c>
    </row>
    <row r="2025" spans="2:16" x14ac:dyDescent="0.2">
      <c r="B2025" s="284" t="s">
        <v>483</v>
      </c>
      <c r="C2025" s="284"/>
      <c r="D2025" s="284"/>
      <c r="E2025" s="284"/>
      <c r="F2025" s="284"/>
      <c r="G2025" s="284"/>
      <c r="H2025" s="284"/>
      <c r="I2025" s="284"/>
      <c r="J2025" s="226"/>
      <c r="K2025" s="226"/>
      <c r="L2025" s="226"/>
      <c r="M2025" s="226"/>
      <c r="N2025" s="226"/>
      <c r="P2025" s="230">
        <f t="shared" si="920"/>
        <v>0</v>
      </c>
    </row>
    <row r="2026" spans="2:16" x14ac:dyDescent="0.2">
      <c r="B2026" s="284" t="s">
        <v>484</v>
      </c>
      <c r="C2026" s="284"/>
      <c r="D2026" s="284"/>
      <c r="E2026" s="284"/>
      <c r="F2026" s="284"/>
      <c r="G2026" s="284"/>
      <c r="H2026" s="284"/>
      <c r="I2026" s="284"/>
      <c r="J2026" s="226"/>
      <c r="K2026" s="226"/>
      <c r="L2026" s="226"/>
      <c r="M2026" s="226"/>
      <c r="N2026" s="226"/>
      <c r="P2026" s="230">
        <f t="shared" si="920"/>
        <v>0</v>
      </c>
    </row>
    <row r="2027" spans="2:16" x14ac:dyDescent="0.2">
      <c r="B2027" s="264"/>
      <c r="C2027" s="264"/>
      <c r="D2027" s="264"/>
      <c r="E2027" s="264"/>
      <c r="F2027" s="264"/>
      <c r="G2027" s="264"/>
      <c r="H2027" s="264"/>
      <c r="I2027" s="265"/>
      <c r="J2027" s="226"/>
      <c r="K2027" s="226"/>
      <c r="L2027" s="226"/>
      <c r="M2027" s="226"/>
      <c r="N2027" s="226"/>
      <c r="P2027" s="230">
        <f t="shared" si="920"/>
        <v>0</v>
      </c>
    </row>
    <row r="2028" spans="2:16" x14ac:dyDescent="0.2">
      <c r="B2028" s="225" t="s">
        <v>485</v>
      </c>
      <c r="C2028" s="225"/>
      <c r="D2028" s="225"/>
      <c r="E2028" s="225"/>
      <c r="F2028" s="225"/>
      <c r="G2028" s="225"/>
      <c r="H2028" s="201"/>
      <c r="I2028" s="226"/>
      <c r="J2028" s="226" t="s">
        <v>486</v>
      </c>
      <c r="K2028" s="226"/>
      <c r="L2028" s="226"/>
      <c r="M2028" s="226"/>
      <c r="N2028" s="226"/>
      <c r="P2028" s="230">
        <f t="shared" si="920"/>
        <v>0</v>
      </c>
    </row>
    <row r="2029" spans="2:16" x14ac:dyDescent="0.2">
      <c r="B2029" s="266" t="s">
        <v>524</v>
      </c>
      <c r="C2029" s="266"/>
      <c r="D2029" s="225"/>
      <c r="E2029" s="225"/>
      <c r="F2029" s="225"/>
      <c r="G2029" s="225"/>
      <c r="H2029" s="201"/>
      <c r="I2029" s="226"/>
      <c r="J2029" s="267"/>
      <c r="K2029" s="267"/>
      <c r="L2029" s="267"/>
      <c r="M2029" s="226"/>
      <c r="N2029" s="226"/>
      <c r="P2029" s="230">
        <f t="shared" si="920"/>
        <v>0</v>
      </c>
    </row>
    <row r="2030" spans="2:16" x14ac:dyDescent="0.2">
      <c r="B2030" s="268" t="s">
        <v>487</v>
      </c>
      <c r="C2030" s="225"/>
      <c r="D2030" s="225"/>
      <c r="E2030" s="225"/>
      <c r="F2030" s="225"/>
      <c r="G2030" s="225"/>
      <c r="H2030" s="201"/>
      <c r="I2030" s="226"/>
      <c r="J2030" s="226" t="s">
        <v>487</v>
      </c>
      <c r="K2030" s="226"/>
      <c r="L2030" s="226"/>
      <c r="M2030" s="226"/>
      <c r="N2030" s="226"/>
      <c r="P2030" s="230">
        <f t="shared" si="920"/>
        <v>0</v>
      </c>
    </row>
    <row r="2031" spans="2:16" x14ac:dyDescent="0.2">
      <c r="B2031" s="225"/>
      <c r="C2031" s="225"/>
      <c r="D2031" s="225"/>
      <c r="E2031" s="225"/>
      <c r="F2031" s="225"/>
      <c r="G2031" s="225"/>
      <c r="H2031" s="201"/>
      <c r="I2031" s="226"/>
      <c r="J2031" s="226"/>
      <c r="K2031" s="226"/>
      <c r="L2031" s="226"/>
      <c r="M2031" s="226"/>
      <c r="N2031" s="226"/>
      <c r="P2031" s="230">
        <f t="shared" si="920"/>
        <v>0</v>
      </c>
    </row>
    <row r="2032" spans="2:16" x14ac:dyDescent="0.2">
      <c r="B2032" s="266"/>
      <c r="C2032" s="266"/>
      <c r="D2032" s="225"/>
      <c r="E2032" s="225"/>
      <c r="F2032" s="225"/>
      <c r="G2032" s="225"/>
      <c r="H2032" s="201"/>
      <c r="I2032" s="226"/>
      <c r="J2032" s="267"/>
      <c r="K2032" s="267"/>
      <c r="L2032" s="267"/>
      <c r="M2032" s="226"/>
      <c r="N2032" s="226"/>
      <c r="P2032" s="230">
        <f t="shared" si="920"/>
        <v>0</v>
      </c>
    </row>
    <row r="2033" spans="1:16" x14ac:dyDescent="0.2">
      <c r="B2033" s="269" t="s">
        <v>488</v>
      </c>
      <c r="C2033" s="225"/>
      <c r="D2033" s="225"/>
      <c r="E2033" s="225"/>
      <c r="F2033" s="225"/>
      <c r="G2033" s="225"/>
      <c r="H2033" s="201"/>
      <c r="I2033" s="226"/>
      <c r="J2033" s="285" t="s">
        <v>488</v>
      </c>
      <c r="K2033" s="285"/>
      <c r="L2033" s="285"/>
      <c r="M2033" s="226"/>
      <c r="N2033" s="226"/>
      <c r="P2033" s="230">
        <f t="shared" si="920"/>
        <v>0</v>
      </c>
    </row>
    <row r="2034" spans="1:16" x14ac:dyDescent="0.2">
      <c r="B2034" s="225"/>
      <c r="C2034" s="225"/>
      <c r="D2034" s="225"/>
      <c r="E2034" s="225"/>
      <c r="F2034" s="225"/>
      <c r="G2034" s="225"/>
      <c r="H2034" s="201"/>
      <c r="I2034" s="226"/>
      <c r="J2034" s="226"/>
      <c r="K2034" s="226"/>
      <c r="L2034" s="226"/>
      <c r="M2034" s="226"/>
      <c r="N2034" s="226"/>
      <c r="P2034" s="230">
        <f t="shared" si="920"/>
        <v>0</v>
      </c>
    </row>
    <row r="2035" spans="1:16" x14ac:dyDescent="0.2">
      <c r="B2035" s="264" t="s">
        <v>489</v>
      </c>
      <c r="C2035" s="225"/>
      <c r="D2035" s="225"/>
      <c r="E2035" s="225"/>
      <c r="F2035" s="225"/>
      <c r="G2035" s="225"/>
      <c r="H2035" s="201"/>
      <c r="I2035" s="226"/>
      <c r="J2035" s="226" t="s">
        <v>489</v>
      </c>
      <c r="K2035" s="226"/>
      <c r="L2035" s="226"/>
      <c r="M2035" s="226"/>
      <c r="N2035" s="226"/>
      <c r="P2035" s="230">
        <f t="shared" si="920"/>
        <v>0</v>
      </c>
    </row>
    <row r="2036" spans="1:16" x14ac:dyDescent="0.2">
      <c r="A2036" s="272"/>
      <c r="B2036" s="225"/>
      <c r="C2036" s="225"/>
      <c r="D2036" s="225"/>
      <c r="E2036" s="225"/>
      <c r="F2036" s="225"/>
      <c r="G2036" s="225"/>
      <c r="H2036" s="201"/>
      <c r="I2036" s="226"/>
      <c r="J2036" s="226"/>
      <c r="K2036" s="226"/>
      <c r="M2036" s="226"/>
      <c r="N2036" s="228"/>
    </row>
    <row r="2037" spans="1:16" x14ac:dyDescent="0.2">
      <c r="A2037" s="260"/>
      <c r="B2037" s="225"/>
      <c r="C2037" s="225"/>
      <c r="D2037" s="225"/>
      <c r="E2037" s="225"/>
      <c r="F2037" s="225"/>
      <c r="G2037" s="225"/>
      <c r="H2037" s="201"/>
      <c r="I2037" s="226"/>
      <c r="J2037" s="226"/>
      <c r="K2037" s="226"/>
      <c r="M2037" s="226"/>
      <c r="N2037" s="228" t="s">
        <v>455</v>
      </c>
      <c r="P2037" s="230">
        <f t="shared" ref="P2037:P2054" si="921">IF(A2037&gt;0,1,0)</f>
        <v>0</v>
      </c>
    </row>
    <row r="2038" spans="1:16" x14ac:dyDescent="0.2">
      <c r="B2038" s="225"/>
      <c r="C2038" s="225"/>
      <c r="D2038" s="225"/>
      <c r="E2038" s="225"/>
      <c r="F2038" s="225"/>
      <c r="G2038" s="225"/>
      <c r="H2038" s="201"/>
      <c r="I2038" s="226"/>
      <c r="J2038" s="226"/>
      <c r="K2038" s="226"/>
      <c r="M2038" s="226"/>
      <c r="N2038" s="228" t="s">
        <v>456</v>
      </c>
      <c r="P2038" s="230">
        <f t="shared" si="921"/>
        <v>0</v>
      </c>
    </row>
    <row r="2039" spans="1:16" x14ac:dyDescent="0.2">
      <c r="B2039" s="225"/>
      <c r="C2039" s="225"/>
      <c r="D2039" s="225"/>
      <c r="E2039" s="225"/>
      <c r="F2039" s="225"/>
      <c r="G2039" s="225"/>
      <c r="H2039" s="201"/>
      <c r="I2039" s="226"/>
      <c r="J2039" s="226"/>
      <c r="K2039" s="226"/>
      <c r="M2039" s="226"/>
      <c r="N2039" s="228" t="s">
        <v>457</v>
      </c>
      <c r="P2039" s="230">
        <f t="shared" si="921"/>
        <v>0</v>
      </c>
    </row>
    <row r="2040" spans="1:16" x14ac:dyDescent="0.2">
      <c r="B2040" s="225"/>
      <c r="C2040" s="225"/>
      <c r="D2040" s="225"/>
      <c r="E2040" s="225"/>
      <c r="F2040" s="225"/>
      <c r="G2040" s="225"/>
      <c r="H2040" s="201"/>
      <c r="I2040" s="226"/>
      <c r="J2040" s="226"/>
      <c r="K2040" s="226"/>
      <c r="L2040" s="226"/>
      <c r="M2040" s="226"/>
      <c r="N2040" s="226"/>
      <c r="P2040" s="230">
        <f t="shared" si="921"/>
        <v>0</v>
      </c>
    </row>
    <row r="2041" spans="1:16" x14ac:dyDescent="0.2">
      <c r="B2041" s="225"/>
      <c r="C2041" s="286" t="s">
        <v>458</v>
      </c>
      <c r="D2041" s="286"/>
      <c r="E2041" s="286"/>
      <c r="F2041" s="286"/>
      <c r="G2041" s="286"/>
      <c r="H2041" s="286"/>
      <c r="I2041" s="286"/>
      <c r="J2041" s="286"/>
      <c r="K2041" s="286"/>
      <c r="L2041" s="286"/>
      <c r="M2041" s="226"/>
      <c r="N2041" s="226"/>
      <c r="P2041" s="230">
        <f t="shared" si="921"/>
        <v>0</v>
      </c>
    </row>
    <row r="2042" spans="1:16" x14ac:dyDescent="0.2">
      <c r="B2042" s="225"/>
      <c r="C2042" s="286" t="s">
        <v>459</v>
      </c>
      <c r="D2042" s="286"/>
      <c r="E2042" s="286"/>
      <c r="F2042" s="286"/>
      <c r="G2042" s="286"/>
      <c r="H2042" s="286"/>
      <c r="I2042" s="286"/>
      <c r="J2042" s="286"/>
      <c r="K2042" s="286"/>
      <c r="L2042" s="286"/>
      <c r="M2042" s="226"/>
      <c r="N2042" s="226"/>
      <c r="P2042" s="230">
        <f t="shared" si="921"/>
        <v>0</v>
      </c>
    </row>
    <row r="2043" spans="1:16" x14ac:dyDescent="0.2">
      <c r="B2043" s="225" t="s">
        <v>460</v>
      </c>
      <c r="C2043" s="234"/>
      <c r="D2043" s="234"/>
      <c r="E2043" s="234"/>
      <c r="F2043" s="234"/>
      <c r="G2043" s="234"/>
      <c r="H2043" s="234"/>
      <c r="I2043" s="235"/>
      <c r="J2043" s="235"/>
      <c r="K2043" s="235"/>
      <c r="L2043" s="287" t="s">
        <v>461</v>
      </c>
      <c r="M2043" s="287"/>
      <c r="N2043" s="287"/>
      <c r="P2043" s="230">
        <f t="shared" si="921"/>
        <v>0</v>
      </c>
    </row>
    <row r="2044" spans="1:16" x14ac:dyDescent="0.2">
      <c r="B2044" s="225"/>
      <c r="C2044" s="234"/>
      <c r="D2044" s="234"/>
      <c r="E2044" s="234"/>
      <c r="F2044" s="234"/>
      <c r="G2044" s="234"/>
      <c r="H2044" s="234"/>
      <c r="I2044" s="235"/>
      <c r="J2044" s="235"/>
      <c r="K2044" s="235"/>
      <c r="L2044" s="235"/>
      <c r="M2044" s="235"/>
      <c r="N2044" s="235"/>
      <c r="P2044" s="230">
        <f t="shared" si="921"/>
        <v>0</v>
      </c>
    </row>
    <row r="2045" spans="1:16" x14ac:dyDescent="0.2">
      <c r="B2045" s="225" t="s">
        <v>2038</v>
      </c>
      <c r="C2045" s="234"/>
      <c r="D2045" s="234"/>
      <c r="E2045" s="234"/>
      <c r="F2045" s="234"/>
      <c r="G2045" s="234"/>
      <c r="H2045" s="234"/>
      <c r="I2045" s="235"/>
      <c r="J2045" s="235"/>
      <c r="K2045" s="235"/>
      <c r="L2045" s="235"/>
      <c r="M2045" s="235"/>
      <c r="N2045" s="235"/>
      <c r="P2045" s="230">
        <f t="shared" si="921"/>
        <v>0</v>
      </c>
    </row>
    <row r="2046" spans="1:16" x14ac:dyDescent="0.2">
      <c r="B2046" s="225" t="s">
        <v>462</v>
      </c>
      <c r="C2046" s="234"/>
      <c r="D2046" s="234"/>
      <c r="E2046" s="234"/>
      <c r="F2046" s="234"/>
      <c r="G2046" s="234"/>
      <c r="H2046" s="234"/>
      <c r="I2046" s="235"/>
      <c r="J2046" s="235"/>
      <c r="K2046" s="235"/>
      <c r="L2046" s="235"/>
      <c r="M2046" s="235"/>
      <c r="N2046" s="235"/>
      <c r="P2046" s="230">
        <f t="shared" si="921"/>
        <v>0</v>
      </c>
    </row>
    <row r="2047" spans="1:16" x14ac:dyDescent="0.2">
      <c r="B2047" s="225" t="s">
        <v>2037</v>
      </c>
      <c r="C2047" s="234"/>
      <c r="D2047" s="234"/>
      <c r="E2047" s="234"/>
      <c r="F2047" s="234"/>
      <c r="G2047" s="234"/>
      <c r="H2047" s="234"/>
      <c r="I2047" s="235"/>
      <c r="J2047" s="235"/>
      <c r="K2047" s="235"/>
      <c r="L2047" s="235"/>
      <c r="M2047" s="235"/>
      <c r="N2047" s="235"/>
      <c r="P2047" s="230">
        <f t="shared" si="921"/>
        <v>0</v>
      </c>
    </row>
    <row r="2048" spans="1:16" x14ac:dyDescent="0.2">
      <c r="B2048" s="225" t="s">
        <v>2052</v>
      </c>
      <c r="C2048" s="234"/>
      <c r="D2048" s="234"/>
      <c r="E2048" s="234"/>
      <c r="F2048" s="234"/>
      <c r="G2048" s="234"/>
      <c r="H2048" s="234"/>
      <c r="I2048" s="235"/>
      <c r="J2048" s="235"/>
      <c r="K2048" s="235"/>
      <c r="L2048" s="235"/>
      <c r="M2048" s="235"/>
      <c r="N2048" s="235"/>
      <c r="P2048" s="230">
        <f t="shared" si="921"/>
        <v>0</v>
      </c>
    </row>
    <row r="2049" spans="1:43" x14ac:dyDescent="0.2">
      <c r="B2049" s="225"/>
      <c r="C2049" s="225"/>
      <c r="D2049" s="225"/>
      <c r="E2049" s="225"/>
      <c r="F2049" s="225"/>
      <c r="G2049" s="225"/>
      <c r="H2049" s="201"/>
      <c r="I2049" s="226"/>
      <c r="J2049" s="226"/>
      <c r="K2049" s="226"/>
      <c r="L2049" s="226"/>
      <c r="M2049" s="226"/>
      <c r="N2049" s="226"/>
      <c r="P2049" s="230">
        <f t="shared" si="921"/>
        <v>0</v>
      </c>
    </row>
    <row r="2050" spans="1:43" x14ac:dyDescent="0.2">
      <c r="B2050" s="288" t="s">
        <v>106</v>
      </c>
      <c r="C2050" s="290" t="s">
        <v>463</v>
      </c>
      <c r="D2050" s="288" t="s">
        <v>464</v>
      </c>
      <c r="E2050" s="288" t="s">
        <v>465</v>
      </c>
      <c r="F2050" s="288" t="s">
        <v>490</v>
      </c>
      <c r="G2050" s="288" t="s">
        <v>466</v>
      </c>
      <c r="H2050" s="292" t="s">
        <v>8</v>
      </c>
      <c r="I2050" s="294" t="s">
        <v>467</v>
      </c>
      <c r="J2050" s="295"/>
      <c r="K2050" s="295"/>
      <c r="L2050" s="296"/>
      <c r="M2050" s="297" t="s">
        <v>468</v>
      </c>
      <c r="N2050" s="299" t="s">
        <v>469</v>
      </c>
      <c r="P2050" s="230">
        <f t="shared" si="921"/>
        <v>0</v>
      </c>
    </row>
    <row r="2051" spans="1:43" x14ac:dyDescent="0.2">
      <c r="B2051" s="289"/>
      <c r="C2051" s="291"/>
      <c r="D2051" s="289"/>
      <c r="E2051" s="289"/>
      <c r="F2051" s="289"/>
      <c r="G2051" s="289"/>
      <c r="H2051" s="293"/>
      <c r="I2051" s="236" t="s">
        <v>470</v>
      </c>
      <c r="J2051" s="236" t="s">
        <v>471</v>
      </c>
      <c r="K2051" s="236" t="s">
        <v>472</v>
      </c>
      <c r="L2051" s="236" t="s">
        <v>473</v>
      </c>
      <c r="M2051" s="298"/>
      <c r="N2051" s="300"/>
      <c r="P2051" s="230">
        <f t="shared" si="921"/>
        <v>0</v>
      </c>
    </row>
    <row r="2052" spans="1:43" x14ac:dyDescent="0.2">
      <c r="A2052" s="224" t="str">
        <f>CONCATENATE("Лот"," ",A2053)</f>
        <v>Лот 38</v>
      </c>
      <c r="B2052" s="273" t="s">
        <v>2087</v>
      </c>
      <c r="C2052" s="274"/>
      <c r="D2052" s="274"/>
      <c r="E2052" s="274"/>
      <c r="F2052" s="274"/>
      <c r="G2052" s="275"/>
      <c r="H2052" s="238" t="s">
        <v>17</v>
      </c>
      <c r="I2052" s="270">
        <f ca="1">ROUND(VLOOKUP($H2052,$AJ$4:$AN$13,2,0)*$Q2054*1.51,2)</f>
        <v>120.15</v>
      </c>
      <c r="J2052" s="270">
        <f ca="1">ROUND(VLOOKUP($H2052,$AJ$4:$AN$13,3,0)*$Q2054*1.51,2)</f>
        <v>85.62</v>
      </c>
      <c r="K2052" s="270">
        <f ca="1">ROUND(VLOOKUP($H2052,$AJ$4:$AN$13,4,0)*$Q2054*1.51,2)</f>
        <v>43.38</v>
      </c>
      <c r="L2052" s="270"/>
      <c r="M2052" s="270">
        <f ca="1">ROUND(VLOOKUP($H2052,$AJ$4:$AN$13,5,0)*$Q2054*1.51,2)</f>
        <v>6.85</v>
      </c>
      <c r="N2052" s="270"/>
      <c r="P2052" s="230">
        <f t="shared" si="921"/>
        <v>1</v>
      </c>
    </row>
    <row r="2053" spans="1:43" x14ac:dyDescent="0.2">
      <c r="A2053" s="224">
        <f>A1998+1</f>
        <v>38</v>
      </c>
      <c r="B2053" s="276"/>
      <c r="C2053" s="277"/>
      <c r="D2053" s="277"/>
      <c r="E2053" s="277"/>
      <c r="F2053" s="277"/>
      <c r="G2053" s="278"/>
      <c r="H2053" s="238" t="s">
        <v>25</v>
      </c>
      <c r="I2053" s="270">
        <f ca="1">ROUND(VLOOKUP($H2053,$AJ$4:$AN$13,2,0)*$Q2054*1.51,2)</f>
        <v>898.69</v>
      </c>
      <c r="J2053" s="270">
        <f ca="1">ROUND(VLOOKUP($H2053,$AJ$4:$AN$13,3,0)*$Q2054*1.51,2)</f>
        <v>642.13</v>
      </c>
      <c r="K2053" s="270">
        <f ca="1">ROUND(VLOOKUP($H2053,$AJ$4:$AN$13,4,0)*$Q2054*1.51,2)</f>
        <v>323.06</v>
      </c>
      <c r="L2053" s="270"/>
      <c r="M2053" s="270">
        <f ca="1">ROUND(VLOOKUP($H2053,$AJ$4:$AN$13,5,0)*$Q2054*1.51,2)</f>
        <v>27.97</v>
      </c>
      <c r="N2053" s="270"/>
      <c r="P2053" s="230">
        <f t="shared" si="921"/>
        <v>1</v>
      </c>
      <c r="Q2053" s="240" t="s">
        <v>2045</v>
      </c>
      <c r="R2053" s="240" t="s">
        <v>2046</v>
      </c>
    </row>
    <row r="2054" spans="1:43" x14ac:dyDescent="0.2">
      <c r="B2054" s="276"/>
      <c r="C2054" s="277"/>
      <c r="D2054" s="277"/>
      <c r="E2054" s="277"/>
      <c r="F2054" s="277"/>
      <c r="G2054" s="278"/>
      <c r="H2054" s="238" t="s">
        <v>19</v>
      </c>
      <c r="I2054" s="270">
        <f ca="1">ROUND(VLOOKUP($H2054,$AJ$4:$AN$13,2,0)*$Q2054*1.51,2)</f>
        <v>71.349999999999994</v>
      </c>
      <c r="J2054" s="270">
        <f ca="1">ROUND(VLOOKUP($H2054,$AJ$4:$AN$13,3,0)*$Q2054*1.51,2)</f>
        <v>51.94</v>
      </c>
      <c r="K2054" s="270">
        <f ca="1">ROUND(VLOOKUP($H2054,$AJ$4:$AN$13,4,0)*$Q2054*1.51,2)</f>
        <v>26.54</v>
      </c>
      <c r="L2054" s="270"/>
      <c r="M2054" s="270">
        <f ca="1">ROUND(VLOOKUP($H2054,$AJ$4:$AN$13,5,0)*$Q2054*1.51,2)</f>
        <v>1.43</v>
      </c>
      <c r="N2054" s="270"/>
      <c r="P2054" s="230">
        <f t="shared" si="921"/>
        <v>0</v>
      </c>
      <c r="Q2054" s="123">
        <f ca="1">IFERROR(IF(R2054="","",IF(OR(R2054&lt;100,R2054=100),0.9,IF(OR(AND(R2054&gt;100,R2054&lt;150),R2054=150),1,IF(R2054&gt;150,1.05,"")))),"0")</f>
        <v>1.05</v>
      </c>
      <c r="R2054" s="123">
        <f ca="1">N2070/G2058</f>
        <v>239.90303030303033</v>
      </c>
    </row>
    <row r="2055" spans="1:43" x14ac:dyDescent="0.2">
      <c r="B2055" s="276"/>
      <c r="C2055" s="277"/>
      <c r="D2055" s="277"/>
      <c r="E2055" s="277"/>
      <c r="F2055" s="277"/>
      <c r="G2055" s="278"/>
      <c r="H2055" s="238" t="s">
        <v>268</v>
      </c>
      <c r="I2055" s="270">
        <f ca="1">ROUND(VLOOKUP($H2055,$AJ$4:$AN$13,2,0)*$Q2054*1.51,2)</f>
        <v>898.69</v>
      </c>
      <c r="J2055" s="270">
        <f ca="1">ROUND(VLOOKUP($H2055,$AJ$4:$AN$13,3,0)*$Q2054*1.51,2)</f>
        <v>642.13</v>
      </c>
      <c r="K2055" s="270">
        <f ca="1">ROUND(VLOOKUP($H2055,$AJ$4:$AN$13,4,0)*$Q2054*1.51,2)</f>
        <v>323.06</v>
      </c>
      <c r="L2055" s="270"/>
      <c r="M2055" s="270">
        <f ca="1">ROUND(VLOOKUP($H2055,$AJ$4:$AN$13,5,0)*$Q2054*1.51,2)</f>
        <v>27.97</v>
      </c>
      <c r="N2055" s="270"/>
    </row>
    <row r="2056" spans="1:43" x14ac:dyDescent="0.2">
      <c r="B2056" s="276"/>
      <c r="C2056" s="277"/>
      <c r="D2056" s="277"/>
      <c r="E2056" s="277"/>
      <c r="F2056" s="277"/>
      <c r="G2056" s="278"/>
      <c r="H2056" s="238" t="s">
        <v>40</v>
      </c>
      <c r="I2056" s="270">
        <f ca="1">ROUND(VLOOKUP($H2056,$AJ$4:$AN$13,2,0)*$Q2054*1.51,2)</f>
        <v>71.349999999999994</v>
      </c>
      <c r="J2056" s="270">
        <f ca="1">ROUND(VLOOKUP($H2056,$AJ$4:$AN$13,3,0)*$Q2054*1.51,2)</f>
        <v>51.94</v>
      </c>
      <c r="K2056" s="270">
        <f ca="1">ROUND(VLOOKUP($H2056,$AJ$4:$AN$13,4,0)*$Q2054*1.51,2)</f>
        <v>26.54</v>
      </c>
      <c r="L2056" s="270"/>
      <c r="M2056" s="270">
        <f ca="1">ROUND(VLOOKUP($H2056,$AJ$4:$AN$13,5,0)*$Q2054*1.51,2)</f>
        <v>1.43</v>
      </c>
      <c r="N2056" s="270"/>
      <c r="P2056" s="230">
        <f t="shared" ref="P2056:P2069" si="922">IF(A2056&gt;0,1,0)</f>
        <v>0</v>
      </c>
    </row>
    <row r="2057" spans="1:43" x14ac:dyDescent="0.2">
      <c r="B2057" s="279"/>
      <c r="C2057" s="280"/>
      <c r="D2057" s="280"/>
      <c r="E2057" s="280"/>
      <c r="F2057" s="280"/>
      <c r="G2057" s="281"/>
      <c r="H2057" s="238" t="s">
        <v>18</v>
      </c>
      <c r="I2057" s="270">
        <f ca="1">ROUND(VLOOKUP($H2057,$AJ$4:$AN$13,2,0)*$Q2054*1.51,2)</f>
        <v>22.83</v>
      </c>
      <c r="J2057" s="270">
        <f ca="1">ROUND(VLOOKUP($H2057,$AJ$4:$AN$13,3,0)*$Q2054*1.51,2)</f>
        <v>17.41</v>
      </c>
      <c r="K2057" s="270">
        <f ca="1">ROUND(VLOOKUP($H2057,$AJ$4:$AN$13,4,0)*$Q2054*1.51,2)</f>
        <v>8.85</v>
      </c>
      <c r="L2057" s="270"/>
      <c r="M2057" s="270">
        <f ca="1">ROUND(VLOOKUP($H2057,$AJ$4:$AN$13,5,0)*$Q2054*1.51*1,2)</f>
        <v>0.56999999999999995</v>
      </c>
      <c r="N2057" s="270"/>
      <c r="P2057" s="230">
        <f t="shared" si="922"/>
        <v>0</v>
      </c>
      <c r="AP2057" s="241" t="s">
        <v>2053</v>
      </c>
      <c r="AQ2057" s="242"/>
    </row>
    <row r="2058" spans="1:43" x14ac:dyDescent="0.2">
      <c r="A2058" s="224">
        <f>A2003+37</f>
        <v>1369</v>
      </c>
      <c r="B2058" s="243" t="str">
        <f ca="1">OFFSET(ЛОТЫ!$L$5,A2058,0,1,1)</f>
        <v>Тимерликовское</v>
      </c>
      <c r="C2058" s="244" t="s">
        <v>474</v>
      </c>
      <c r="D2058" s="243">
        <f ca="1">OFFSET(ЛОТЫ!$M$5,A2058,0,1,1)</f>
        <v>16</v>
      </c>
      <c r="E2058" s="243">
        <f ca="1">OFFSET(ЛОТЫ!$N$5,A2058,0,1,1)</f>
        <v>9</v>
      </c>
      <c r="F2058" s="243">
        <f ca="1">OFFSET(ЛОТЫ!$O$5,A2058,0,1,1)</f>
        <v>3</v>
      </c>
      <c r="G2058" s="271">
        <f ca="1">IFERROR(INDEX('Ведомость расчета мин. платы'!$G$10:$AC$214,MATCH(CONCATENATE(B2058,"/",D2058,"/",E2058,"/",F2058),'Ведомость расчета мин. платы'!$AC$10:$AC$214,0),1),"")</f>
        <v>3.3</v>
      </c>
      <c r="H2058" s="246" t="s">
        <v>17</v>
      </c>
      <c r="I2058" s="247">
        <f ca="1">IFERROR(INDEX('Ведомость расчета мин. платы'!$J$10:$AE$214,MATCH(CONCATENATE(РАСЧЕТ!B2058,"/",РАСЧЕТ!D2058,"/",РАСЧЕТ!E2058,"/",F2058,"/",H2058),'Ведомость расчета мин. платы'!$AE$10:$AE$214,0),2),"")</f>
        <v>8.1</v>
      </c>
      <c r="J2058" s="247">
        <f ca="1">IFERROR(INDEX('Ведомость расчета мин. платы'!$J$10:$AE$214,MATCH(CONCATENATE(РАСЧЕТ!B2058,"/",РАСЧЕТ!D2058,"/",РАСЧЕТ!E2058,"/",F2058,"/",H2058),'Ведомость расчета мин. платы'!$AE$10:$AE$214,0),3),"")</f>
        <v>35.880000000000003</v>
      </c>
      <c r="K2058" s="247">
        <f ca="1">IFERROR(INDEX('Ведомость расчета мин. платы'!$J$10:$AE$214,MATCH(CONCATENATE(РАСЧЕТ!B2058,"/",РАСЧЕТ!D2058,"/",РАСЧЕТ!E2058,"/",F2058,"/",H2058),'Ведомость расчета мин. платы'!$AE$10:$AE$214,0),4),"")</f>
        <v>9.5399999999999991</v>
      </c>
      <c r="L2058" s="248">
        <f t="shared" ref="L2058:L2070" ca="1" si="923">IFERROR(SUM(I2058:K2058),"")</f>
        <v>53.52</v>
      </c>
      <c r="M2058" s="214">
        <f ca="1">IFERROR(INDEX('Ведомость расчета мин. платы'!$J$10:$AE$214,MATCH(CONCATENATE(РАСЧЕТ!B2058,"/",РАСЧЕТ!D2058,"/",РАСЧЕТ!E2058,"/",F2058,"/",H2058),'Ведомость расчета мин. платы'!$AE$10:$AE$214,0),6),"")</f>
        <v>32.4</v>
      </c>
      <c r="N2058" s="214">
        <f t="shared" ref="N2058:N2070" ca="1" si="924">IFERROR(SUM(L2058:M2058),"")</f>
        <v>85.92</v>
      </c>
      <c r="O2058" s="229">
        <f>IF(H2058="стоимость","",1)</f>
        <v>1</v>
      </c>
      <c r="P2058" s="230">
        <f t="shared" si="922"/>
        <v>1</v>
      </c>
      <c r="AP2058" s="242"/>
      <c r="AQ2058" s="242"/>
    </row>
    <row r="2059" spans="1:43" x14ac:dyDescent="0.2">
      <c r="B2059" s="249"/>
      <c r="C2059" s="249"/>
      <c r="D2059" s="249"/>
      <c r="E2059" s="249"/>
      <c r="F2059" s="249"/>
      <c r="G2059" s="249"/>
      <c r="H2059" s="250" t="s">
        <v>475</v>
      </c>
      <c r="I2059" s="251">
        <f ca="1">IFERROR(ROUND(I2058*I2052,2),"")</f>
        <v>973.22</v>
      </c>
      <c r="J2059" s="251">
        <f t="shared" ref="J2059" ca="1" si="925">IFERROR(ROUND(J2058*J2052,2),"")</f>
        <v>3072.05</v>
      </c>
      <c r="K2059" s="251">
        <f t="shared" ref="K2059" ca="1" si="926">IFERROR(ROUND(K2058*K2052,2),"")</f>
        <v>413.85</v>
      </c>
      <c r="L2059" s="251">
        <f t="shared" ca="1" si="923"/>
        <v>4459.1200000000008</v>
      </c>
      <c r="M2059" s="251">
        <f t="shared" ref="M2059" ca="1" si="927">IFERROR(ROUND(M2058*M2052,2),"")</f>
        <v>221.94</v>
      </c>
      <c r="N2059" s="252">
        <f t="shared" ca="1" si="924"/>
        <v>4681.0600000000004</v>
      </c>
      <c r="O2059" s="229" t="str">
        <f t="shared" ref="O2059:O2069" si="928">IF(H2059="стоимость","",1)</f>
        <v/>
      </c>
      <c r="P2059" s="230">
        <f t="shared" si="922"/>
        <v>0</v>
      </c>
      <c r="AP2059" s="242">
        <f ca="1">SUMIFS('Ведомость расчета мин. платы'!$S$10:$S$209,'Ведомость расчета мин. платы'!$AE$10:$AE$209,CONCATENATE(B2058,"/",D2058,"/",E2058,"/",F2058,"/",H2058))</f>
        <v>4681.0600000000004</v>
      </c>
      <c r="AQ2059" s="253">
        <f t="shared" ref="AQ2059" ca="1" si="929">AP2059-N2059</f>
        <v>0</v>
      </c>
    </row>
    <row r="2060" spans="1:43" x14ac:dyDescent="0.2">
      <c r="B2060" s="249"/>
      <c r="C2060" s="249"/>
      <c r="D2060" s="249"/>
      <c r="E2060" s="249"/>
      <c r="F2060" s="249"/>
      <c r="G2060" s="249"/>
      <c r="H2060" s="246" t="s">
        <v>25</v>
      </c>
      <c r="I2060" s="247" t="str">
        <f ca="1">IFERROR(INDEX('Ведомость расчета мин. платы'!$J$10:$AE$214,MATCH(CONCATENATE(РАСЧЕТ!B2058,"/",РАСЧЕТ!D2058,"/",РАСЧЕТ!E2058,"/",F2058,"/",H2060),'Ведомость расчета мин. платы'!$AE$10:$AE$214,0),2),"")</f>
        <v/>
      </c>
      <c r="J2060" s="247" t="str">
        <f ca="1">IFERROR(INDEX('Ведомость расчета мин. платы'!$J$10:$AE$214,MATCH(CONCATENATE(РАСЧЕТ!B2058,"/",РАСЧЕТ!D2058,"/",РАСЧЕТ!E2058,"/",F2058,"/",H2060),'Ведомость расчета мин. платы'!$AE$10:$AE$214,0),3),"")</f>
        <v/>
      </c>
      <c r="K2060" s="247" t="str">
        <f ca="1">IFERROR(INDEX('Ведомость расчета мин. платы'!$J$10:$AE$214,MATCH(CONCATENATE(РАСЧЕТ!B2058,"/",РАСЧЕТ!D2058,"/",РАСЧЕТ!E2058,"/",F2058,"/",H2060),'Ведомость расчета мин. платы'!$AE$10:$AE$214,0),4),"")</f>
        <v/>
      </c>
      <c r="L2060" s="248">
        <f t="shared" ca="1" si="923"/>
        <v>0</v>
      </c>
      <c r="M2060" s="214" t="str">
        <f ca="1">IFERROR(INDEX('Ведомость расчета мин. платы'!$J$10:$AE$214,MATCH(CONCATENATE(РАСЧЕТ!B2058,"/",РАСЧЕТ!D2058,"/",РАСЧЕТ!E2058,"/",F2058,"/",H2060),'Ведомость расчета мин. платы'!$AE$10:$AE$214,0),6),"")</f>
        <v/>
      </c>
      <c r="N2060" s="214">
        <f t="shared" ca="1" si="924"/>
        <v>0</v>
      </c>
      <c r="O2060" s="229">
        <f t="shared" si="928"/>
        <v>1</v>
      </c>
      <c r="P2060" s="230">
        <f t="shared" si="922"/>
        <v>0</v>
      </c>
      <c r="AP2060" s="242"/>
      <c r="AQ2060" s="253"/>
    </row>
    <row r="2061" spans="1:43" x14ac:dyDescent="0.2">
      <c r="B2061" s="249"/>
      <c r="C2061" s="249"/>
      <c r="D2061" s="249"/>
      <c r="E2061" s="249"/>
      <c r="F2061" s="249"/>
      <c r="G2061" s="249"/>
      <c r="H2061" s="250" t="s">
        <v>475</v>
      </c>
      <c r="I2061" s="251" t="str">
        <f ca="1">IFERROR(ROUND(I2060*I2053,2),"")</f>
        <v/>
      </c>
      <c r="J2061" s="251" t="str">
        <f t="shared" ref="J2061" ca="1" si="930">IFERROR(ROUND(J2060*J2053,2),"")</f>
        <v/>
      </c>
      <c r="K2061" s="251" t="str">
        <f t="shared" ref="K2061" ca="1" si="931">IFERROR(ROUND(K2060*K2053,2),"")</f>
        <v/>
      </c>
      <c r="L2061" s="251">
        <f t="shared" ca="1" si="923"/>
        <v>0</v>
      </c>
      <c r="M2061" s="251" t="str">
        <f t="shared" ref="M2061" ca="1" si="932">IFERROR(ROUND(M2060*M2053,2),"")</f>
        <v/>
      </c>
      <c r="N2061" s="252">
        <f t="shared" ca="1" si="924"/>
        <v>0</v>
      </c>
      <c r="O2061" s="229" t="str">
        <f t="shared" si="928"/>
        <v/>
      </c>
      <c r="P2061" s="230">
        <f t="shared" si="922"/>
        <v>0</v>
      </c>
      <c r="AP2061" s="242">
        <f ca="1">SUMIFS('Ведомость расчета мин. платы'!$S$10:$S$209,'Ведомость расчета мин. платы'!$AE$10:$AE$209,CONCATENATE(B2058,"/",D2058,"/",E2058,"/",F2058,"/",H2060))</f>
        <v>0</v>
      </c>
      <c r="AQ2061" s="253">
        <f t="shared" ref="AQ2061" ca="1" si="933">AP2061-N2061</f>
        <v>0</v>
      </c>
    </row>
    <row r="2062" spans="1:43" x14ac:dyDescent="0.2">
      <c r="B2062" s="249"/>
      <c r="C2062" s="249"/>
      <c r="D2062" s="249"/>
      <c r="E2062" s="249"/>
      <c r="F2062" s="249"/>
      <c r="G2062" s="249"/>
      <c r="H2062" s="205" t="s">
        <v>19</v>
      </c>
      <c r="I2062" s="248" t="str">
        <f ca="1">IFERROR(INDEX('Ведомость расчета мин. платы'!$J$10:$AE$214,MATCH(CONCATENATE(РАСЧЕТ!B2058,"/",РАСЧЕТ!D2058,"/",РАСЧЕТ!E2058,"/",F2058,"/",H2062),'Ведомость расчета мин. платы'!$AE$10:$AE$214,0),2),"")</f>
        <v/>
      </c>
      <c r="J2062" s="248" t="str">
        <f ca="1">IFERROR(INDEX('Ведомость расчета мин. платы'!$J$10:$AE$214,MATCH(CONCATENATE(РАСЧЕТ!B2058,"/",РАСЧЕТ!D2058,"/",РАСЧЕТ!E2058,"/",F2058,"/",H2062),'Ведомость расчета мин. платы'!$AE$10:$AE$214,0),3),"")</f>
        <v/>
      </c>
      <c r="K2062" s="248" t="str">
        <f ca="1">IFERROR(INDEX('Ведомость расчета мин. платы'!$J$10:$AE$214,MATCH(CONCATENATE(РАСЧЕТ!B2058,"/",РАСЧЕТ!D2058,"/",РАСЧЕТ!E2058,"/",F2058,"/",H2062),'Ведомость расчета мин. платы'!$AE$10:$AE$214,0),4),"")</f>
        <v/>
      </c>
      <c r="L2062" s="248">
        <f t="shared" ca="1" si="923"/>
        <v>0</v>
      </c>
      <c r="M2062" s="248" t="str">
        <f ca="1">IFERROR(INDEX('Ведомость расчета мин. платы'!$J$10:$AE$214,MATCH(CONCATENATE(РАСЧЕТ!B2058,"/",РАСЧЕТ!D2058,"/",РАСЧЕТ!E2058,"/",F2058,"/",H2062),'Ведомость расчета мин. платы'!$AE$10:$AE$214,0),6),"")</f>
        <v/>
      </c>
      <c r="N2062" s="214">
        <f t="shared" ca="1" si="924"/>
        <v>0</v>
      </c>
      <c r="O2062" s="229">
        <f t="shared" si="928"/>
        <v>1</v>
      </c>
      <c r="P2062" s="230">
        <f t="shared" si="922"/>
        <v>0</v>
      </c>
      <c r="AP2062" s="242"/>
      <c r="AQ2062" s="253"/>
    </row>
    <row r="2063" spans="1:43" x14ac:dyDescent="0.2">
      <c r="B2063" s="249"/>
      <c r="C2063" s="249"/>
      <c r="D2063" s="249"/>
      <c r="E2063" s="249"/>
      <c r="F2063" s="249"/>
      <c r="G2063" s="249"/>
      <c r="H2063" s="250" t="s">
        <v>475</v>
      </c>
      <c r="I2063" s="251" t="str">
        <f ca="1">IFERROR(ROUND(I2062*I2054,2),"")</f>
        <v/>
      </c>
      <c r="J2063" s="251" t="str">
        <f t="shared" ref="J2063" ca="1" si="934">IFERROR(ROUND(J2062*J2054,2),"")</f>
        <v/>
      </c>
      <c r="K2063" s="251" t="str">
        <f t="shared" ref="K2063" ca="1" si="935">IFERROR(ROUND(K2062*K2054,2),"")</f>
        <v/>
      </c>
      <c r="L2063" s="251">
        <f t="shared" ca="1" si="923"/>
        <v>0</v>
      </c>
      <c r="M2063" s="251" t="str">
        <f t="shared" ref="M2063" ca="1" si="936">IFERROR(ROUND(M2062*M2054,2),"")</f>
        <v/>
      </c>
      <c r="N2063" s="252">
        <f t="shared" ca="1" si="924"/>
        <v>0</v>
      </c>
      <c r="O2063" s="229" t="str">
        <f t="shared" si="928"/>
        <v/>
      </c>
      <c r="P2063" s="230">
        <f t="shared" si="922"/>
        <v>0</v>
      </c>
      <c r="AP2063" s="242">
        <f ca="1">SUMIFS('Ведомость расчета мин. платы'!$S$10:$S$209,'Ведомость расчета мин. платы'!$AE$10:$AE$209,CONCATENATE(B2058,"/",D2058,"/",E2058,"/",F2058,"/",H2062))</f>
        <v>0</v>
      </c>
      <c r="AQ2063" s="253">
        <f t="shared" ref="AQ2063" ca="1" si="937">AP2063-N2063</f>
        <v>0</v>
      </c>
    </row>
    <row r="2064" spans="1:43" x14ac:dyDescent="0.2">
      <c r="B2064" s="249"/>
      <c r="C2064" s="249"/>
      <c r="D2064" s="249"/>
      <c r="E2064" s="249"/>
      <c r="F2064" s="249"/>
      <c r="G2064" s="249"/>
      <c r="H2064" s="205" t="s">
        <v>268</v>
      </c>
      <c r="I2064" s="248" t="str">
        <f ca="1">IFERROR(INDEX('Ведомость расчета мин. платы'!$J$10:$AE$214,MATCH(CONCATENATE(РАСЧЕТ!B2058,"/",РАСЧЕТ!D2058,"/",РАСЧЕТ!E2058,"/",F2058,"/",H2064),'Ведомость расчета мин. платы'!$AE$10:$AE$214,0),2),"")</f>
        <v/>
      </c>
      <c r="J2064" s="248" t="str">
        <f ca="1">IFERROR(INDEX('Ведомость расчета мин. платы'!$J$10:$AE$214,MATCH(CONCATENATE(РАСЧЕТ!B2058,"/",РАСЧЕТ!D2058,"/",РАСЧЕТ!E2058,"/",F2058,"/",H2064),'Ведомость расчета мин. платы'!$AE$10:$AE$214,0),3),"")</f>
        <v/>
      </c>
      <c r="K2064" s="248" t="str">
        <f ca="1">IFERROR(INDEX('Ведомость расчета мин. платы'!$J$10:$AE$214,MATCH(CONCATENATE(РАСЧЕТ!B2058,"/",РАСЧЕТ!D2058,"/",РАСЧЕТ!E2058,"/",F2058,"/",H2064),'Ведомость расчета мин. платы'!$AE$10:$AE$214,0),4),"")</f>
        <v/>
      </c>
      <c r="L2064" s="248">
        <f t="shared" ca="1" si="923"/>
        <v>0</v>
      </c>
      <c r="M2064" s="248" t="str">
        <f ca="1">IFERROR(INDEX('Ведомость расчета мин. платы'!$J$10:$AE$214,MATCH(CONCATENATE(РАСЧЕТ!B2058,"/",РАСЧЕТ!D2058,"/",РАСЧЕТ!E2058,"/",F2058,"/",H2064),'Ведомость расчета мин. платы'!$AE$10:$AE$214,0),6),"")</f>
        <v/>
      </c>
      <c r="N2064" s="214">
        <f t="shared" ca="1" si="924"/>
        <v>0</v>
      </c>
      <c r="O2064" s="229">
        <f t="shared" si="928"/>
        <v>1</v>
      </c>
      <c r="P2064" s="230">
        <f t="shared" si="922"/>
        <v>0</v>
      </c>
      <c r="AP2064" s="242"/>
      <c r="AQ2064" s="253"/>
    </row>
    <row r="2065" spans="2:43" x14ac:dyDescent="0.2">
      <c r="B2065" s="249"/>
      <c r="C2065" s="249"/>
      <c r="D2065" s="249"/>
      <c r="E2065" s="249"/>
      <c r="F2065" s="249"/>
      <c r="G2065" s="249"/>
      <c r="H2065" s="250" t="s">
        <v>475</v>
      </c>
      <c r="I2065" s="251" t="str">
        <f ca="1">IFERROR(ROUND(I2064*I2057,2),"")</f>
        <v/>
      </c>
      <c r="J2065" s="251" t="str">
        <f ca="1">IFERROR(ROUND(J2064*J2055,2),"")</f>
        <v/>
      </c>
      <c r="K2065" s="251" t="str">
        <f ca="1">IFERROR(ROUND(K2064*K2055,2),"")</f>
        <v/>
      </c>
      <c r="L2065" s="251">
        <f t="shared" ca="1" si="923"/>
        <v>0</v>
      </c>
      <c r="M2065" s="251" t="str">
        <f ca="1">IFERROR(ROUND(M2064*M2055,2),"")</f>
        <v/>
      </c>
      <c r="N2065" s="252">
        <f t="shared" ca="1" si="924"/>
        <v>0</v>
      </c>
      <c r="O2065" s="229" t="str">
        <f t="shared" si="928"/>
        <v/>
      </c>
      <c r="P2065" s="230">
        <f t="shared" si="922"/>
        <v>0</v>
      </c>
      <c r="AP2065" s="242">
        <f ca="1">SUMIFS('Ведомость расчета мин. платы'!$S$10:$S$209,'Ведомость расчета мин. платы'!$AE$10:$AE$209,CONCATENATE(B2058,"/",D2058,"/",E2058,"/",F2058,"/",H2064))</f>
        <v>0</v>
      </c>
      <c r="AQ2065" s="253">
        <f t="shared" ref="AQ2065" ca="1" si="938">AP2065-N2065</f>
        <v>0</v>
      </c>
    </row>
    <row r="2066" spans="2:43" x14ac:dyDescent="0.2">
      <c r="B2066" s="249"/>
      <c r="C2066" s="249"/>
      <c r="D2066" s="249"/>
      <c r="E2066" s="249"/>
      <c r="F2066" s="249"/>
      <c r="G2066" s="249"/>
      <c r="H2066" s="205" t="s">
        <v>40</v>
      </c>
      <c r="I2066" s="248" t="str">
        <f ca="1">IFERROR(INDEX('Ведомость расчета мин. платы'!$J$10:$AE$214,MATCH(CONCATENATE(РАСЧЕТ!B2058,"/",РАСЧЕТ!D2058,"/",РАСЧЕТ!E2058,"/",F2058,"/",H2066),'Ведомость расчета мин. платы'!$AE$10:$AE$214,0),2),"")</f>
        <v/>
      </c>
      <c r="J2066" s="248" t="str">
        <f ca="1">IFERROR(INDEX('Ведомость расчета мин. платы'!$J$10:$AE$214,MATCH(CONCATENATE(РАСЧЕТ!B2058,"/",РАСЧЕТ!D2058,"/",РАСЧЕТ!E2058,"/",F2058,"/",H2066),'Ведомость расчета мин. платы'!$AE$10:$AE$214,0),3),"")</f>
        <v/>
      </c>
      <c r="K2066" s="248" t="str">
        <f ca="1">IFERROR(INDEX('Ведомость расчета мин. платы'!$J$10:$AE$214,MATCH(CONCATENATE(РАСЧЕТ!B2058,"/",РАСЧЕТ!D2058,"/",РАСЧЕТ!E2058,"/",F2058,"/",H2066),'Ведомость расчета мин. платы'!$AE$10:$AE$214,0),4),"")</f>
        <v/>
      </c>
      <c r="L2066" s="248">
        <f t="shared" ca="1" si="923"/>
        <v>0</v>
      </c>
      <c r="M2066" s="248" t="str">
        <f ca="1">IFERROR(INDEX('Ведомость расчета мин. платы'!$J$10:$AE$214,MATCH(CONCATENATE(РАСЧЕТ!B2058,"/",РАСЧЕТ!D2058,"/",РАСЧЕТ!E2058,"/",F2058,"/",H2066),'Ведомость расчета мин. платы'!$AE$10:$AE$214,0),6),"")</f>
        <v/>
      </c>
      <c r="N2066" s="214">
        <f t="shared" ca="1" si="924"/>
        <v>0</v>
      </c>
      <c r="O2066" s="229">
        <f t="shared" si="928"/>
        <v>1</v>
      </c>
      <c r="P2066" s="230">
        <f t="shared" si="922"/>
        <v>0</v>
      </c>
      <c r="AP2066" s="242"/>
      <c r="AQ2066" s="253"/>
    </row>
    <row r="2067" spans="2:43" x14ac:dyDescent="0.2">
      <c r="B2067" s="249"/>
      <c r="C2067" s="249"/>
      <c r="D2067" s="249"/>
      <c r="E2067" s="249"/>
      <c r="F2067" s="249"/>
      <c r="G2067" s="249"/>
      <c r="H2067" s="250" t="s">
        <v>475</v>
      </c>
      <c r="I2067" s="251" t="str">
        <f ca="1">IFERROR(ROUND(I2066*I2056,2),"")</f>
        <v/>
      </c>
      <c r="J2067" s="251" t="str">
        <f t="shared" ref="J2067" ca="1" si="939">IFERROR(ROUND(J2066*J2056,2),"")</f>
        <v/>
      </c>
      <c r="K2067" s="251" t="str">
        <f t="shared" ref="K2067" ca="1" si="940">IFERROR(ROUND(K2066*K2056,2),"")</f>
        <v/>
      </c>
      <c r="L2067" s="251">
        <f t="shared" ca="1" si="923"/>
        <v>0</v>
      </c>
      <c r="M2067" s="251" t="str">
        <f t="shared" ref="M2067" ca="1" si="941">IFERROR(ROUND(M2066*M2056,2),"")</f>
        <v/>
      </c>
      <c r="N2067" s="252">
        <f t="shared" ca="1" si="924"/>
        <v>0</v>
      </c>
      <c r="O2067" s="229" t="str">
        <f t="shared" si="928"/>
        <v/>
      </c>
      <c r="P2067" s="230">
        <f t="shared" si="922"/>
        <v>0</v>
      </c>
      <c r="AP2067" s="242">
        <f ca="1">SUMIFS('Ведомость расчета мин. платы'!$S$10:$S$209,'Ведомость расчета мин. платы'!$AE$10:$AE$209,CONCATENATE(B2058,"/",D2058,"/",E2058,"/",F2058,"/",H2066))</f>
        <v>0</v>
      </c>
      <c r="AQ2067" s="253">
        <f t="shared" ref="AQ2067" ca="1" si="942">AP2067-N2067</f>
        <v>0</v>
      </c>
    </row>
    <row r="2068" spans="2:43" x14ac:dyDescent="0.2">
      <c r="B2068" s="249"/>
      <c r="C2068" s="249"/>
      <c r="D2068" s="249"/>
      <c r="E2068" s="249"/>
      <c r="F2068" s="249"/>
      <c r="G2068" s="249"/>
      <c r="H2068" s="205" t="s">
        <v>18</v>
      </c>
      <c r="I2068" s="248">
        <f ca="1">IFERROR(INDEX('Ведомость расчета мин. платы'!$J$10:$AE$214,MATCH(CONCATENATE(РАСЧЕТ!B2058,"/",РАСЧЕТ!D2058,"/",РАСЧЕТ!E2058,"/",F2058,"/",H2068),'Ведомость расчета мин. платы'!$AE$10:$AE$214,0),2),"")</f>
        <v>241.44</v>
      </c>
      <c r="J2068" s="248">
        <f ca="1">IFERROR(INDEX('Ведомость расчета мин. платы'!$J$10:$AE$214,MATCH(CONCATENATE(РАСЧЕТ!B2058,"/",РАСЧЕТ!D2058,"/",РАСЧЕТ!E2058,"/",F2058,"/",H2068),'Ведомость расчета мин. платы'!$AE$10:$AE$214,0),3),"")</f>
        <v>230.6</v>
      </c>
      <c r="K2068" s="248">
        <f ca="1">IFERROR(INDEX('Ведомость расчета мин. платы'!$J$10:$AE$214,MATCH(CONCATENATE(РАСЧЕТ!B2058,"/",РАСЧЕТ!D2058,"/",РАСЧЕТ!E2058,"/",F2058,"/",H2068),'Ведомость расчета мин. платы'!$AE$10:$AE$214,0),4),"")</f>
        <v>14.04</v>
      </c>
      <c r="L2068" s="248">
        <f t="shared" ca="1" si="923"/>
        <v>486.08</v>
      </c>
      <c r="M2068" s="248">
        <f ca="1">IFERROR(INDEX('Ведомость расчета мин. платы'!$J$10:$AE$214,MATCH(CONCATENATE(РАСЧЕТ!B2058,"/",РАСЧЕТ!D2058,"/",РАСЧЕТ!E2058,"/",F2058,"/",H2068),'Ведомость расчета мин. платы'!$AE$10:$AE$214,0),6),"")</f>
        <v>219.68</v>
      </c>
      <c r="N2068" s="214">
        <f t="shared" ca="1" si="924"/>
        <v>705.76</v>
      </c>
      <c r="O2068" s="229">
        <f t="shared" si="928"/>
        <v>1</v>
      </c>
      <c r="P2068" s="230">
        <f t="shared" si="922"/>
        <v>0</v>
      </c>
      <c r="AP2068" s="242"/>
      <c r="AQ2068" s="253"/>
    </row>
    <row r="2069" spans="2:43" x14ac:dyDescent="0.2">
      <c r="B2069" s="249"/>
      <c r="C2069" s="249"/>
      <c r="D2069" s="249"/>
      <c r="E2069" s="249"/>
      <c r="F2069" s="249"/>
      <c r="G2069" s="249"/>
      <c r="H2069" s="250" t="s">
        <v>475</v>
      </c>
      <c r="I2069" s="251">
        <f ca="1">IFERROR(ROUND(I2068*I2057,2),"")</f>
        <v>5512.08</v>
      </c>
      <c r="J2069" s="251">
        <f t="shared" ref="J2069" ca="1" si="943">IFERROR(ROUND(J2068*J2057,2),"")</f>
        <v>4014.75</v>
      </c>
      <c r="K2069" s="251">
        <f t="shared" ref="K2069" ca="1" si="944">IFERROR(ROUND(K2068*K2057,2),"")</f>
        <v>124.25</v>
      </c>
      <c r="L2069" s="251">
        <f t="shared" ca="1" si="923"/>
        <v>9651.08</v>
      </c>
      <c r="M2069" s="251">
        <v>125.23000000000022</v>
      </c>
      <c r="N2069" s="252">
        <f t="shared" ca="1" si="924"/>
        <v>9776.31</v>
      </c>
      <c r="O2069" s="229" t="str">
        <f t="shared" si="928"/>
        <v/>
      </c>
      <c r="P2069" s="230">
        <f t="shared" si="922"/>
        <v>0</v>
      </c>
      <c r="AP2069" s="242">
        <f ca="1">SUMIFS('Ведомость расчета мин. платы'!$S$10:$S$209,'Ведомость расчета мин. платы'!$AE$10:$AE$209,CONCATENATE(B2058,"/",D2058,"/",E2058,"/",F2058,"/",H2068))</f>
        <v>9776.31</v>
      </c>
      <c r="AQ2069" s="253">
        <f t="shared" ref="AQ2069" ca="1" si="945">AP2069-N2069</f>
        <v>0</v>
      </c>
    </row>
    <row r="2070" spans="2:43" x14ac:dyDescent="0.2">
      <c r="B2070" s="249"/>
      <c r="C2070" s="249"/>
      <c r="D2070" s="249"/>
      <c r="E2070" s="249"/>
      <c r="F2070" s="249"/>
      <c r="G2070" s="249"/>
      <c r="H2070" s="254" t="s">
        <v>476</v>
      </c>
      <c r="I2070" s="251">
        <f ca="1">SUMIF($O2058:$O2071,1,I2058:I2069)</f>
        <v>249.54</v>
      </c>
      <c r="J2070" s="251">
        <f ca="1">SUMIF($O2058:$O2071,1,J2058:J2069)</f>
        <v>266.48</v>
      </c>
      <c r="K2070" s="251">
        <f ca="1">SUMIF($O2058:$O2071,1,K2058:K2069)</f>
        <v>23.58</v>
      </c>
      <c r="L2070" s="251">
        <f t="shared" ca="1" si="923"/>
        <v>539.6</v>
      </c>
      <c r="M2070" s="251">
        <f ca="1">SUMIF($O2058:$O2071,1,M2058:M2069)</f>
        <v>252.08</v>
      </c>
      <c r="N2070" s="252">
        <f t="shared" ca="1" si="924"/>
        <v>791.68000000000006</v>
      </c>
      <c r="AP2070" s="242"/>
      <c r="AQ2070" s="253"/>
    </row>
    <row r="2071" spans="2:43" x14ac:dyDescent="0.2">
      <c r="B2071" s="249"/>
      <c r="C2071" s="249"/>
      <c r="D2071" s="249"/>
      <c r="E2071" s="249"/>
      <c r="F2071" s="249"/>
      <c r="G2071" s="249"/>
      <c r="H2071" s="254" t="s">
        <v>491</v>
      </c>
      <c r="I2071" s="251">
        <f ca="1">SUMIF(H2058:H2069,"стоимость",I2058:I2069)</f>
        <v>6485.3</v>
      </c>
      <c r="J2071" s="251">
        <f ca="1">SUMIF(H2058:H2069,"стоимость",J2058:J2069)</f>
        <v>7086.8</v>
      </c>
      <c r="K2071" s="251">
        <f ca="1">SUMIF(H2058:H2069,"стоимость",K2058:K2069)</f>
        <v>538.1</v>
      </c>
      <c r="L2071" s="251">
        <f ca="1">IFERROR(SUM(I2071:K2071),"")</f>
        <v>14110.2</v>
      </c>
      <c r="M2071" s="251">
        <f ca="1">SUMIF(H2058:H2069,"стоимость",M2058:M2069)</f>
        <v>347.17000000000019</v>
      </c>
      <c r="N2071" s="252">
        <f ca="1">IFERROR(SUM(L2071:M2071),"")</f>
        <v>14457.37</v>
      </c>
      <c r="AP2071" s="242">
        <f ca="1">SUMIFS('Ведомость расчета мин. платы'!$S$10:$S$209,'Ведомость расчета мин. платы'!$J$10:$J$209,"Итого",'Ведомость расчета мин. платы'!$AC$10:$AC$209,CONCATENATE(B2058,"/",D2058,"/",E2058,"/",F2058))</f>
        <v>14457.369999999999</v>
      </c>
      <c r="AQ2071" s="253">
        <f ca="1">AP2071-N2071</f>
        <v>0</v>
      </c>
    </row>
    <row r="2072" spans="2:43" x14ac:dyDescent="0.2">
      <c r="B2072" s="255"/>
      <c r="C2072" s="255"/>
      <c r="D2072" s="255"/>
      <c r="E2072" s="255"/>
      <c r="F2072" s="255"/>
      <c r="G2072" s="256"/>
      <c r="H2072" s="257"/>
      <c r="I2072" s="258"/>
      <c r="J2072" s="258"/>
      <c r="K2072" s="258"/>
      <c r="L2072" s="258"/>
      <c r="M2072" s="258"/>
      <c r="N2072" s="258"/>
      <c r="P2072" s="230">
        <f t="shared" ref="P2072:P2090" si="946">IF(A2072&gt;0,1,0)</f>
        <v>0</v>
      </c>
    </row>
    <row r="2073" spans="2:43" x14ac:dyDescent="0.2">
      <c r="B2073" s="282" t="s">
        <v>477</v>
      </c>
      <c r="C2073" s="282"/>
      <c r="D2073" s="282"/>
      <c r="E2073" s="282"/>
      <c r="F2073" s="259"/>
      <c r="G2073" s="225"/>
      <c r="H2073" s="201"/>
      <c r="I2073" s="226"/>
      <c r="J2073" s="258"/>
      <c r="K2073" s="258"/>
      <c r="L2073" s="258"/>
      <c r="M2073" s="258"/>
      <c r="N2073" s="258"/>
      <c r="P2073" s="230">
        <f t="shared" si="946"/>
        <v>0</v>
      </c>
    </row>
    <row r="2074" spans="2:43" x14ac:dyDescent="0.2">
      <c r="B2074" s="283" t="s">
        <v>525</v>
      </c>
      <c r="C2074" s="283"/>
      <c r="D2074" s="283"/>
      <c r="E2074" s="283"/>
      <c r="F2074" s="283"/>
      <c r="G2074" s="283"/>
      <c r="H2074" s="283"/>
      <c r="I2074" s="283"/>
      <c r="J2074" s="261"/>
      <c r="K2074" s="261"/>
      <c r="L2074" s="261"/>
      <c r="M2074" s="261"/>
      <c r="N2074" s="261"/>
      <c r="P2074" s="230">
        <f t="shared" si="946"/>
        <v>0</v>
      </c>
    </row>
    <row r="2075" spans="2:43" x14ac:dyDescent="0.2">
      <c r="B2075" s="284" t="s">
        <v>478</v>
      </c>
      <c r="C2075" s="284"/>
      <c r="D2075" s="284"/>
      <c r="E2075" s="284"/>
      <c r="F2075" s="284"/>
      <c r="G2075" s="284"/>
      <c r="H2075" s="284"/>
      <c r="I2075" s="284"/>
      <c r="J2075" s="258"/>
      <c r="K2075" s="258"/>
      <c r="L2075" s="258"/>
      <c r="M2075" s="258"/>
      <c r="N2075" s="258"/>
      <c r="P2075" s="230">
        <f t="shared" si="946"/>
        <v>0</v>
      </c>
    </row>
    <row r="2076" spans="2:43" x14ac:dyDescent="0.2">
      <c r="B2076" s="284" t="s">
        <v>479</v>
      </c>
      <c r="C2076" s="284"/>
      <c r="D2076" s="284"/>
      <c r="E2076" s="284"/>
      <c r="F2076" s="284"/>
      <c r="G2076" s="284"/>
      <c r="H2076" s="284"/>
      <c r="I2076" s="284"/>
      <c r="J2076" s="258"/>
      <c r="K2076" s="258"/>
      <c r="L2076" s="258"/>
      <c r="M2076" s="258"/>
      <c r="N2076" s="258"/>
      <c r="P2076" s="230">
        <f t="shared" si="946"/>
        <v>0</v>
      </c>
    </row>
    <row r="2077" spans="2:43" x14ac:dyDescent="0.2">
      <c r="B2077" s="284" t="s">
        <v>480</v>
      </c>
      <c r="C2077" s="284"/>
      <c r="D2077" s="284"/>
      <c r="E2077" s="284"/>
      <c r="F2077" s="284"/>
      <c r="G2077" s="284"/>
      <c r="H2077" s="284"/>
      <c r="I2077" s="284"/>
      <c r="J2077" s="258"/>
      <c r="K2077" s="258"/>
      <c r="L2077" s="258"/>
      <c r="M2077" s="258"/>
      <c r="N2077" s="258"/>
      <c r="P2077" s="230">
        <f t="shared" si="946"/>
        <v>0</v>
      </c>
    </row>
    <row r="2078" spans="2:43" x14ac:dyDescent="0.2">
      <c r="B2078" s="284" t="s">
        <v>481</v>
      </c>
      <c r="C2078" s="284"/>
      <c r="D2078" s="284"/>
      <c r="E2078" s="284"/>
      <c r="F2078" s="284"/>
      <c r="G2078" s="284"/>
      <c r="H2078" s="284"/>
      <c r="I2078" s="284"/>
      <c r="J2078" s="226"/>
      <c r="K2078" s="226"/>
      <c r="L2078" s="226"/>
      <c r="M2078" s="226"/>
      <c r="N2078" s="226"/>
      <c r="P2078" s="230">
        <f t="shared" si="946"/>
        <v>0</v>
      </c>
    </row>
    <row r="2079" spans="2:43" x14ac:dyDescent="0.2">
      <c r="B2079" s="284" t="s">
        <v>482</v>
      </c>
      <c r="C2079" s="284"/>
      <c r="D2079" s="284"/>
      <c r="E2079" s="284"/>
      <c r="F2079" s="284"/>
      <c r="G2079" s="284"/>
      <c r="H2079" s="284"/>
      <c r="I2079" s="284"/>
      <c r="J2079" s="226"/>
      <c r="K2079" s="226"/>
      <c r="L2079" s="226"/>
      <c r="M2079" s="226"/>
      <c r="N2079" s="226"/>
      <c r="P2079" s="230">
        <f t="shared" si="946"/>
        <v>0</v>
      </c>
    </row>
    <row r="2080" spans="2:43" x14ac:dyDescent="0.2">
      <c r="B2080" s="284" t="s">
        <v>483</v>
      </c>
      <c r="C2080" s="284"/>
      <c r="D2080" s="284"/>
      <c r="E2080" s="284"/>
      <c r="F2080" s="284"/>
      <c r="G2080" s="284"/>
      <c r="H2080" s="284"/>
      <c r="I2080" s="284"/>
      <c r="J2080" s="226"/>
      <c r="K2080" s="226"/>
      <c r="L2080" s="226"/>
      <c r="M2080" s="226"/>
      <c r="N2080" s="226"/>
      <c r="P2080" s="230">
        <f t="shared" si="946"/>
        <v>0</v>
      </c>
    </row>
    <row r="2081" spans="1:16" x14ac:dyDescent="0.2">
      <c r="B2081" s="284" t="s">
        <v>484</v>
      </c>
      <c r="C2081" s="284"/>
      <c r="D2081" s="284"/>
      <c r="E2081" s="284"/>
      <c r="F2081" s="284"/>
      <c r="G2081" s="284"/>
      <c r="H2081" s="284"/>
      <c r="I2081" s="284"/>
      <c r="J2081" s="226"/>
      <c r="K2081" s="226"/>
      <c r="L2081" s="226"/>
      <c r="M2081" s="226"/>
      <c r="N2081" s="226"/>
      <c r="P2081" s="230">
        <f t="shared" si="946"/>
        <v>0</v>
      </c>
    </row>
    <row r="2082" spans="1:16" x14ac:dyDescent="0.2">
      <c r="B2082" s="264"/>
      <c r="C2082" s="264"/>
      <c r="D2082" s="264"/>
      <c r="E2082" s="264"/>
      <c r="F2082" s="264"/>
      <c r="G2082" s="264"/>
      <c r="H2082" s="264"/>
      <c r="I2082" s="265"/>
      <c r="J2082" s="226"/>
      <c r="K2082" s="226"/>
      <c r="L2082" s="226"/>
      <c r="M2082" s="226"/>
      <c r="N2082" s="226"/>
      <c r="P2082" s="230">
        <f t="shared" si="946"/>
        <v>0</v>
      </c>
    </row>
    <row r="2083" spans="1:16" x14ac:dyDescent="0.2">
      <c r="B2083" s="225" t="s">
        <v>485</v>
      </c>
      <c r="C2083" s="225"/>
      <c r="D2083" s="225"/>
      <c r="E2083" s="225"/>
      <c r="F2083" s="225"/>
      <c r="G2083" s="225"/>
      <c r="H2083" s="201"/>
      <c r="I2083" s="226"/>
      <c r="J2083" s="226" t="s">
        <v>486</v>
      </c>
      <c r="K2083" s="226"/>
      <c r="L2083" s="226"/>
      <c r="M2083" s="226"/>
      <c r="N2083" s="226"/>
      <c r="P2083" s="230">
        <f t="shared" si="946"/>
        <v>0</v>
      </c>
    </row>
    <row r="2084" spans="1:16" x14ac:dyDescent="0.2">
      <c r="B2084" s="266" t="s">
        <v>524</v>
      </c>
      <c r="C2084" s="266"/>
      <c r="D2084" s="225"/>
      <c r="E2084" s="225"/>
      <c r="F2084" s="225"/>
      <c r="G2084" s="225"/>
      <c r="H2084" s="201"/>
      <c r="I2084" s="226"/>
      <c r="J2084" s="267"/>
      <c r="K2084" s="267"/>
      <c r="L2084" s="267"/>
      <c r="M2084" s="226"/>
      <c r="N2084" s="226"/>
      <c r="P2084" s="230">
        <f t="shared" si="946"/>
        <v>0</v>
      </c>
    </row>
    <row r="2085" spans="1:16" x14ac:dyDescent="0.2">
      <c r="B2085" s="268" t="s">
        <v>487</v>
      </c>
      <c r="C2085" s="225"/>
      <c r="D2085" s="225"/>
      <c r="E2085" s="225"/>
      <c r="F2085" s="225"/>
      <c r="G2085" s="225"/>
      <c r="H2085" s="201"/>
      <c r="I2085" s="226"/>
      <c r="J2085" s="226" t="s">
        <v>487</v>
      </c>
      <c r="K2085" s="226"/>
      <c r="L2085" s="226"/>
      <c r="M2085" s="226"/>
      <c r="N2085" s="226"/>
      <c r="P2085" s="230">
        <f t="shared" si="946"/>
        <v>0</v>
      </c>
    </row>
    <row r="2086" spans="1:16" x14ac:dyDescent="0.2">
      <c r="B2086" s="225"/>
      <c r="C2086" s="225"/>
      <c r="D2086" s="225"/>
      <c r="E2086" s="225"/>
      <c r="F2086" s="225"/>
      <c r="G2086" s="225"/>
      <c r="H2086" s="201"/>
      <c r="I2086" s="226"/>
      <c r="J2086" s="226"/>
      <c r="K2086" s="226"/>
      <c r="L2086" s="226"/>
      <c r="M2086" s="226"/>
      <c r="N2086" s="226"/>
      <c r="P2086" s="230">
        <f t="shared" si="946"/>
        <v>0</v>
      </c>
    </row>
    <row r="2087" spans="1:16" x14ac:dyDescent="0.2">
      <c r="B2087" s="266"/>
      <c r="C2087" s="266"/>
      <c r="D2087" s="225"/>
      <c r="E2087" s="225"/>
      <c r="F2087" s="225"/>
      <c r="G2087" s="225"/>
      <c r="H2087" s="201"/>
      <c r="I2087" s="226"/>
      <c r="J2087" s="267"/>
      <c r="K2087" s="267"/>
      <c r="L2087" s="267"/>
      <c r="M2087" s="226"/>
      <c r="N2087" s="226"/>
      <c r="P2087" s="230">
        <f t="shared" si="946"/>
        <v>0</v>
      </c>
    </row>
    <row r="2088" spans="1:16" x14ac:dyDescent="0.2">
      <c r="B2088" s="269" t="s">
        <v>488</v>
      </c>
      <c r="C2088" s="225"/>
      <c r="D2088" s="225"/>
      <c r="E2088" s="225"/>
      <c r="F2088" s="225"/>
      <c r="G2088" s="225"/>
      <c r="H2088" s="201"/>
      <c r="I2088" s="226"/>
      <c r="J2088" s="285" t="s">
        <v>488</v>
      </c>
      <c r="K2088" s="285"/>
      <c r="L2088" s="285"/>
      <c r="M2088" s="226"/>
      <c r="N2088" s="226"/>
      <c r="P2088" s="230">
        <f t="shared" si="946"/>
        <v>0</v>
      </c>
    </row>
    <row r="2089" spans="1:16" x14ac:dyDescent="0.2">
      <c r="B2089" s="225"/>
      <c r="C2089" s="225"/>
      <c r="D2089" s="225"/>
      <c r="E2089" s="225"/>
      <c r="F2089" s="225"/>
      <c r="G2089" s="225"/>
      <c r="H2089" s="201"/>
      <c r="I2089" s="226"/>
      <c r="J2089" s="226"/>
      <c r="K2089" s="226"/>
      <c r="L2089" s="226"/>
      <c r="M2089" s="226"/>
      <c r="N2089" s="226"/>
      <c r="P2089" s="230">
        <f t="shared" si="946"/>
        <v>0</v>
      </c>
    </row>
    <row r="2090" spans="1:16" x14ac:dyDescent="0.2">
      <c r="B2090" s="264" t="s">
        <v>489</v>
      </c>
      <c r="C2090" s="225"/>
      <c r="D2090" s="225"/>
      <c r="E2090" s="225"/>
      <c r="F2090" s="225"/>
      <c r="G2090" s="225"/>
      <c r="H2090" s="201"/>
      <c r="I2090" s="226"/>
      <c r="J2090" s="226" t="s">
        <v>489</v>
      </c>
      <c r="K2090" s="226"/>
      <c r="L2090" s="226"/>
      <c r="M2090" s="226"/>
      <c r="N2090" s="226"/>
      <c r="P2090" s="230">
        <f t="shared" si="946"/>
        <v>0</v>
      </c>
    </row>
    <row r="2091" spans="1:16" x14ac:dyDescent="0.2">
      <c r="A2091" s="272"/>
      <c r="B2091" s="225"/>
      <c r="C2091" s="225"/>
      <c r="D2091" s="225"/>
      <c r="E2091" s="225"/>
      <c r="F2091" s="225"/>
      <c r="G2091" s="225"/>
      <c r="H2091" s="201"/>
      <c r="I2091" s="226"/>
      <c r="J2091" s="226"/>
      <c r="K2091" s="226"/>
      <c r="M2091" s="226"/>
      <c r="N2091" s="228"/>
    </row>
    <row r="2092" spans="1:16" x14ac:dyDescent="0.2">
      <c r="A2092" s="260"/>
      <c r="B2092" s="225"/>
      <c r="C2092" s="225"/>
      <c r="D2092" s="225"/>
      <c r="E2092" s="225"/>
      <c r="F2092" s="225"/>
      <c r="G2092" s="225"/>
      <c r="H2092" s="201"/>
      <c r="I2092" s="226"/>
      <c r="J2092" s="226"/>
      <c r="K2092" s="226"/>
      <c r="M2092" s="226"/>
      <c r="N2092" s="228" t="s">
        <v>455</v>
      </c>
      <c r="P2092" s="230">
        <f t="shared" ref="P2092:P2109" si="947">IF(A2092&gt;0,1,0)</f>
        <v>0</v>
      </c>
    </row>
    <row r="2093" spans="1:16" x14ac:dyDescent="0.2">
      <c r="B2093" s="225"/>
      <c r="C2093" s="225"/>
      <c r="D2093" s="225"/>
      <c r="E2093" s="225"/>
      <c r="F2093" s="225"/>
      <c r="G2093" s="225"/>
      <c r="H2093" s="201"/>
      <c r="I2093" s="226"/>
      <c r="J2093" s="226"/>
      <c r="K2093" s="226"/>
      <c r="M2093" s="226"/>
      <c r="N2093" s="228" t="s">
        <v>456</v>
      </c>
      <c r="P2093" s="230">
        <f t="shared" si="947"/>
        <v>0</v>
      </c>
    </row>
    <row r="2094" spans="1:16" x14ac:dyDescent="0.2">
      <c r="B2094" s="225"/>
      <c r="C2094" s="225"/>
      <c r="D2094" s="225"/>
      <c r="E2094" s="225"/>
      <c r="F2094" s="225"/>
      <c r="G2094" s="225"/>
      <c r="H2094" s="201"/>
      <c r="I2094" s="226"/>
      <c r="J2094" s="226"/>
      <c r="K2094" s="226"/>
      <c r="M2094" s="226"/>
      <c r="N2094" s="228" t="s">
        <v>457</v>
      </c>
      <c r="P2094" s="230">
        <f t="shared" si="947"/>
        <v>0</v>
      </c>
    </row>
    <row r="2095" spans="1:16" x14ac:dyDescent="0.2">
      <c r="B2095" s="225"/>
      <c r="C2095" s="225"/>
      <c r="D2095" s="225"/>
      <c r="E2095" s="225"/>
      <c r="F2095" s="225"/>
      <c r="G2095" s="225"/>
      <c r="H2095" s="201"/>
      <c r="I2095" s="226"/>
      <c r="J2095" s="226"/>
      <c r="K2095" s="226"/>
      <c r="L2095" s="226"/>
      <c r="M2095" s="226"/>
      <c r="N2095" s="226"/>
      <c r="P2095" s="230">
        <f t="shared" si="947"/>
        <v>0</v>
      </c>
    </row>
    <row r="2096" spans="1:16" x14ac:dyDescent="0.2">
      <c r="B2096" s="225"/>
      <c r="C2096" s="286" t="s">
        <v>458</v>
      </c>
      <c r="D2096" s="286"/>
      <c r="E2096" s="286"/>
      <c r="F2096" s="286"/>
      <c r="G2096" s="286"/>
      <c r="H2096" s="286"/>
      <c r="I2096" s="286"/>
      <c r="J2096" s="286"/>
      <c r="K2096" s="286"/>
      <c r="L2096" s="286"/>
      <c r="M2096" s="226"/>
      <c r="N2096" s="226"/>
      <c r="P2096" s="230">
        <f t="shared" si="947"/>
        <v>0</v>
      </c>
    </row>
    <row r="2097" spans="1:43" x14ac:dyDescent="0.2">
      <c r="B2097" s="225"/>
      <c r="C2097" s="286" t="s">
        <v>459</v>
      </c>
      <c r="D2097" s="286"/>
      <c r="E2097" s="286"/>
      <c r="F2097" s="286"/>
      <c r="G2097" s="286"/>
      <c r="H2097" s="286"/>
      <c r="I2097" s="286"/>
      <c r="J2097" s="286"/>
      <c r="K2097" s="286"/>
      <c r="L2097" s="286"/>
      <c r="M2097" s="226"/>
      <c r="N2097" s="226"/>
      <c r="P2097" s="230">
        <f t="shared" si="947"/>
        <v>0</v>
      </c>
    </row>
    <row r="2098" spans="1:43" x14ac:dyDescent="0.2">
      <c r="B2098" s="225" t="s">
        <v>460</v>
      </c>
      <c r="C2098" s="234"/>
      <c r="D2098" s="234"/>
      <c r="E2098" s="234"/>
      <c r="F2098" s="234"/>
      <c r="G2098" s="234"/>
      <c r="H2098" s="234"/>
      <c r="I2098" s="235"/>
      <c r="J2098" s="235"/>
      <c r="K2098" s="235"/>
      <c r="L2098" s="287" t="s">
        <v>461</v>
      </c>
      <c r="M2098" s="287"/>
      <c r="N2098" s="287"/>
      <c r="P2098" s="230">
        <f t="shared" si="947"/>
        <v>0</v>
      </c>
    </row>
    <row r="2099" spans="1:43" x14ac:dyDescent="0.2">
      <c r="B2099" s="225"/>
      <c r="C2099" s="234"/>
      <c r="D2099" s="234"/>
      <c r="E2099" s="234"/>
      <c r="F2099" s="234"/>
      <c r="G2099" s="234"/>
      <c r="H2099" s="234"/>
      <c r="I2099" s="235"/>
      <c r="J2099" s="235"/>
      <c r="K2099" s="235"/>
      <c r="L2099" s="235"/>
      <c r="M2099" s="235"/>
      <c r="N2099" s="235"/>
      <c r="P2099" s="230">
        <f t="shared" si="947"/>
        <v>0</v>
      </c>
    </row>
    <row r="2100" spans="1:43" x14ac:dyDescent="0.2">
      <c r="B2100" s="225" t="s">
        <v>2038</v>
      </c>
      <c r="C2100" s="234"/>
      <c r="D2100" s="234"/>
      <c r="E2100" s="234"/>
      <c r="F2100" s="234"/>
      <c r="G2100" s="234"/>
      <c r="H2100" s="234"/>
      <c r="I2100" s="235"/>
      <c r="J2100" s="235"/>
      <c r="K2100" s="235"/>
      <c r="L2100" s="235"/>
      <c r="M2100" s="235"/>
      <c r="N2100" s="235"/>
      <c r="P2100" s="230">
        <f t="shared" si="947"/>
        <v>0</v>
      </c>
    </row>
    <row r="2101" spans="1:43" x14ac:dyDescent="0.2">
      <c r="B2101" s="225" t="s">
        <v>462</v>
      </c>
      <c r="C2101" s="234"/>
      <c r="D2101" s="234"/>
      <c r="E2101" s="234"/>
      <c r="F2101" s="234"/>
      <c r="G2101" s="234"/>
      <c r="H2101" s="234"/>
      <c r="I2101" s="235"/>
      <c r="J2101" s="235"/>
      <c r="K2101" s="235"/>
      <c r="L2101" s="235"/>
      <c r="M2101" s="235"/>
      <c r="N2101" s="235"/>
      <c r="P2101" s="230">
        <f t="shared" si="947"/>
        <v>0</v>
      </c>
    </row>
    <row r="2102" spans="1:43" x14ac:dyDescent="0.2">
      <c r="B2102" s="225" t="s">
        <v>2037</v>
      </c>
      <c r="C2102" s="234"/>
      <c r="D2102" s="234"/>
      <c r="E2102" s="234"/>
      <c r="F2102" s="234"/>
      <c r="G2102" s="234"/>
      <c r="H2102" s="234"/>
      <c r="I2102" s="235"/>
      <c r="J2102" s="235"/>
      <c r="K2102" s="235"/>
      <c r="L2102" s="235"/>
      <c r="M2102" s="235"/>
      <c r="N2102" s="235"/>
      <c r="P2102" s="230">
        <f t="shared" si="947"/>
        <v>0</v>
      </c>
    </row>
    <row r="2103" spans="1:43" x14ac:dyDescent="0.2">
      <c r="B2103" s="225" t="s">
        <v>2052</v>
      </c>
      <c r="C2103" s="234"/>
      <c r="D2103" s="234"/>
      <c r="E2103" s="234"/>
      <c r="F2103" s="234"/>
      <c r="G2103" s="234"/>
      <c r="H2103" s="234"/>
      <c r="I2103" s="235"/>
      <c r="J2103" s="235"/>
      <c r="K2103" s="235"/>
      <c r="L2103" s="235"/>
      <c r="M2103" s="235"/>
      <c r="N2103" s="235"/>
      <c r="P2103" s="230">
        <f t="shared" si="947"/>
        <v>0</v>
      </c>
    </row>
    <row r="2104" spans="1:43" x14ac:dyDescent="0.2">
      <c r="B2104" s="225"/>
      <c r="C2104" s="225"/>
      <c r="D2104" s="225"/>
      <c r="E2104" s="225"/>
      <c r="F2104" s="225"/>
      <c r="G2104" s="225"/>
      <c r="H2104" s="201"/>
      <c r="I2104" s="226"/>
      <c r="J2104" s="226"/>
      <c r="K2104" s="226"/>
      <c r="L2104" s="226"/>
      <c r="M2104" s="226"/>
      <c r="N2104" s="226"/>
      <c r="P2104" s="230">
        <f t="shared" si="947"/>
        <v>0</v>
      </c>
    </row>
    <row r="2105" spans="1:43" x14ac:dyDescent="0.2">
      <c r="B2105" s="288" t="s">
        <v>106</v>
      </c>
      <c r="C2105" s="290" t="s">
        <v>463</v>
      </c>
      <c r="D2105" s="288" t="s">
        <v>464</v>
      </c>
      <c r="E2105" s="288" t="s">
        <v>465</v>
      </c>
      <c r="F2105" s="288" t="s">
        <v>490</v>
      </c>
      <c r="G2105" s="288" t="s">
        <v>466</v>
      </c>
      <c r="H2105" s="292" t="s">
        <v>8</v>
      </c>
      <c r="I2105" s="294" t="s">
        <v>467</v>
      </c>
      <c r="J2105" s="295"/>
      <c r="K2105" s="295"/>
      <c r="L2105" s="296"/>
      <c r="M2105" s="297" t="s">
        <v>468</v>
      </c>
      <c r="N2105" s="299" t="s">
        <v>469</v>
      </c>
      <c r="P2105" s="230">
        <f t="shared" si="947"/>
        <v>0</v>
      </c>
    </row>
    <row r="2106" spans="1:43" x14ac:dyDescent="0.2">
      <c r="B2106" s="289"/>
      <c r="C2106" s="291"/>
      <c r="D2106" s="289"/>
      <c r="E2106" s="289"/>
      <c r="F2106" s="289"/>
      <c r="G2106" s="289"/>
      <c r="H2106" s="293"/>
      <c r="I2106" s="236" t="s">
        <v>470</v>
      </c>
      <c r="J2106" s="236" t="s">
        <v>471</v>
      </c>
      <c r="K2106" s="236" t="s">
        <v>472</v>
      </c>
      <c r="L2106" s="236" t="s">
        <v>473</v>
      </c>
      <c r="M2106" s="298"/>
      <c r="N2106" s="300"/>
      <c r="P2106" s="230">
        <f t="shared" si="947"/>
        <v>0</v>
      </c>
    </row>
    <row r="2107" spans="1:43" x14ac:dyDescent="0.2">
      <c r="A2107" s="224" t="str">
        <f>CONCATENATE("Лот"," ",A2108)</f>
        <v>Лот 39</v>
      </c>
      <c r="B2107" s="273" t="s">
        <v>2087</v>
      </c>
      <c r="C2107" s="274"/>
      <c r="D2107" s="274"/>
      <c r="E2107" s="274"/>
      <c r="F2107" s="274"/>
      <c r="G2107" s="275"/>
      <c r="H2107" s="238" t="s">
        <v>17</v>
      </c>
      <c r="I2107" s="270">
        <f ca="1">ROUND(VLOOKUP($H2107,$AJ$4:$AN$13,2,0)*$Q2109*1.51,2)</f>
        <v>120.15</v>
      </c>
      <c r="J2107" s="270">
        <f ca="1">ROUND(VLOOKUP($H2107,$AJ$4:$AN$13,3,0)*$Q2109*1.51,2)</f>
        <v>85.62</v>
      </c>
      <c r="K2107" s="270">
        <f ca="1">ROUND(VLOOKUP($H2107,$AJ$4:$AN$13,4,0)*$Q2109*1.51,2)</f>
        <v>43.38</v>
      </c>
      <c r="L2107" s="270"/>
      <c r="M2107" s="270">
        <f ca="1">ROUND(VLOOKUP($H2107,$AJ$4:$AN$13,5,0)*$Q2109*1.51,2)</f>
        <v>6.85</v>
      </c>
      <c r="N2107" s="270"/>
      <c r="P2107" s="230">
        <f t="shared" si="947"/>
        <v>1</v>
      </c>
    </row>
    <row r="2108" spans="1:43" x14ac:dyDescent="0.2">
      <c r="A2108" s="224">
        <f>A2053+1</f>
        <v>39</v>
      </c>
      <c r="B2108" s="276"/>
      <c r="C2108" s="277"/>
      <c r="D2108" s="277"/>
      <c r="E2108" s="277"/>
      <c r="F2108" s="277"/>
      <c r="G2108" s="278"/>
      <c r="H2108" s="238" t="s">
        <v>25</v>
      </c>
      <c r="I2108" s="270">
        <f ca="1">ROUND(VLOOKUP($H2108,$AJ$4:$AN$13,2,0)*$Q2109*1.51,2)</f>
        <v>898.69</v>
      </c>
      <c r="J2108" s="270">
        <f ca="1">ROUND(VLOOKUP($H2108,$AJ$4:$AN$13,3,0)*$Q2109*1.51,2)</f>
        <v>642.13</v>
      </c>
      <c r="K2108" s="270">
        <f ca="1">ROUND(VLOOKUP($H2108,$AJ$4:$AN$13,4,0)*$Q2109*1.51,2)</f>
        <v>323.06</v>
      </c>
      <c r="L2108" s="270"/>
      <c r="M2108" s="270">
        <f ca="1">ROUND(VLOOKUP($H2108,$AJ$4:$AN$13,5,0)*$Q2109*1.51,2)</f>
        <v>27.97</v>
      </c>
      <c r="N2108" s="270"/>
      <c r="P2108" s="230">
        <f t="shared" si="947"/>
        <v>1</v>
      </c>
      <c r="Q2108" s="240" t="s">
        <v>2045</v>
      </c>
      <c r="R2108" s="240" t="s">
        <v>2046</v>
      </c>
    </row>
    <row r="2109" spans="1:43" x14ac:dyDescent="0.2">
      <c r="B2109" s="276"/>
      <c r="C2109" s="277"/>
      <c r="D2109" s="277"/>
      <c r="E2109" s="277"/>
      <c r="F2109" s="277"/>
      <c r="G2109" s="278"/>
      <c r="H2109" s="238" t="s">
        <v>19</v>
      </c>
      <c r="I2109" s="270">
        <f ca="1">ROUND(VLOOKUP($H2109,$AJ$4:$AN$13,2,0)*$Q2109*1.51,2)</f>
        <v>71.349999999999994</v>
      </c>
      <c r="J2109" s="270">
        <f ca="1">ROUND(VLOOKUP($H2109,$AJ$4:$AN$13,3,0)*$Q2109*1.51,2)</f>
        <v>51.94</v>
      </c>
      <c r="K2109" s="270">
        <f ca="1">ROUND(VLOOKUP($H2109,$AJ$4:$AN$13,4,0)*$Q2109*1.51,2)</f>
        <v>26.54</v>
      </c>
      <c r="L2109" s="270"/>
      <c r="M2109" s="270">
        <f ca="1">ROUND(VLOOKUP($H2109,$AJ$4:$AN$13,5,0)*$Q2109*1.51,2)</f>
        <v>1.43</v>
      </c>
      <c r="N2109" s="270"/>
      <c r="P2109" s="230">
        <f t="shared" si="947"/>
        <v>0</v>
      </c>
      <c r="Q2109" s="123">
        <f ca="1">IFERROR(IF(R2109="","",IF(OR(R2109&lt;100,R2109=100),0.9,IF(OR(AND(R2109&gt;100,R2109&lt;150),R2109=150),1,IF(R2109&gt;150,1.05,"")))),"0")</f>
        <v>1.05</v>
      </c>
      <c r="R2109" s="123">
        <f ca="1">N2125/G2113</f>
        <v>242.42857142857147</v>
      </c>
    </row>
    <row r="2110" spans="1:43" x14ac:dyDescent="0.2">
      <c r="B2110" s="276"/>
      <c r="C2110" s="277"/>
      <c r="D2110" s="277"/>
      <c r="E2110" s="277"/>
      <c r="F2110" s="277"/>
      <c r="G2110" s="278"/>
      <c r="H2110" s="238" t="s">
        <v>268</v>
      </c>
      <c r="I2110" s="270">
        <f ca="1">ROUND(VLOOKUP($H2110,$AJ$4:$AN$13,2,0)*$Q2109*1.51,2)</f>
        <v>898.69</v>
      </c>
      <c r="J2110" s="270">
        <f ca="1">ROUND(VLOOKUP($H2110,$AJ$4:$AN$13,3,0)*$Q2109*1.51,2)</f>
        <v>642.13</v>
      </c>
      <c r="K2110" s="270">
        <f ca="1">ROUND(VLOOKUP($H2110,$AJ$4:$AN$13,4,0)*$Q2109*1.51,2)</f>
        <v>323.06</v>
      </c>
      <c r="L2110" s="270"/>
      <c r="M2110" s="270">
        <f ca="1">ROUND(VLOOKUP($H2110,$AJ$4:$AN$13,5,0)*$Q2109*1.51,2)</f>
        <v>27.97</v>
      </c>
      <c r="N2110" s="270"/>
    </row>
    <row r="2111" spans="1:43" x14ac:dyDescent="0.2">
      <c r="B2111" s="276"/>
      <c r="C2111" s="277"/>
      <c r="D2111" s="277"/>
      <c r="E2111" s="277"/>
      <c r="F2111" s="277"/>
      <c r="G2111" s="278"/>
      <c r="H2111" s="238" t="s">
        <v>40</v>
      </c>
      <c r="I2111" s="270">
        <f ca="1">ROUND(VLOOKUP($H2111,$AJ$4:$AN$13,2,0)*$Q2109*1.51,2)</f>
        <v>71.349999999999994</v>
      </c>
      <c r="J2111" s="270">
        <f ca="1">ROUND(VLOOKUP($H2111,$AJ$4:$AN$13,3,0)*$Q2109*1.51,2)</f>
        <v>51.94</v>
      </c>
      <c r="K2111" s="270">
        <f ca="1">ROUND(VLOOKUP($H2111,$AJ$4:$AN$13,4,0)*$Q2109*1.51,2)</f>
        <v>26.54</v>
      </c>
      <c r="L2111" s="270"/>
      <c r="M2111" s="270">
        <f ca="1">ROUND(VLOOKUP($H2111,$AJ$4:$AN$13,5,0)*$Q2109*1.51,2)</f>
        <v>1.43</v>
      </c>
      <c r="N2111" s="270"/>
      <c r="P2111" s="230">
        <f t="shared" ref="P2111:P2124" si="948">IF(A2111&gt;0,1,0)</f>
        <v>0</v>
      </c>
    </row>
    <row r="2112" spans="1:43" x14ac:dyDescent="0.2">
      <c r="B2112" s="279"/>
      <c r="C2112" s="280"/>
      <c r="D2112" s="280"/>
      <c r="E2112" s="280"/>
      <c r="F2112" s="280"/>
      <c r="G2112" s="281"/>
      <c r="H2112" s="238" t="s">
        <v>18</v>
      </c>
      <c r="I2112" s="270">
        <f ca="1">ROUND(VLOOKUP($H2112,$AJ$4:$AN$13,2,0)*$Q2109*1.51,2)</f>
        <v>22.83</v>
      </c>
      <c r="J2112" s="270">
        <f ca="1">ROUND(VLOOKUP($H2112,$AJ$4:$AN$13,3,0)*$Q2109*1.51,2)</f>
        <v>17.41</v>
      </c>
      <c r="K2112" s="270">
        <f ca="1">ROUND(VLOOKUP($H2112,$AJ$4:$AN$13,4,0)*$Q2109*1.51,2)</f>
        <v>8.85</v>
      </c>
      <c r="L2112" s="270"/>
      <c r="M2112" s="270">
        <f ca="1">ROUND(VLOOKUP($H2112,$AJ$4:$AN$13,5,0)*$Q2109*1.51*1,2)</f>
        <v>0.56999999999999995</v>
      </c>
      <c r="N2112" s="270"/>
      <c r="P2112" s="230">
        <f t="shared" si="948"/>
        <v>0</v>
      </c>
      <c r="AP2112" s="241" t="s">
        <v>2053</v>
      </c>
      <c r="AQ2112" s="242"/>
    </row>
    <row r="2113" spans="1:43" x14ac:dyDescent="0.2">
      <c r="A2113" s="224">
        <f>A2058+37</f>
        <v>1406</v>
      </c>
      <c r="B2113" s="243" t="str">
        <f ca="1">OFFSET(ЛОТЫ!$L$5,A2113,0,1,1)</f>
        <v>Тимерликовское</v>
      </c>
      <c r="C2113" s="244" t="s">
        <v>474</v>
      </c>
      <c r="D2113" s="243">
        <f ca="1">OFFSET(ЛОТЫ!$M$5,A2113,0,1,1)</f>
        <v>16</v>
      </c>
      <c r="E2113" s="243">
        <f ca="1">OFFSET(ЛОТЫ!$N$5,A2113,0,1,1)</f>
        <v>9</v>
      </c>
      <c r="F2113" s="243">
        <f ca="1">OFFSET(ЛОТЫ!$O$5,A2113,0,1,1)</f>
        <v>4</v>
      </c>
      <c r="G2113" s="271">
        <f ca="1">IFERROR(INDEX('Ведомость расчета мин. платы'!$G$10:$AC$214,MATCH(CONCATENATE(B2113,"/",D2113,"/",E2113,"/",F2113),'Ведомость расчета мин. платы'!$AC$10:$AC$214,0),1),"")</f>
        <v>2.8</v>
      </c>
      <c r="H2113" s="246" t="s">
        <v>17</v>
      </c>
      <c r="I2113" s="247">
        <f ca="1">IFERROR(INDEX('Ведомость расчета мин. платы'!$J$10:$AE$214,MATCH(CONCATENATE(РАСЧЕТ!B2113,"/",РАСЧЕТ!D2113,"/",РАСЧЕТ!E2113,"/",F2113,"/",H2113),'Ведомость расчета мин. платы'!$AE$10:$AE$214,0),2),"")</f>
        <v>4.4000000000000004</v>
      </c>
      <c r="J2113" s="247">
        <f ca="1">IFERROR(INDEX('Ведомость расчета мин. платы'!$J$10:$AE$214,MATCH(CONCATENATE(РАСЧЕТ!B2113,"/",РАСЧЕТ!D2113,"/",РАСЧЕТ!E2113,"/",F2113,"/",H2113),'Ведомость расчета мин. платы'!$AE$10:$AE$214,0),3),"")</f>
        <v>30.65</v>
      </c>
      <c r="K2113" s="247">
        <f ca="1">IFERROR(INDEX('Ведомость расчета мин. платы'!$J$10:$AE$214,MATCH(CONCATENATE(РАСЧЕТ!B2113,"/",РАСЧЕТ!D2113,"/",РАСЧЕТ!E2113,"/",F2113,"/",H2113),'Ведомость расчета мин. платы'!$AE$10:$AE$214,0),4),"")</f>
        <v>11.43</v>
      </c>
      <c r="L2113" s="248">
        <f t="shared" ref="L2113:L2125" ca="1" si="949">IFERROR(SUM(I2113:K2113),"")</f>
        <v>46.48</v>
      </c>
      <c r="M2113" s="214">
        <f ca="1">IFERROR(INDEX('Ведомость расчета мин. платы'!$J$10:$AE$214,MATCH(CONCATENATE(РАСЧЕТ!B2113,"/",РАСЧЕТ!D2113,"/",РАСЧЕТ!E2113,"/",F2113,"/",H2113),'Ведомость расчета мин. платы'!$AE$10:$AE$214,0),6),"")</f>
        <v>20.78</v>
      </c>
      <c r="N2113" s="214">
        <f t="shared" ref="N2113:N2125" ca="1" si="950">IFERROR(SUM(L2113:M2113),"")</f>
        <v>67.259999999999991</v>
      </c>
      <c r="O2113" s="229">
        <f>IF(H2113="стоимость","",1)</f>
        <v>1</v>
      </c>
      <c r="P2113" s="230">
        <f t="shared" si="948"/>
        <v>1</v>
      </c>
      <c r="AP2113" s="242"/>
      <c r="AQ2113" s="242"/>
    </row>
    <row r="2114" spans="1:43" x14ac:dyDescent="0.2">
      <c r="B2114" s="249"/>
      <c r="C2114" s="249"/>
      <c r="D2114" s="249"/>
      <c r="E2114" s="249"/>
      <c r="F2114" s="249"/>
      <c r="G2114" s="249"/>
      <c r="H2114" s="250" t="s">
        <v>475</v>
      </c>
      <c r="I2114" s="251">
        <f ca="1">IFERROR(ROUND(I2113*I2107,2),"")</f>
        <v>528.66</v>
      </c>
      <c r="J2114" s="251">
        <f t="shared" ref="J2114" ca="1" si="951">IFERROR(ROUND(J2113*J2107,2),"")</f>
        <v>2624.25</v>
      </c>
      <c r="K2114" s="251">
        <f t="shared" ref="K2114" ca="1" si="952">IFERROR(ROUND(K2113*K2107,2),"")</f>
        <v>495.83</v>
      </c>
      <c r="L2114" s="251">
        <f t="shared" ca="1" si="949"/>
        <v>3648.74</v>
      </c>
      <c r="M2114" s="251">
        <f t="shared" ref="M2114" ca="1" si="953">IFERROR(ROUND(M2113*M2107,2),"")</f>
        <v>142.34</v>
      </c>
      <c r="N2114" s="252">
        <f t="shared" ca="1" si="950"/>
        <v>3791.08</v>
      </c>
      <c r="O2114" s="229" t="str">
        <f t="shared" ref="O2114:O2124" si="954">IF(H2114="стоимость","",1)</f>
        <v/>
      </c>
      <c r="P2114" s="230">
        <f t="shared" si="948"/>
        <v>0</v>
      </c>
      <c r="AP2114" s="242">
        <f ca="1">SUMIFS('Ведомость расчета мин. платы'!$S$10:$S$209,'Ведомость расчета мин. платы'!$AE$10:$AE$209,CONCATENATE(B2113,"/",D2113,"/",E2113,"/",F2113,"/",H2113))</f>
        <v>3791.08</v>
      </c>
      <c r="AQ2114" s="253">
        <f t="shared" ref="AQ2114" ca="1" si="955">AP2114-N2114</f>
        <v>0</v>
      </c>
    </row>
    <row r="2115" spans="1:43" x14ac:dyDescent="0.2">
      <c r="B2115" s="249"/>
      <c r="C2115" s="249"/>
      <c r="D2115" s="249"/>
      <c r="E2115" s="249"/>
      <c r="F2115" s="249"/>
      <c r="G2115" s="249"/>
      <c r="H2115" s="246" t="s">
        <v>25</v>
      </c>
      <c r="I2115" s="247" t="str">
        <f ca="1">IFERROR(INDEX('Ведомость расчета мин. платы'!$J$10:$AE$214,MATCH(CONCATENATE(РАСЧЕТ!B2113,"/",РАСЧЕТ!D2113,"/",РАСЧЕТ!E2113,"/",F2113,"/",H2115),'Ведомость расчета мин. платы'!$AE$10:$AE$214,0),2),"")</f>
        <v/>
      </c>
      <c r="J2115" s="247" t="str">
        <f ca="1">IFERROR(INDEX('Ведомость расчета мин. платы'!$J$10:$AE$214,MATCH(CONCATENATE(РАСЧЕТ!B2113,"/",РАСЧЕТ!D2113,"/",РАСЧЕТ!E2113,"/",F2113,"/",H2115),'Ведомость расчета мин. платы'!$AE$10:$AE$214,0),3),"")</f>
        <v/>
      </c>
      <c r="K2115" s="247" t="str">
        <f ca="1">IFERROR(INDEX('Ведомость расчета мин. платы'!$J$10:$AE$214,MATCH(CONCATENATE(РАСЧЕТ!B2113,"/",РАСЧЕТ!D2113,"/",РАСЧЕТ!E2113,"/",F2113,"/",H2115),'Ведомость расчета мин. платы'!$AE$10:$AE$214,0),4),"")</f>
        <v/>
      </c>
      <c r="L2115" s="248">
        <f t="shared" ca="1" si="949"/>
        <v>0</v>
      </c>
      <c r="M2115" s="214" t="str">
        <f ca="1">IFERROR(INDEX('Ведомость расчета мин. платы'!$J$10:$AE$214,MATCH(CONCATENATE(РАСЧЕТ!B2113,"/",РАСЧЕТ!D2113,"/",РАСЧЕТ!E2113,"/",F2113,"/",H2115),'Ведомость расчета мин. платы'!$AE$10:$AE$214,0),6),"")</f>
        <v/>
      </c>
      <c r="N2115" s="214">
        <f t="shared" ca="1" si="950"/>
        <v>0</v>
      </c>
      <c r="O2115" s="229">
        <f t="shared" si="954"/>
        <v>1</v>
      </c>
      <c r="P2115" s="230">
        <f t="shared" si="948"/>
        <v>0</v>
      </c>
      <c r="AP2115" s="242"/>
      <c r="AQ2115" s="253"/>
    </row>
    <row r="2116" spans="1:43" x14ac:dyDescent="0.2">
      <c r="B2116" s="249"/>
      <c r="C2116" s="249"/>
      <c r="D2116" s="249"/>
      <c r="E2116" s="249"/>
      <c r="F2116" s="249"/>
      <c r="G2116" s="249"/>
      <c r="H2116" s="250" t="s">
        <v>475</v>
      </c>
      <c r="I2116" s="251" t="str">
        <f ca="1">IFERROR(ROUND(I2115*I2108,2),"")</f>
        <v/>
      </c>
      <c r="J2116" s="251" t="str">
        <f t="shared" ref="J2116" ca="1" si="956">IFERROR(ROUND(J2115*J2108,2),"")</f>
        <v/>
      </c>
      <c r="K2116" s="251" t="str">
        <f t="shared" ref="K2116" ca="1" si="957">IFERROR(ROUND(K2115*K2108,2),"")</f>
        <v/>
      </c>
      <c r="L2116" s="251">
        <f t="shared" ca="1" si="949"/>
        <v>0</v>
      </c>
      <c r="M2116" s="251" t="str">
        <f t="shared" ref="M2116" ca="1" si="958">IFERROR(ROUND(M2115*M2108,2),"")</f>
        <v/>
      </c>
      <c r="N2116" s="252">
        <f t="shared" ca="1" si="950"/>
        <v>0</v>
      </c>
      <c r="O2116" s="229" t="str">
        <f t="shared" si="954"/>
        <v/>
      </c>
      <c r="P2116" s="230">
        <f t="shared" si="948"/>
        <v>0</v>
      </c>
      <c r="AP2116" s="242">
        <f ca="1">SUMIFS('Ведомость расчета мин. платы'!$S$10:$S$209,'Ведомость расчета мин. платы'!$AE$10:$AE$209,CONCATENATE(B2113,"/",D2113,"/",E2113,"/",F2113,"/",H2115))</f>
        <v>0</v>
      </c>
      <c r="AQ2116" s="253">
        <f t="shared" ref="AQ2116" ca="1" si="959">AP2116-N2116</f>
        <v>0</v>
      </c>
    </row>
    <row r="2117" spans="1:43" x14ac:dyDescent="0.2">
      <c r="B2117" s="249"/>
      <c r="C2117" s="249"/>
      <c r="D2117" s="249"/>
      <c r="E2117" s="249"/>
      <c r="F2117" s="249"/>
      <c r="G2117" s="249"/>
      <c r="H2117" s="205" t="s">
        <v>19</v>
      </c>
      <c r="I2117" s="248" t="str">
        <f ca="1">IFERROR(INDEX('Ведомость расчета мин. платы'!$J$10:$AE$214,MATCH(CONCATENATE(РАСЧЕТ!B2113,"/",РАСЧЕТ!D2113,"/",РАСЧЕТ!E2113,"/",F2113,"/",H2117),'Ведомость расчета мин. платы'!$AE$10:$AE$214,0),2),"")</f>
        <v/>
      </c>
      <c r="J2117" s="248" t="str">
        <f ca="1">IFERROR(INDEX('Ведомость расчета мин. платы'!$J$10:$AE$214,MATCH(CONCATENATE(РАСЧЕТ!B2113,"/",РАСЧЕТ!D2113,"/",РАСЧЕТ!E2113,"/",F2113,"/",H2117),'Ведомость расчета мин. платы'!$AE$10:$AE$214,0),3),"")</f>
        <v/>
      </c>
      <c r="K2117" s="248" t="str">
        <f ca="1">IFERROR(INDEX('Ведомость расчета мин. платы'!$J$10:$AE$214,MATCH(CONCATENATE(РАСЧЕТ!B2113,"/",РАСЧЕТ!D2113,"/",РАСЧЕТ!E2113,"/",F2113,"/",H2117),'Ведомость расчета мин. платы'!$AE$10:$AE$214,0),4),"")</f>
        <v/>
      </c>
      <c r="L2117" s="248">
        <f t="shared" ca="1" si="949"/>
        <v>0</v>
      </c>
      <c r="M2117" s="248" t="str">
        <f ca="1">IFERROR(INDEX('Ведомость расчета мин. платы'!$J$10:$AE$214,MATCH(CONCATENATE(РАСЧЕТ!B2113,"/",РАСЧЕТ!D2113,"/",РАСЧЕТ!E2113,"/",F2113,"/",H2117),'Ведомость расчета мин. платы'!$AE$10:$AE$214,0),6),"")</f>
        <v/>
      </c>
      <c r="N2117" s="214">
        <f t="shared" ca="1" si="950"/>
        <v>0</v>
      </c>
      <c r="O2117" s="229">
        <f t="shared" si="954"/>
        <v>1</v>
      </c>
      <c r="P2117" s="230">
        <f t="shared" si="948"/>
        <v>0</v>
      </c>
      <c r="AP2117" s="242"/>
      <c r="AQ2117" s="253"/>
    </row>
    <row r="2118" spans="1:43" x14ac:dyDescent="0.2">
      <c r="B2118" s="249"/>
      <c r="C2118" s="249"/>
      <c r="D2118" s="249"/>
      <c r="E2118" s="249"/>
      <c r="F2118" s="249"/>
      <c r="G2118" s="249"/>
      <c r="H2118" s="250" t="s">
        <v>475</v>
      </c>
      <c r="I2118" s="251" t="str">
        <f ca="1">IFERROR(ROUND(I2117*I2109,2),"")</f>
        <v/>
      </c>
      <c r="J2118" s="251" t="str">
        <f t="shared" ref="J2118" ca="1" si="960">IFERROR(ROUND(J2117*J2109,2),"")</f>
        <v/>
      </c>
      <c r="K2118" s="251" t="str">
        <f t="shared" ref="K2118" ca="1" si="961">IFERROR(ROUND(K2117*K2109,2),"")</f>
        <v/>
      </c>
      <c r="L2118" s="251">
        <f t="shared" ca="1" si="949"/>
        <v>0</v>
      </c>
      <c r="M2118" s="251" t="str">
        <f t="shared" ref="M2118" ca="1" si="962">IFERROR(ROUND(M2117*M2109,2),"")</f>
        <v/>
      </c>
      <c r="N2118" s="252">
        <f t="shared" ca="1" si="950"/>
        <v>0</v>
      </c>
      <c r="O2118" s="229" t="str">
        <f t="shared" si="954"/>
        <v/>
      </c>
      <c r="P2118" s="230">
        <f t="shared" si="948"/>
        <v>0</v>
      </c>
      <c r="AP2118" s="242">
        <f ca="1">SUMIFS('Ведомость расчета мин. платы'!$S$10:$S$209,'Ведомость расчета мин. платы'!$AE$10:$AE$209,CONCATENATE(B2113,"/",D2113,"/",E2113,"/",F2113,"/",H2117))</f>
        <v>0</v>
      </c>
      <c r="AQ2118" s="253">
        <f t="shared" ref="AQ2118" ca="1" si="963">AP2118-N2118</f>
        <v>0</v>
      </c>
    </row>
    <row r="2119" spans="1:43" x14ac:dyDescent="0.2">
      <c r="B2119" s="249"/>
      <c r="C2119" s="249"/>
      <c r="D2119" s="249"/>
      <c r="E2119" s="249"/>
      <c r="F2119" s="249"/>
      <c r="G2119" s="249"/>
      <c r="H2119" s="205" t="s">
        <v>268</v>
      </c>
      <c r="I2119" s="248" t="str">
        <f ca="1">IFERROR(INDEX('Ведомость расчета мин. платы'!$J$10:$AE$214,MATCH(CONCATENATE(РАСЧЕТ!B2113,"/",РАСЧЕТ!D2113,"/",РАСЧЕТ!E2113,"/",F2113,"/",H2119),'Ведомость расчета мин. платы'!$AE$10:$AE$214,0),2),"")</f>
        <v/>
      </c>
      <c r="J2119" s="248" t="str">
        <f ca="1">IFERROR(INDEX('Ведомость расчета мин. платы'!$J$10:$AE$214,MATCH(CONCATENATE(РАСЧЕТ!B2113,"/",РАСЧЕТ!D2113,"/",РАСЧЕТ!E2113,"/",F2113,"/",H2119),'Ведомость расчета мин. платы'!$AE$10:$AE$214,0),3),"")</f>
        <v/>
      </c>
      <c r="K2119" s="248" t="str">
        <f ca="1">IFERROR(INDEX('Ведомость расчета мин. платы'!$J$10:$AE$214,MATCH(CONCATENATE(РАСЧЕТ!B2113,"/",РАСЧЕТ!D2113,"/",РАСЧЕТ!E2113,"/",F2113,"/",H2119),'Ведомость расчета мин. платы'!$AE$10:$AE$214,0),4),"")</f>
        <v/>
      </c>
      <c r="L2119" s="248">
        <f t="shared" ca="1" si="949"/>
        <v>0</v>
      </c>
      <c r="M2119" s="248" t="str">
        <f ca="1">IFERROR(INDEX('Ведомость расчета мин. платы'!$J$10:$AE$214,MATCH(CONCATENATE(РАСЧЕТ!B2113,"/",РАСЧЕТ!D2113,"/",РАСЧЕТ!E2113,"/",F2113,"/",H2119),'Ведомость расчета мин. платы'!$AE$10:$AE$214,0),6),"")</f>
        <v/>
      </c>
      <c r="N2119" s="214">
        <f t="shared" ca="1" si="950"/>
        <v>0</v>
      </c>
      <c r="O2119" s="229">
        <f t="shared" si="954"/>
        <v>1</v>
      </c>
      <c r="P2119" s="230">
        <f t="shared" si="948"/>
        <v>0</v>
      </c>
      <c r="AP2119" s="242"/>
      <c r="AQ2119" s="253"/>
    </row>
    <row r="2120" spans="1:43" x14ac:dyDescent="0.2">
      <c r="B2120" s="249"/>
      <c r="C2120" s="249"/>
      <c r="D2120" s="249"/>
      <c r="E2120" s="249"/>
      <c r="F2120" s="249"/>
      <c r="G2120" s="249"/>
      <c r="H2120" s="250" t="s">
        <v>475</v>
      </c>
      <c r="I2120" s="251" t="str">
        <f ca="1">IFERROR(ROUND(I2119*I2112,2),"")</f>
        <v/>
      </c>
      <c r="J2120" s="251" t="str">
        <f ca="1">IFERROR(ROUND(J2119*J2110,2),"")</f>
        <v/>
      </c>
      <c r="K2120" s="251" t="str">
        <f ca="1">IFERROR(ROUND(K2119*K2110,2),"")</f>
        <v/>
      </c>
      <c r="L2120" s="251">
        <f t="shared" ca="1" si="949"/>
        <v>0</v>
      </c>
      <c r="M2120" s="251" t="str">
        <f ca="1">IFERROR(ROUND(M2119*M2110,2),"")</f>
        <v/>
      </c>
      <c r="N2120" s="252">
        <f t="shared" ca="1" si="950"/>
        <v>0</v>
      </c>
      <c r="O2120" s="229" t="str">
        <f t="shared" si="954"/>
        <v/>
      </c>
      <c r="P2120" s="230">
        <f t="shared" si="948"/>
        <v>0</v>
      </c>
      <c r="AP2120" s="242">
        <f ca="1">SUMIFS('Ведомость расчета мин. платы'!$S$10:$S$209,'Ведомость расчета мин. платы'!$AE$10:$AE$209,CONCATENATE(B2113,"/",D2113,"/",E2113,"/",F2113,"/",H2119))</f>
        <v>0</v>
      </c>
      <c r="AQ2120" s="253">
        <f t="shared" ref="AQ2120" ca="1" si="964">AP2120-N2120</f>
        <v>0</v>
      </c>
    </row>
    <row r="2121" spans="1:43" x14ac:dyDescent="0.2">
      <c r="B2121" s="249"/>
      <c r="C2121" s="249"/>
      <c r="D2121" s="249"/>
      <c r="E2121" s="249"/>
      <c r="F2121" s="249"/>
      <c r="G2121" s="249"/>
      <c r="H2121" s="205" t="s">
        <v>40</v>
      </c>
      <c r="I2121" s="248" t="str">
        <f ca="1">IFERROR(INDEX('Ведомость расчета мин. платы'!$J$10:$AE$214,MATCH(CONCATENATE(РАСЧЕТ!B2113,"/",РАСЧЕТ!D2113,"/",РАСЧЕТ!E2113,"/",F2113,"/",H2121),'Ведомость расчета мин. платы'!$AE$10:$AE$214,0),2),"")</f>
        <v/>
      </c>
      <c r="J2121" s="248" t="str">
        <f ca="1">IFERROR(INDEX('Ведомость расчета мин. платы'!$J$10:$AE$214,MATCH(CONCATENATE(РАСЧЕТ!B2113,"/",РАСЧЕТ!D2113,"/",РАСЧЕТ!E2113,"/",F2113,"/",H2121),'Ведомость расчета мин. платы'!$AE$10:$AE$214,0),3),"")</f>
        <v/>
      </c>
      <c r="K2121" s="248" t="str">
        <f ca="1">IFERROR(INDEX('Ведомость расчета мин. платы'!$J$10:$AE$214,MATCH(CONCATENATE(РАСЧЕТ!B2113,"/",РАСЧЕТ!D2113,"/",РАСЧЕТ!E2113,"/",F2113,"/",H2121),'Ведомость расчета мин. платы'!$AE$10:$AE$214,0),4),"")</f>
        <v/>
      </c>
      <c r="L2121" s="248">
        <f t="shared" ca="1" si="949"/>
        <v>0</v>
      </c>
      <c r="M2121" s="248" t="str">
        <f ca="1">IFERROR(INDEX('Ведомость расчета мин. платы'!$J$10:$AE$214,MATCH(CONCATENATE(РАСЧЕТ!B2113,"/",РАСЧЕТ!D2113,"/",РАСЧЕТ!E2113,"/",F2113,"/",H2121),'Ведомость расчета мин. платы'!$AE$10:$AE$214,0),6),"")</f>
        <v/>
      </c>
      <c r="N2121" s="214">
        <f t="shared" ca="1" si="950"/>
        <v>0</v>
      </c>
      <c r="O2121" s="229">
        <f t="shared" si="954"/>
        <v>1</v>
      </c>
      <c r="P2121" s="230">
        <f t="shared" si="948"/>
        <v>0</v>
      </c>
      <c r="AP2121" s="242"/>
      <c r="AQ2121" s="253"/>
    </row>
    <row r="2122" spans="1:43" x14ac:dyDescent="0.2">
      <c r="B2122" s="249"/>
      <c r="C2122" s="249"/>
      <c r="D2122" s="249"/>
      <c r="E2122" s="249"/>
      <c r="F2122" s="249"/>
      <c r="G2122" s="249"/>
      <c r="H2122" s="250" t="s">
        <v>475</v>
      </c>
      <c r="I2122" s="251" t="str">
        <f ca="1">IFERROR(ROUND(I2121*I2111,2),"")</f>
        <v/>
      </c>
      <c r="J2122" s="251" t="str">
        <f t="shared" ref="J2122" ca="1" si="965">IFERROR(ROUND(J2121*J2111,2),"")</f>
        <v/>
      </c>
      <c r="K2122" s="251" t="str">
        <f t="shared" ref="K2122" ca="1" si="966">IFERROR(ROUND(K2121*K2111,2),"")</f>
        <v/>
      </c>
      <c r="L2122" s="251">
        <f t="shared" ca="1" si="949"/>
        <v>0</v>
      </c>
      <c r="M2122" s="251" t="str">
        <f t="shared" ref="M2122" ca="1" si="967">IFERROR(ROUND(M2121*M2111,2),"")</f>
        <v/>
      </c>
      <c r="N2122" s="252">
        <f t="shared" ca="1" si="950"/>
        <v>0</v>
      </c>
      <c r="O2122" s="229" t="str">
        <f t="shared" si="954"/>
        <v/>
      </c>
      <c r="P2122" s="230">
        <f t="shared" si="948"/>
        <v>0</v>
      </c>
      <c r="AP2122" s="242">
        <f ca="1">SUMIFS('Ведомость расчета мин. платы'!$S$10:$S$209,'Ведомость расчета мин. платы'!$AE$10:$AE$209,CONCATENATE(B2113,"/",D2113,"/",E2113,"/",F2113,"/",H2121))</f>
        <v>0</v>
      </c>
      <c r="AQ2122" s="253">
        <f t="shared" ref="AQ2122" ca="1" si="968">AP2122-N2122</f>
        <v>0</v>
      </c>
    </row>
    <row r="2123" spans="1:43" x14ac:dyDescent="0.2">
      <c r="B2123" s="249"/>
      <c r="C2123" s="249"/>
      <c r="D2123" s="249"/>
      <c r="E2123" s="249"/>
      <c r="F2123" s="249"/>
      <c r="G2123" s="249"/>
      <c r="H2123" s="205" t="s">
        <v>18</v>
      </c>
      <c r="I2123" s="248">
        <f ca="1">IFERROR(INDEX('Ведомость расчета мин. платы'!$J$10:$AE$214,MATCH(CONCATENATE(РАСЧЕТ!B2113,"/",РАСЧЕТ!D2113,"/",РАСЧЕТ!E2113,"/",F2113,"/",H2123),'Ведомость расчета мин. платы'!$AE$10:$AE$214,0),2),"")</f>
        <v>240.43</v>
      </c>
      <c r="J2123" s="248">
        <f ca="1">IFERROR(INDEX('Ведомость расчета мин. платы'!$J$10:$AE$214,MATCH(CONCATENATE(РАСЧЕТ!B2113,"/",РАСЧЕТ!D2113,"/",РАСЧЕТ!E2113,"/",F2113,"/",H2123),'Ведомость расчета мин. платы'!$AE$10:$AE$214,0),3),"")</f>
        <v>172.24</v>
      </c>
      <c r="K2123" s="248">
        <f ca="1">IFERROR(INDEX('Ведомость расчета мин. платы'!$J$10:$AE$214,MATCH(CONCATENATE(РАСЧЕТ!B2113,"/",РАСЧЕТ!D2113,"/",РАСЧЕТ!E2113,"/",F2113,"/",H2123),'Ведомость расчета мин. платы'!$AE$10:$AE$214,0),4),"")</f>
        <v>11.19</v>
      </c>
      <c r="L2123" s="248">
        <f t="shared" ca="1" si="949"/>
        <v>423.86</v>
      </c>
      <c r="M2123" s="248">
        <f ca="1">IFERROR(INDEX('Ведомость расчета мин. платы'!$J$10:$AE$214,MATCH(CONCATENATE(РАСЧЕТ!B2113,"/",РАСЧЕТ!D2113,"/",РАСЧЕТ!E2113,"/",F2113,"/",H2123),'Ведомость расчета мин. платы'!$AE$10:$AE$214,0),6),"")</f>
        <v>187.68</v>
      </c>
      <c r="N2123" s="214">
        <f t="shared" ca="1" si="950"/>
        <v>611.54</v>
      </c>
      <c r="O2123" s="229">
        <f t="shared" si="954"/>
        <v>1</v>
      </c>
      <c r="P2123" s="230">
        <f t="shared" si="948"/>
        <v>0</v>
      </c>
      <c r="AP2123" s="242"/>
      <c r="AQ2123" s="253"/>
    </row>
    <row r="2124" spans="1:43" x14ac:dyDescent="0.2">
      <c r="B2124" s="249"/>
      <c r="C2124" s="249"/>
      <c r="D2124" s="249"/>
      <c r="E2124" s="249"/>
      <c r="F2124" s="249"/>
      <c r="G2124" s="249"/>
      <c r="H2124" s="250" t="s">
        <v>475</v>
      </c>
      <c r="I2124" s="251">
        <f ca="1">IFERROR(ROUND(I2123*I2112,2),"")</f>
        <v>5489.02</v>
      </c>
      <c r="J2124" s="251">
        <f t="shared" ref="J2124" ca="1" si="969">IFERROR(ROUND(J2123*J2112,2),"")</f>
        <v>2998.7</v>
      </c>
      <c r="K2124" s="251">
        <f t="shared" ref="K2124" ca="1" si="970">IFERROR(ROUND(K2123*K2112,2),"")</f>
        <v>99.03</v>
      </c>
      <c r="L2124" s="251">
        <f t="shared" ca="1" si="949"/>
        <v>8586.7500000000018</v>
      </c>
      <c r="M2124" s="251">
        <f t="shared" ref="M2124" ca="1" si="971">IFERROR(ROUND(M2123*M2112,2),"")</f>
        <v>106.98</v>
      </c>
      <c r="N2124" s="252">
        <f t="shared" ca="1" si="950"/>
        <v>8693.7300000000014</v>
      </c>
      <c r="O2124" s="229" t="str">
        <f t="shared" si="954"/>
        <v/>
      </c>
      <c r="P2124" s="230">
        <f t="shared" si="948"/>
        <v>0</v>
      </c>
      <c r="AP2124" s="242">
        <f ca="1">SUMIFS('Ведомость расчета мин. платы'!$S$10:$S$209,'Ведомость расчета мин. платы'!$AE$10:$AE$209,CONCATENATE(B2113,"/",D2113,"/",E2113,"/",F2113,"/",H2123))</f>
        <v>8693.73</v>
      </c>
      <c r="AQ2124" s="253">
        <f t="shared" ref="AQ2124" ca="1" si="972">AP2124-N2124</f>
        <v>0</v>
      </c>
    </row>
    <row r="2125" spans="1:43" x14ac:dyDescent="0.2">
      <c r="B2125" s="249"/>
      <c r="C2125" s="249"/>
      <c r="D2125" s="249"/>
      <c r="E2125" s="249"/>
      <c r="F2125" s="249"/>
      <c r="G2125" s="249"/>
      <c r="H2125" s="254" t="s">
        <v>476</v>
      </c>
      <c r="I2125" s="251">
        <f ca="1">SUMIF($O2113:$O2126,1,I2113:I2124)</f>
        <v>244.83</v>
      </c>
      <c r="J2125" s="251">
        <f ca="1">SUMIF($O2113:$O2126,1,J2113:J2124)</f>
        <v>202.89000000000001</v>
      </c>
      <c r="K2125" s="251">
        <f ca="1">SUMIF($O2113:$O2126,1,K2113:K2124)</f>
        <v>22.619999999999997</v>
      </c>
      <c r="L2125" s="251">
        <f t="shared" ca="1" si="949"/>
        <v>470.34000000000003</v>
      </c>
      <c r="M2125" s="251">
        <f ca="1">SUMIF($O2113:$O2126,1,M2113:M2124)</f>
        <v>208.46</v>
      </c>
      <c r="N2125" s="252">
        <f t="shared" ca="1" si="950"/>
        <v>678.80000000000007</v>
      </c>
      <c r="AP2125" s="242"/>
      <c r="AQ2125" s="253"/>
    </row>
    <row r="2126" spans="1:43" x14ac:dyDescent="0.2">
      <c r="B2126" s="249"/>
      <c r="C2126" s="249"/>
      <c r="D2126" s="249"/>
      <c r="E2126" s="249"/>
      <c r="F2126" s="249"/>
      <c r="G2126" s="249"/>
      <c r="H2126" s="254" t="s">
        <v>491</v>
      </c>
      <c r="I2126" s="251">
        <f ca="1">SUMIF(H2113:H2124,"стоимость",I2113:I2124)</f>
        <v>6017.68</v>
      </c>
      <c r="J2126" s="251">
        <f ca="1">SUMIF(H2113:H2124,"стоимость",J2113:J2124)</f>
        <v>5622.95</v>
      </c>
      <c r="K2126" s="251">
        <f ca="1">SUMIF(H2113:H2124,"стоимость",K2113:K2124)</f>
        <v>594.86</v>
      </c>
      <c r="L2126" s="251">
        <f ca="1">IFERROR(SUM(I2126:K2126),"")</f>
        <v>12235.490000000002</v>
      </c>
      <c r="M2126" s="251">
        <f ca="1">SUMIF(H2113:H2124,"стоимость",M2113:M2124)</f>
        <v>249.32</v>
      </c>
      <c r="N2126" s="252">
        <f ca="1">IFERROR(SUM(L2126:M2126),"")</f>
        <v>12484.810000000001</v>
      </c>
      <c r="AP2126" s="242">
        <f ca="1">SUMIFS('Ведомость расчета мин. платы'!$S$10:$S$209,'Ведомость расчета мин. платы'!$J$10:$J$209,"Итого",'Ведомость расчета мин. платы'!$AC$10:$AC$209,CONCATENATE(B2113,"/",D2113,"/",E2113,"/",F2113))</f>
        <v>12484.81</v>
      </c>
      <c r="AQ2126" s="253">
        <f ca="1">AP2126-N2126</f>
        <v>0</v>
      </c>
    </row>
    <row r="2127" spans="1:43" x14ac:dyDescent="0.2">
      <c r="B2127" s="255"/>
      <c r="C2127" s="255"/>
      <c r="D2127" s="255"/>
      <c r="E2127" s="255"/>
      <c r="F2127" s="255"/>
      <c r="G2127" s="256"/>
      <c r="H2127" s="257"/>
      <c r="I2127" s="258"/>
      <c r="J2127" s="258"/>
      <c r="K2127" s="258"/>
      <c r="L2127" s="258"/>
      <c r="M2127" s="258"/>
      <c r="N2127" s="258"/>
      <c r="P2127" s="230">
        <f t="shared" ref="P2127:P2145" si="973">IF(A2127&gt;0,1,0)</f>
        <v>0</v>
      </c>
    </row>
    <row r="2128" spans="1:43" x14ac:dyDescent="0.2">
      <c r="B2128" s="282" t="s">
        <v>477</v>
      </c>
      <c r="C2128" s="282"/>
      <c r="D2128" s="282"/>
      <c r="E2128" s="282"/>
      <c r="F2128" s="259"/>
      <c r="G2128" s="225"/>
      <c r="H2128" s="201"/>
      <c r="I2128" s="226"/>
      <c r="J2128" s="258"/>
      <c r="K2128" s="258"/>
      <c r="L2128" s="258"/>
      <c r="M2128" s="258"/>
      <c r="N2128" s="258"/>
      <c r="P2128" s="230">
        <f t="shared" si="973"/>
        <v>0</v>
      </c>
    </row>
    <row r="2129" spans="2:16" x14ac:dyDescent="0.2">
      <c r="B2129" s="283" t="s">
        <v>525</v>
      </c>
      <c r="C2129" s="283"/>
      <c r="D2129" s="283"/>
      <c r="E2129" s="283"/>
      <c r="F2129" s="283"/>
      <c r="G2129" s="283"/>
      <c r="H2129" s="283"/>
      <c r="I2129" s="283"/>
      <c r="J2129" s="261"/>
      <c r="K2129" s="261"/>
      <c r="L2129" s="261"/>
      <c r="M2129" s="261"/>
      <c r="N2129" s="261"/>
      <c r="P2129" s="230">
        <f t="shared" si="973"/>
        <v>0</v>
      </c>
    </row>
    <row r="2130" spans="2:16" x14ac:dyDescent="0.2">
      <c r="B2130" s="284" t="s">
        <v>478</v>
      </c>
      <c r="C2130" s="284"/>
      <c r="D2130" s="284"/>
      <c r="E2130" s="284"/>
      <c r="F2130" s="284"/>
      <c r="G2130" s="284"/>
      <c r="H2130" s="284"/>
      <c r="I2130" s="284"/>
      <c r="J2130" s="258"/>
      <c r="K2130" s="258"/>
      <c r="L2130" s="258"/>
      <c r="M2130" s="258"/>
      <c r="N2130" s="258"/>
      <c r="P2130" s="230">
        <f t="shared" si="973"/>
        <v>0</v>
      </c>
    </row>
    <row r="2131" spans="2:16" x14ac:dyDescent="0.2">
      <c r="B2131" s="284" t="s">
        <v>479</v>
      </c>
      <c r="C2131" s="284"/>
      <c r="D2131" s="284"/>
      <c r="E2131" s="284"/>
      <c r="F2131" s="284"/>
      <c r="G2131" s="284"/>
      <c r="H2131" s="284"/>
      <c r="I2131" s="284"/>
      <c r="J2131" s="258"/>
      <c r="K2131" s="258"/>
      <c r="L2131" s="258"/>
      <c r="M2131" s="258"/>
      <c r="N2131" s="258"/>
      <c r="P2131" s="230">
        <f t="shared" si="973"/>
        <v>0</v>
      </c>
    </row>
    <row r="2132" spans="2:16" x14ac:dyDescent="0.2">
      <c r="B2132" s="284" t="s">
        <v>480</v>
      </c>
      <c r="C2132" s="284"/>
      <c r="D2132" s="284"/>
      <c r="E2132" s="284"/>
      <c r="F2132" s="284"/>
      <c r="G2132" s="284"/>
      <c r="H2132" s="284"/>
      <c r="I2132" s="284"/>
      <c r="J2132" s="258"/>
      <c r="K2132" s="258"/>
      <c r="L2132" s="258"/>
      <c r="M2132" s="258"/>
      <c r="N2132" s="258"/>
      <c r="P2132" s="230">
        <f t="shared" si="973"/>
        <v>0</v>
      </c>
    </row>
    <row r="2133" spans="2:16" x14ac:dyDescent="0.2">
      <c r="B2133" s="284" t="s">
        <v>481</v>
      </c>
      <c r="C2133" s="284"/>
      <c r="D2133" s="284"/>
      <c r="E2133" s="284"/>
      <c r="F2133" s="284"/>
      <c r="G2133" s="284"/>
      <c r="H2133" s="284"/>
      <c r="I2133" s="284"/>
      <c r="J2133" s="226"/>
      <c r="K2133" s="226"/>
      <c r="L2133" s="226"/>
      <c r="M2133" s="226"/>
      <c r="N2133" s="226"/>
      <c r="P2133" s="230">
        <f t="shared" si="973"/>
        <v>0</v>
      </c>
    </row>
    <row r="2134" spans="2:16" x14ac:dyDescent="0.2">
      <c r="B2134" s="284" t="s">
        <v>482</v>
      </c>
      <c r="C2134" s="284"/>
      <c r="D2134" s="284"/>
      <c r="E2134" s="284"/>
      <c r="F2134" s="284"/>
      <c r="G2134" s="284"/>
      <c r="H2134" s="284"/>
      <c r="I2134" s="284"/>
      <c r="J2134" s="226"/>
      <c r="K2134" s="226"/>
      <c r="L2134" s="226"/>
      <c r="M2134" s="226"/>
      <c r="N2134" s="226"/>
      <c r="P2134" s="230">
        <f t="shared" si="973"/>
        <v>0</v>
      </c>
    </row>
    <row r="2135" spans="2:16" x14ac:dyDescent="0.2">
      <c r="B2135" s="284" t="s">
        <v>483</v>
      </c>
      <c r="C2135" s="284"/>
      <c r="D2135" s="284"/>
      <c r="E2135" s="284"/>
      <c r="F2135" s="284"/>
      <c r="G2135" s="284"/>
      <c r="H2135" s="284"/>
      <c r="I2135" s="284"/>
      <c r="J2135" s="226"/>
      <c r="K2135" s="226"/>
      <c r="L2135" s="226"/>
      <c r="M2135" s="226"/>
      <c r="N2135" s="226"/>
      <c r="P2135" s="230">
        <f t="shared" si="973"/>
        <v>0</v>
      </c>
    </row>
    <row r="2136" spans="2:16" x14ac:dyDescent="0.2">
      <c r="B2136" s="284" t="s">
        <v>484</v>
      </c>
      <c r="C2136" s="284"/>
      <c r="D2136" s="284"/>
      <c r="E2136" s="284"/>
      <c r="F2136" s="284"/>
      <c r="G2136" s="284"/>
      <c r="H2136" s="284"/>
      <c r="I2136" s="284"/>
      <c r="J2136" s="226"/>
      <c r="K2136" s="226"/>
      <c r="L2136" s="226"/>
      <c r="M2136" s="226"/>
      <c r="N2136" s="226"/>
      <c r="P2136" s="230">
        <f t="shared" si="973"/>
        <v>0</v>
      </c>
    </row>
    <row r="2137" spans="2:16" x14ac:dyDescent="0.2">
      <c r="B2137" s="264"/>
      <c r="C2137" s="264"/>
      <c r="D2137" s="264"/>
      <c r="E2137" s="264"/>
      <c r="F2137" s="264"/>
      <c r="G2137" s="264"/>
      <c r="H2137" s="264"/>
      <c r="I2137" s="265"/>
      <c r="J2137" s="226"/>
      <c r="K2137" s="226"/>
      <c r="L2137" s="226"/>
      <c r="M2137" s="226"/>
      <c r="N2137" s="226"/>
      <c r="P2137" s="230">
        <f t="shared" si="973"/>
        <v>0</v>
      </c>
    </row>
    <row r="2138" spans="2:16" x14ac:dyDescent="0.2">
      <c r="B2138" s="225" t="s">
        <v>485</v>
      </c>
      <c r="C2138" s="225"/>
      <c r="D2138" s="225"/>
      <c r="E2138" s="225"/>
      <c r="F2138" s="225"/>
      <c r="G2138" s="225"/>
      <c r="H2138" s="201"/>
      <c r="I2138" s="226"/>
      <c r="J2138" s="226" t="s">
        <v>486</v>
      </c>
      <c r="K2138" s="226"/>
      <c r="L2138" s="226"/>
      <c r="M2138" s="226"/>
      <c r="N2138" s="226"/>
      <c r="P2138" s="230">
        <f t="shared" si="973"/>
        <v>0</v>
      </c>
    </row>
    <row r="2139" spans="2:16" x14ac:dyDescent="0.2">
      <c r="B2139" s="266" t="s">
        <v>524</v>
      </c>
      <c r="C2139" s="266"/>
      <c r="D2139" s="225"/>
      <c r="E2139" s="225"/>
      <c r="F2139" s="225"/>
      <c r="G2139" s="225"/>
      <c r="H2139" s="201"/>
      <c r="I2139" s="226"/>
      <c r="J2139" s="267"/>
      <c r="K2139" s="267"/>
      <c r="L2139" s="267"/>
      <c r="M2139" s="226"/>
      <c r="N2139" s="226"/>
      <c r="P2139" s="230">
        <f t="shared" si="973"/>
        <v>0</v>
      </c>
    </row>
    <row r="2140" spans="2:16" x14ac:dyDescent="0.2">
      <c r="B2140" s="268" t="s">
        <v>487</v>
      </c>
      <c r="C2140" s="225"/>
      <c r="D2140" s="225"/>
      <c r="E2140" s="225"/>
      <c r="F2140" s="225"/>
      <c r="G2140" s="225"/>
      <c r="H2140" s="201"/>
      <c r="I2140" s="226"/>
      <c r="J2140" s="226" t="s">
        <v>487</v>
      </c>
      <c r="K2140" s="226"/>
      <c r="L2140" s="226"/>
      <c r="M2140" s="226"/>
      <c r="N2140" s="226"/>
      <c r="P2140" s="230">
        <f t="shared" si="973"/>
        <v>0</v>
      </c>
    </row>
    <row r="2141" spans="2:16" x14ac:dyDescent="0.2">
      <c r="B2141" s="225"/>
      <c r="C2141" s="225"/>
      <c r="D2141" s="225"/>
      <c r="E2141" s="225"/>
      <c r="F2141" s="225"/>
      <c r="G2141" s="225"/>
      <c r="H2141" s="201"/>
      <c r="I2141" s="226"/>
      <c r="J2141" s="226"/>
      <c r="K2141" s="226"/>
      <c r="L2141" s="226"/>
      <c r="M2141" s="226"/>
      <c r="N2141" s="226"/>
      <c r="P2141" s="230">
        <f t="shared" si="973"/>
        <v>0</v>
      </c>
    </row>
    <row r="2142" spans="2:16" x14ac:dyDescent="0.2">
      <c r="B2142" s="266"/>
      <c r="C2142" s="266"/>
      <c r="D2142" s="225"/>
      <c r="E2142" s="225"/>
      <c r="F2142" s="225"/>
      <c r="G2142" s="225"/>
      <c r="H2142" s="201"/>
      <c r="I2142" s="226"/>
      <c r="J2142" s="267"/>
      <c r="K2142" s="267"/>
      <c r="L2142" s="267"/>
      <c r="M2142" s="226"/>
      <c r="N2142" s="226"/>
      <c r="P2142" s="230">
        <f t="shared" si="973"/>
        <v>0</v>
      </c>
    </row>
    <row r="2143" spans="2:16" x14ac:dyDescent="0.2">
      <c r="B2143" s="269" t="s">
        <v>488</v>
      </c>
      <c r="C2143" s="225"/>
      <c r="D2143" s="225"/>
      <c r="E2143" s="225"/>
      <c r="F2143" s="225"/>
      <c r="G2143" s="225"/>
      <c r="H2143" s="201"/>
      <c r="I2143" s="226"/>
      <c r="J2143" s="285" t="s">
        <v>488</v>
      </c>
      <c r="K2143" s="285"/>
      <c r="L2143" s="285"/>
      <c r="M2143" s="226"/>
      <c r="N2143" s="226"/>
      <c r="P2143" s="230">
        <f t="shared" si="973"/>
        <v>0</v>
      </c>
    </row>
    <row r="2144" spans="2:16" x14ac:dyDescent="0.2">
      <c r="B2144" s="225"/>
      <c r="C2144" s="225"/>
      <c r="D2144" s="225"/>
      <c r="E2144" s="225"/>
      <c r="F2144" s="225"/>
      <c r="G2144" s="225"/>
      <c r="H2144" s="201"/>
      <c r="I2144" s="226"/>
      <c r="J2144" s="226"/>
      <c r="K2144" s="226"/>
      <c r="L2144" s="226"/>
      <c r="M2144" s="226"/>
      <c r="N2144" s="226"/>
      <c r="P2144" s="230">
        <f t="shared" si="973"/>
        <v>0</v>
      </c>
    </row>
    <row r="2145" spans="1:16" x14ac:dyDescent="0.2">
      <c r="B2145" s="264" t="s">
        <v>489</v>
      </c>
      <c r="C2145" s="225"/>
      <c r="D2145" s="225"/>
      <c r="E2145" s="225"/>
      <c r="F2145" s="225"/>
      <c r="G2145" s="225"/>
      <c r="H2145" s="201"/>
      <c r="I2145" s="226"/>
      <c r="J2145" s="226" t="s">
        <v>489</v>
      </c>
      <c r="K2145" s="226"/>
      <c r="L2145" s="226"/>
      <c r="M2145" s="226"/>
      <c r="N2145" s="226"/>
      <c r="P2145" s="230">
        <f t="shared" si="973"/>
        <v>0</v>
      </c>
    </row>
    <row r="2146" spans="1:16" x14ac:dyDescent="0.2">
      <c r="A2146" s="272"/>
      <c r="B2146" s="225"/>
      <c r="C2146" s="225"/>
      <c r="D2146" s="225"/>
      <c r="E2146" s="225"/>
      <c r="F2146" s="225"/>
      <c r="G2146" s="225"/>
      <c r="H2146" s="201"/>
      <c r="I2146" s="226"/>
      <c r="J2146" s="226"/>
      <c r="K2146" s="226"/>
      <c r="M2146" s="226"/>
      <c r="N2146" s="228"/>
    </row>
    <row r="2147" spans="1:16" x14ac:dyDescent="0.2">
      <c r="A2147" s="260"/>
      <c r="B2147" s="225"/>
      <c r="C2147" s="225"/>
      <c r="D2147" s="225"/>
      <c r="E2147" s="225"/>
      <c r="F2147" s="225"/>
      <c r="G2147" s="225"/>
      <c r="H2147" s="201"/>
      <c r="I2147" s="226"/>
      <c r="J2147" s="226"/>
      <c r="K2147" s="226"/>
      <c r="M2147" s="226"/>
      <c r="N2147" s="228" t="s">
        <v>455</v>
      </c>
      <c r="P2147" s="230">
        <f t="shared" ref="P2147:P2164" si="974">IF(A2147&gt;0,1,0)</f>
        <v>0</v>
      </c>
    </row>
    <row r="2148" spans="1:16" x14ac:dyDescent="0.2">
      <c r="B2148" s="225"/>
      <c r="C2148" s="225"/>
      <c r="D2148" s="225"/>
      <c r="E2148" s="225"/>
      <c r="F2148" s="225"/>
      <c r="G2148" s="225"/>
      <c r="H2148" s="201"/>
      <c r="I2148" s="226"/>
      <c r="J2148" s="226"/>
      <c r="K2148" s="226"/>
      <c r="M2148" s="226"/>
      <c r="N2148" s="228" t="s">
        <v>456</v>
      </c>
      <c r="P2148" s="230">
        <f t="shared" si="974"/>
        <v>0</v>
      </c>
    </row>
    <row r="2149" spans="1:16" x14ac:dyDescent="0.2">
      <c r="B2149" s="225"/>
      <c r="C2149" s="225"/>
      <c r="D2149" s="225"/>
      <c r="E2149" s="225"/>
      <c r="F2149" s="225"/>
      <c r="G2149" s="225"/>
      <c r="H2149" s="201"/>
      <c r="I2149" s="226"/>
      <c r="J2149" s="226"/>
      <c r="K2149" s="226"/>
      <c r="M2149" s="226"/>
      <c r="N2149" s="228" t="s">
        <v>457</v>
      </c>
      <c r="P2149" s="230">
        <f t="shared" si="974"/>
        <v>0</v>
      </c>
    </row>
    <row r="2150" spans="1:16" x14ac:dyDescent="0.2">
      <c r="B2150" s="225"/>
      <c r="C2150" s="225"/>
      <c r="D2150" s="225"/>
      <c r="E2150" s="225"/>
      <c r="F2150" s="225"/>
      <c r="G2150" s="225"/>
      <c r="H2150" s="201"/>
      <c r="I2150" s="226"/>
      <c r="J2150" s="226"/>
      <c r="K2150" s="226"/>
      <c r="L2150" s="226"/>
      <c r="M2150" s="226"/>
      <c r="N2150" s="226"/>
      <c r="P2150" s="230">
        <f t="shared" si="974"/>
        <v>0</v>
      </c>
    </row>
    <row r="2151" spans="1:16" x14ac:dyDescent="0.2">
      <c r="B2151" s="225"/>
      <c r="C2151" s="286" t="s">
        <v>458</v>
      </c>
      <c r="D2151" s="286"/>
      <c r="E2151" s="286"/>
      <c r="F2151" s="286"/>
      <c r="G2151" s="286"/>
      <c r="H2151" s="286"/>
      <c r="I2151" s="286"/>
      <c r="J2151" s="286"/>
      <c r="K2151" s="286"/>
      <c r="L2151" s="286"/>
      <c r="M2151" s="226"/>
      <c r="N2151" s="226"/>
      <c r="P2151" s="230">
        <f t="shared" si="974"/>
        <v>0</v>
      </c>
    </row>
    <row r="2152" spans="1:16" x14ac:dyDescent="0.2">
      <c r="B2152" s="225"/>
      <c r="C2152" s="286" t="s">
        <v>459</v>
      </c>
      <c r="D2152" s="286"/>
      <c r="E2152" s="286"/>
      <c r="F2152" s="286"/>
      <c r="G2152" s="286"/>
      <c r="H2152" s="286"/>
      <c r="I2152" s="286"/>
      <c r="J2152" s="286"/>
      <c r="K2152" s="286"/>
      <c r="L2152" s="286"/>
      <c r="M2152" s="226"/>
      <c r="N2152" s="226"/>
      <c r="P2152" s="230">
        <f t="shared" si="974"/>
        <v>0</v>
      </c>
    </row>
    <row r="2153" spans="1:16" x14ac:dyDescent="0.2">
      <c r="B2153" s="225" t="s">
        <v>460</v>
      </c>
      <c r="C2153" s="234"/>
      <c r="D2153" s="234"/>
      <c r="E2153" s="234"/>
      <c r="F2153" s="234"/>
      <c r="G2153" s="234"/>
      <c r="H2153" s="234"/>
      <c r="I2153" s="235"/>
      <c r="J2153" s="235"/>
      <c r="K2153" s="235"/>
      <c r="L2153" s="287" t="s">
        <v>461</v>
      </c>
      <c r="M2153" s="287"/>
      <c r="N2153" s="287"/>
      <c r="P2153" s="230">
        <f t="shared" si="974"/>
        <v>0</v>
      </c>
    </row>
    <row r="2154" spans="1:16" x14ac:dyDescent="0.2">
      <c r="B2154" s="225"/>
      <c r="C2154" s="234"/>
      <c r="D2154" s="234"/>
      <c r="E2154" s="234"/>
      <c r="F2154" s="234"/>
      <c r="G2154" s="234"/>
      <c r="H2154" s="234"/>
      <c r="I2154" s="235"/>
      <c r="J2154" s="235"/>
      <c r="K2154" s="235"/>
      <c r="L2154" s="235"/>
      <c r="M2154" s="235"/>
      <c r="N2154" s="235"/>
      <c r="P2154" s="230">
        <f t="shared" si="974"/>
        <v>0</v>
      </c>
    </row>
    <row r="2155" spans="1:16" x14ac:dyDescent="0.2">
      <c r="B2155" s="225" t="s">
        <v>2038</v>
      </c>
      <c r="C2155" s="234"/>
      <c r="D2155" s="234"/>
      <c r="E2155" s="234"/>
      <c r="F2155" s="234"/>
      <c r="G2155" s="234"/>
      <c r="H2155" s="234"/>
      <c r="I2155" s="235"/>
      <c r="J2155" s="235"/>
      <c r="K2155" s="235"/>
      <c r="L2155" s="235"/>
      <c r="M2155" s="235"/>
      <c r="N2155" s="235"/>
      <c r="P2155" s="230">
        <f t="shared" si="974"/>
        <v>0</v>
      </c>
    </row>
    <row r="2156" spans="1:16" x14ac:dyDescent="0.2">
      <c r="B2156" s="225" t="s">
        <v>462</v>
      </c>
      <c r="C2156" s="234"/>
      <c r="D2156" s="234"/>
      <c r="E2156" s="234"/>
      <c r="F2156" s="234"/>
      <c r="G2156" s="234"/>
      <c r="H2156" s="234"/>
      <c r="I2156" s="235"/>
      <c r="J2156" s="235"/>
      <c r="K2156" s="235"/>
      <c r="L2156" s="235"/>
      <c r="M2156" s="235"/>
      <c r="N2156" s="235"/>
      <c r="P2156" s="230">
        <f t="shared" si="974"/>
        <v>0</v>
      </c>
    </row>
    <row r="2157" spans="1:16" x14ac:dyDescent="0.2">
      <c r="B2157" s="225" t="s">
        <v>2037</v>
      </c>
      <c r="C2157" s="234"/>
      <c r="D2157" s="234"/>
      <c r="E2157" s="234"/>
      <c r="F2157" s="234"/>
      <c r="G2157" s="234"/>
      <c r="H2157" s="234"/>
      <c r="I2157" s="235"/>
      <c r="J2157" s="235"/>
      <c r="K2157" s="235"/>
      <c r="L2157" s="235"/>
      <c r="M2157" s="235"/>
      <c r="N2157" s="235"/>
      <c r="P2157" s="230">
        <f t="shared" si="974"/>
        <v>0</v>
      </c>
    </row>
    <row r="2158" spans="1:16" x14ac:dyDescent="0.2">
      <c r="B2158" s="225" t="s">
        <v>2052</v>
      </c>
      <c r="C2158" s="234"/>
      <c r="D2158" s="234"/>
      <c r="E2158" s="234"/>
      <c r="F2158" s="234"/>
      <c r="G2158" s="234"/>
      <c r="H2158" s="234"/>
      <c r="I2158" s="235"/>
      <c r="J2158" s="235"/>
      <c r="K2158" s="235"/>
      <c r="L2158" s="235"/>
      <c r="M2158" s="235"/>
      <c r="N2158" s="235"/>
      <c r="P2158" s="230">
        <f t="shared" si="974"/>
        <v>0</v>
      </c>
    </row>
    <row r="2159" spans="1:16" x14ac:dyDescent="0.2">
      <c r="B2159" s="225"/>
      <c r="C2159" s="225"/>
      <c r="D2159" s="225"/>
      <c r="E2159" s="225"/>
      <c r="F2159" s="225"/>
      <c r="G2159" s="225"/>
      <c r="H2159" s="201"/>
      <c r="I2159" s="226"/>
      <c r="J2159" s="226"/>
      <c r="K2159" s="226"/>
      <c r="L2159" s="226"/>
      <c r="M2159" s="226"/>
      <c r="N2159" s="226"/>
      <c r="P2159" s="230">
        <f t="shared" si="974"/>
        <v>0</v>
      </c>
    </row>
    <row r="2160" spans="1:16" x14ac:dyDescent="0.2">
      <c r="B2160" s="288" t="s">
        <v>106</v>
      </c>
      <c r="C2160" s="290" t="s">
        <v>463</v>
      </c>
      <c r="D2160" s="288" t="s">
        <v>464</v>
      </c>
      <c r="E2160" s="288" t="s">
        <v>465</v>
      </c>
      <c r="F2160" s="288" t="s">
        <v>490</v>
      </c>
      <c r="G2160" s="288" t="s">
        <v>466</v>
      </c>
      <c r="H2160" s="292" t="s">
        <v>8</v>
      </c>
      <c r="I2160" s="294" t="s">
        <v>467</v>
      </c>
      <c r="J2160" s="295"/>
      <c r="K2160" s="295"/>
      <c r="L2160" s="296"/>
      <c r="M2160" s="297" t="s">
        <v>468</v>
      </c>
      <c r="N2160" s="299" t="s">
        <v>469</v>
      </c>
      <c r="P2160" s="230">
        <f t="shared" si="974"/>
        <v>0</v>
      </c>
    </row>
    <row r="2161" spans="1:43" x14ac:dyDescent="0.2">
      <c r="B2161" s="289"/>
      <c r="C2161" s="291"/>
      <c r="D2161" s="289"/>
      <c r="E2161" s="289"/>
      <c r="F2161" s="289"/>
      <c r="G2161" s="289"/>
      <c r="H2161" s="293"/>
      <c r="I2161" s="236" t="s">
        <v>470</v>
      </c>
      <c r="J2161" s="236" t="s">
        <v>471</v>
      </c>
      <c r="K2161" s="236" t="s">
        <v>472</v>
      </c>
      <c r="L2161" s="236" t="s">
        <v>473</v>
      </c>
      <c r="M2161" s="298"/>
      <c r="N2161" s="300"/>
      <c r="P2161" s="230">
        <f t="shared" si="974"/>
        <v>0</v>
      </c>
    </row>
    <row r="2162" spans="1:43" x14ac:dyDescent="0.2">
      <c r="A2162" s="224" t="str">
        <f>CONCATENATE("Лот"," ",A2163)</f>
        <v>Лот 40</v>
      </c>
      <c r="B2162" s="273" t="s">
        <v>2087</v>
      </c>
      <c r="C2162" s="274"/>
      <c r="D2162" s="274"/>
      <c r="E2162" s="274"/>
      <c r="F2162" s="274"/>
      <c r="G2162" s="275"/>
      <c r="H2162" s="238" t="s">
        <v>17</v>
      </c>
      <c r="I2162" s="270">
        <f ca="1">ROUND(VLOOKUP($H2162,$AJ$4:$AN$13,2,0)*$Q2164*1.51,2)</f>
        <v>120.15</v>
      </c>
      <c r="J2162" s="270">
        <f ca="1">ROUND(VLOOKUP($H2162,$AJ$4:$AN$13,3,0)*$Q2164*1.51,2)</f>
        <v>85.62</v>
      </c>
      <c r="K2162" s="270">
        <f ca="1">ROUND(VLOOKUP($H2162,$AJ$4:$AN$13,4,0)*$Q2164*1.51,2)</f>
        <v>43.38</v>
      </c>
      <c r="L2162" s="270"/>
      <c r="M2162" s="270">
        <f ca="1">ROUND(VLOOKUP($H2162,$AJ$4:$AN$13,5,0)*$Q2164*1.51,2)</f>
        <v>6.85</v>
      </c>
      <c r="N2162" s="270"/>
      <c r="P2162" s="230">
        <f t="shared" si="974"/>
        <v>1</v>
      </c>
    </row>
    <row r="2163" spans="1:43" x14ac:dyDescent="0.2">
      <c r="A2163" s="224">
        <f>A2108+1</f>
        <v>40</v>
      </c>
      <c r="B2163" s="276"/>
      <c r="C2163" s="277"/>
      <c r="D2163" s="277"/>
      <c r="E2163" s="277"/>
      <c r="F2163" s="277"/>
      <c r="G2163" s="278"/>
      <c r="H2163" s="238" t="s">
        <v>25</v>
      </c>
      <c r="I2163" s="270">
        <f ca="1">ROUND(VLOOKUP($H2163,$AJ$4:$AN$13,2,0)*$Q2164*1.51,2)</f>
        <v>898.69</v>
      </c>
      <c r="J2163" s="270">
        <f ca="1">ROUND(VLOOKUP($H2163,$AJ$4:$AN$13,3,0)*$Q2164*1.51,2)</f>
        <v>642.13</v>
      </c>
      <c r="K2163" s="270">
        <f ca="1">ROUND(VLOOKUP($H2163,$AJ$4:$AN$13,4,0)*$Q2164*1.51,2)</f>
        <v>323.06</v>
      </c>
      <c r="L2163" s="270"/>
      <c r="M2163" s="270">
        <f ca="1">ROUND(VLOOKUP($H2163,$AJ$4:$AN$13,5,0)*$Q2164*1.51,2)</f>
        <v>27.97</v>
      </c>
      <c r="N2163" s="270"/>
      <c r="P2163" s="230">
        <f t="shared" si="974"/>
        <v>1</v>
      </c>
      <c r="Q2163" s="240" t="s">
        <v>2045</v>
      </c>
      <c r="R2163" s="240" t="s">
        <v>2046</v>
      </c>
    </row>
    <row r="2164" spans="1:43" x14ac:dyDescent="0.2">
      <c r="B2164" s="276"/>
      <c r="C2164" s="277"/>
      <c r="D2164" s="277"/>
      <c r="E2164" s="277"/>
      <c r="F2164" s="277"/>
      <c r="G2164" s="278"/>
      <c r="H2164" s="238" t="s">
        <v>19</v>
      </c>
      <c r="I2164" s="270">
        <f ca="1">ROUND(VLOOKUP($H2164,$AJ$4:$AN$13,2,0)*$Q2164*1.51,2)</f>
        <v>71.349999999999994</v>
      </c>
      <c r="J2164" s="270">
        <f ca="1">ROUND(VLOOKUP($H2164,$AJ$4:$AN$13,3,0)*$Q2164*1.51,2)</f>
        <v>51.94</v>
      </c>
      <c r="K2164" s="270">
        <f ca="1">ROUND(VLOOKUP($H2164,$AJ$4:$AN$13,4,0)*$Q2164*1.51,2)</f>
        <v>26.54</v>
      </c>
      <c r="L2164" s="270"/>
      <c r="M2164" s="270">
        <f ca="1">ROUND(VLOOKUP($H2164,$AJ$4:$AN$13,5,0)*$Q2164*1.51,2)</f>
        <v>1.43</v>
      </c>
      <c r="N2164" s="270"/>
      <c r="P2164" s="230">
        <f t="shared" si="974"/>
        <v>0</v>
      </c>
      <c r="Q2164" s="123">
        <f ca="1">IFERROR(IF(R2164="","",IF(OR(R2164&lt;100,R2164=100),0.9,IF(OR(AND(R2164&gt;100,R2164&lt;150),R2164=150),1,IF(R2164&gt;150,1.05,"")))),"0")</f>
        <v>1.05</v>
      </c>
      <c r="R2164" s="123">
        <f ca="1">N2180/G2168</f>
        <v>232.56428571428575</v>
      </c>
    </row>
    <row r="2165" spans="1:43" x14ac:dyDescent="0.2">
      <c r="B2165" s="276"/>
      <c r="C2165" s="277"/>
      <c r="D2165" s="277"/>
      <c r="E2165" s="277"/>
      <c r="F2165" s="277"/>
      <c r="G2165" s="278"/>
      <c r="H2165" s="238" t="s">
        <v>268</v>
      </c>
      <c r="I2165" s="270">
        <f ca="1">ROUND(VLOOKUP($H2165,$AJ$4:$AN$13,2,0)*$Q2164*1.51,2)</f>
        <v>898.69</v>
      </c>
      <c r="J2165" s="270">
        <f ca="1">ROUND(VLOOKUP($H2165,$AJ$4:$AN$13,3,0)*$Q2164*1.51,2)</f>
        <v>642.13</v>
      </c>
      <c r="K2165" s="270">
        <f ca="1">ROUND(VLOOKUP($H2165,$AJ$4:$AN$13,4,0)*$Q2164*1.51,2)</f>
        <v>323.06</v>
      </c>
      <c r="L2165" s="270"/>
      <c r="M2165" s="270">
        <f ca="1">ROUND(VLOOKUP($H2165,$AJ$4:$AN$13,5,0)*$Q2164*1.51,2)</f>
        <v>27.97</v>
      </c>
      <c r="N2165" s="270"/>
    </row>
    <row r="2166" spans="1:43" x14ac:dyDescent="0.2">
      <c r="B2166" s="276"/>
      <c r="C2166" s="277"/>
      <c r="D2166" s="277"/>
      <c r="E2166" s="277"/>
      <c r="F2166" s="277"/>
      <c r="G2166" s="278"/>
      <c r="H2166" s="238" t="s">
        <v>40</v>
      </c>
      <c r="I2166" s="270">
        <f ca="1">ROUND(VLOOKUP($H2166,$AJ$4:$AN$13,2,0)*$Q2164*1.51,2)</f>
        <v>71.349999999999994</v>
      </c>
      <c r="J2166" s="270">
        <f ca="1">ROUND(VLOOKUP($H2166,$AJ$4:$AN$13,3,0)*$Q2164*1.51,2)</f>
        <v>51.94</v>
      </c>
      <c r="K2166" s="270">
        <f ca="1">ROUND(VLOOKUP($H2166,$AJ$4:$AN$13,4,0)*$Q2164*1.51,2)</f>
        <v>26.54</v>
      </c>
      <c r="L2166" s="270"/>
      <c r="M2166" s="270">
        <f ca="1">ROUND(VLOOKUP($H2166,$AJ$4:$AN$13,5,0)*$Q2164*1.51,2)</f>
        <v>1.43</v>
      </c>
      <c r="N2166" s="270"/>
      <c r="P2166" s="230">
        <f t="shared" ref="P2166:P2179" si="975">IF(A2166&gt;0,1,0)</f>
        <v>0</v>
      </c>
    </row>
    <row r="2167" spans="1:43" x14ac:dyDescent="0.2">
      <c r="B2167" s="279"/>
      <c r="C2167" s="280"/>
      <c r="D2167" s="280"/>
      <c r="E2167" s="280"/>
      <c r="F2167" s="280"/>
      <c r="G2167" s="281"/>
      <c r="H2167" s="238" t="s">
        <v>18</v>
      </c>
      <c r="I2167" s="270">
        <f ca="1">ROUND(VLOOKUP($H2167,$AJ$4:$AN$13,2,0)*$Q2164*1.51,2)</f>
        <v>22.83</v>
      </c>
      <c r="J2167" s="270">
        <f ca="1">ROUND(VLOOKUP($H2167,$AJ$4:$AN$13,3,0)*$Q2164*1.51,2)</f>
        <v>17.41</v>
      </c>
      <c r="K2167" s="270">
        <f ca="1">ROUND(VLOOKUP($H2167,$AJ$4:$AN$13,4,0)*$Q2164*1.51,2)</f>
        <v>8.85</v>
      </c>
      <c r="L2167" s="270"/>
      <c r="M2167" s="270">
        <f ca="1">ROUND(VLOOKUP($H2167,$AJ$4:$AN$13,5,0)*$Q2164*1.51*1,2)</f>
        <v>0.56999999999999995</v>
      </c>
      <c r="N2167" s="270"/>
      <c r="P2167" s="230">
        <f t="shared" si="975"/>
        <v>0</v>
      </c>
      <c r="AP2167" s="241" t="s">
        <v>2053</v>
      </c>
      <c r="AQ2167" s="242"/>
    </row>
    <row r="2168" spans="1:43" x14ac:dyDescent="0.2">
      <c r="A2168" s="224">
        <f>A2113+37</f>
        <v>1443</v>
      </c>
      <c r="B2168" s="243" t="str">
        <f ca="1">OFFSET(ЛОТЫ!$L$5,A2168,0,1,1)</f>
        <v>Тимерликовское</v>
      </c>
      <c r="C2168" s="244" t="s">
        <v>474</v>
      </c>
      <c r="D2168" s="243">
        <f ca="1">OFFSET(ЛОТЫ!$M$5,A2168,0,1,1)</f>
        <v>16</v>
      </c>
      <c r="E2168" s="243">
        <f ca="1">OFFSET(ЛОТЫ!$N$5,A2168,0,1,1)</f>
        <v>9</v>
      </c>
      <c r="F2168" s="243">
        <f ca="1">OFFSET(ЛОТЫ!$O$5,A2168,0,1,1)</f>
        <v>5</v>
      </c>
      <c r="G2168" s="271">
        <f ca="1">IFERROR(INDEX('Ведомость расчета мин. платы'!$G$10:$AC$214,MATCH(CONCATENATE(B2168,"/",D2168,"/",E2168,"/",F2168),'Ведомость расчета мин. платы'!$AC$10:$AC$214,0),1),"")</f>
        <v>2.8</v>
      </c>
      <c r="H2168" s="246" t="s">
        <v>17</v>
      </c>
      <c r="I2168" s="247">
        <f ca="1">IFERROR(INDEX('Ведомость расчета мин. платы'!$J$10:$AE$214,MATCH(CONCATENATE(РАСЧЕТ!B2168,"/",РАСЧЕТ!D2168,"/",РАСЧЕТ!E2168,"/",F2168,"/",H2168),'Ведомость расчета мин. платы'!$AE$10:$AE$214,0),2),"")</f>
        <v>4.75</v>
      </c>
      <c r="J2168" s="247">
        <f ca="1">IFERROR(INDEX('Ведомость расчета мин. платы'!$J$10:$AE$214,MATCH(CONCATENATE(РАСЧЕТ!B2168,"/",РАСЧЕТ!D2168,"/",РАСЧЕТ!E2168,"/",F2168,"/",H2168),'Ведомость расчета мин. платы'!$AE$10:$AE$214,0),3),"")</f>
        <v>30.95</v>
      </c>
      <c r="K2168" s="247">
        <f ca="1">IFERROR(INDEX('Ведомость расчета мин. платы'!$J$10:$AE$214,MATCH(CONCATENATE(РАСЧЕТ!B2168,"/",РАСЧЕТ!D2168,"/",РАСЧЕТ!E2168,"/",F2168,"/",H2168),'Ведомость расчета мин. платы'!$AE$10:$AE$214,0),4),"")</f>
        <v>11.28</v>
      </c>
      <c r="L2168" s="248">
        <f t="shared" ref="L2168:L2180" ca="1" si="976">IFERROR(SUM(I2168:K2168),"")</f>
        <v>46.980000000000004</v>
      </c>
      <c r="M2168" s="214">
        <f ca="1">IFERROR(INDEX('Ведомость расчета мин. платы'!$J$10:$AE$214,MATCH(CONCATENATE(РАСЧЕТ!B2168,"/",РАСЧЕТ!D2168,"/",РАСЧЕТ!E2168,"/",F2168,"/",H2168),'Ведомость расчета мин. платы'!$AE$10:$AE$214,0),6),"")</f>
        <v>21.87</v>
      </c>
      <c r="N2168" s="214">
        <f t="shared" ref="N2168:N2180" ca="1" si="977">IFERROR(SUM(L2168:M2168),"")</f>
        <v>68.850000000000009</v>
      </c>
      <c r="O2168" s="229">
        <f>IF(H2168="стоимость","",1)</f>
        <v>1</v>
      </c>
      <c r="P2168" s="230">
        <f t="shared" si="975"/>
        <v>1</v>
      </c>
      <c r="AP2168" s="242"/>
      <c r="AQ2168" s="242"/>
    </row>
    <row r="2169" spans="1:43" x14ac:dyDescent="0.2">
      <c r="B2169" s="249"/>
      <c r="C2169" s="249"/>
      <c r="D2169" s="249"/>
      <c r="E2169" s="249"/>
      <c r="F2169" s="249"/>
      <c r="G2169" s="249"/>
      <c r="H2169" s="250" t="s">
        <v>475</v>
      </c>
      <c r="I2169" s="251">
        <f ca="1">IFERROR(ROUND(I2168*I2162,2),"")</f>
        <v>570.71</v>
      </c>
      <c r="J2169" s="251">
        <f t="shared" ref="J2169" ca="1" si="978">IFERROR(ROUND(J2168*J2162,2),"")</f>
        <v>2649.94</v>
      </c>
      <c r="K2169" s="251">
        <f t="shared" ref="K2169" ca="1" si="979">IFERROR(ROUND(K2168*K2162,2),"")</f>
        <v>489.33</v>
      </c>
      <c r="L2169" s="251">
        <f t="shared" ca="1" si="976"/>
        <v>3709.98</v>
      </c>
      <c r="M2169" s="251">
        <f t="shared" ref="M2169" ca="1" si="980">IFERROR(ROUND(M2168*M2162,2),"")</f>
        <v>149.81</v>
      </c>
      <c r="N2169" s="252">
        <f t="shared" ca="1" si="977"/>
        <v>3859.79</v>
      </c>
      <c r="O2169" s="229" t="str">
        <f t="shared" ref="O2169:O2179" si="981">IF(H2169="стоимость","",1)</f>
        <v/>
      </c>
      <c r="P2169" s="230">
        <f t="shared" si="975"/>
        <v>0</v>
      </c>
      <c r="AP2169" s="242">
        <f ca="1">SUMIFS('Ведомость расчета мин. платы'!$S$10:$S$209,'Ведомость расчета мин. платы'!$AE$10:$AE$209,CONCATENATE(B2168,"/",D2168,"/",E2168,"/",F2168,"/",H2168))</f>
        <v>3859.79</v>
      </c>
      <c r="AQ2169" s="253">
        <f t="shared" ref="AQ2169" ca="1" si="982">AP2169-N2169</f>
        <v>0</v>
      </c>
    </row>
    <row r="2170" spans="1:43" x14ac:dyDescent="0.2">
      <c r="B2170" s="249"/>
      <c r="C2170" s="249"/>
      <c r="D2170" s="249"/>
      <c r="E2170" s="249"/>
      <c r="F2170" s="249"/>
      <c r="G2170" s="249"/>
      <c r="H2170" s="246" t="s">
        <v>25</v>
      </c>
      <c r="I2170" s="247" t="str">
        <f ca="1">IFERROR(INDEX('Ведомость расчета мин. платы'!$J$10:$AE$214,MATCH(CONCATENATE(РАСЧЕТ!B2168,"/",РАСЧЕТ!D2168,"/",РАСЧЕТ!E2168,"/",F2168,"/",H2170),'Ведомость расчета мин. платы'!$AE$10:$AE$214,0),2),"")</f>
        <v/>
      </c>
      <c r="J2170" s="247" t="str">
        <f ca="1">IFERROR(INDEX('Ведомость расчета мин. платы'!$J$10:$AE$214,MATCH(CONCATENATE(РАСЧЕТ!B2168,"/",РАСЧЕТ!D2168,"/",РАСЧЕТ!E2168,"/",F2168,"/",H2170),'Ведомость расчета мин. платы'!$AE$10:$AE$214,0),3),"")</f>
        <v/>
      </c>
      <c r="K2170" s="247" t="str">
        <f ca="1">IFERROR(INDEX('Ведомость расчета мин. платы'!$J$10:$AE$214,MATCH(CONCATENATE(РАСЧЕТ!B2168,"/",РАСЧЕТ!D2168,"/",РАСЧЕТ!E2168,"/",F2168,"/",H2170),'Ведомость расчета мин. платы'!$AE$10:$AE$214,0),4),"")</f>
        <v/>
      </c>
      <c r="L2170" s="248">
        <f t="shared" ca="1" si="976"/>
        <v>0</v>
      </c>
      <c r="M2170" s="214" t="str">
        <f ca="1">IFERROR(INDEX('Ведомость расчета мин. платы'!$J$10:$AE$214,MATCH(CONCATENATE(РАСЧЕТ!B2168,"/",РАСЧЕТ!D2168,"/",РАСЧЕТ!E2168,"/",F2168,"/",H2170),'Ведомость расчета мин. платы'!$AE$10:$AE$214,0),6),"")</f>
        <v/>
      </c>
      <c r="N2170" s="214">
        <f t="shared" ca="1" si="977"/>
        <v>0</v>
      </c>
      <c r="O2170" s="229">
        <f t="shared" si="981"/>
        <v>1</v>
      </c>
      <c r="P2170" s="230">
        <f t="shared" si="975"/>
        <v>0</v>
      </c>
      <c r="AP2170" s="242"/>
      <c r="AQ2170" s="253"/>
    </row>
    <row r="2171" spans="1:43" x14ac:dyDescent="0.2">
      <c r="B2171" s="249"/>
      <c r="C2171" s="249"/>
      <c r="D2171" s="249"/>
      <c r="E2171" s="249"/>
      <c r="F2171" s="249"/>
      <c r="G2171" s="249"/>
      <c r="H2171" s="250" t="s">
        <v>475</v>
      </c>
      <c r="I2171" s="251" t="str">
        <f ca="1">IFERROR(ROUND(I2170*I2163,2),"")</f>
        <v/>
      </c>
      <c r="J2171" s="251" t="str">
        <f t="shared" ref="J2171" ca="1" si="983">IFERROR(ROUND(J2170*J2163,2),"")</f>
        <v/>
      </c>
      <c r="K2171" s="251" t="str">
        <f t="shared" ref="K2171" ca="1" si="984">IFERROR(ROUND(K2170*K2163,2),"")</f>
        <v/>
      </c>
      <c r="L2171" s="251">
        <f t="shared" ca="1" si="976"/>
        <v>0</v>
      </c>
      <c r="M2171" s="251" t="str">
        <f t="shared" ref="M2171" ca="1" si="985">IFERROR(ROUND(M2170*M2163,2),"")</f>
        <v/>
      </c>
      <c r="N2171" s="252">
        <f t="shared" ca="1" si="977"/>
        <v>0</v>
      </c>
      <c r="O2171" s="229" t="str">
        <f t="shared" si="981"/>
        <v/>
      </c>
      <c r="P2171" s="230">
        <f t="shared" si="975"/>
        <v>0</v>
      </c>
      <c r="AP2171" s="242">
        <f ca="1">SUMIFS('Ведомость расчета мин. платы'!$S$10:$S$209,'Ведомость расчета мин. платы'!$AE$10:$AE$209,CONCATENATE(B2168,"/",D2168,"/",E2168,"/",F2168,"/",H2170))</f>
        <v>0</v>
      </c>
      <c r="AQ2171" s="253">
        <f t="shared" ref="AQ2171" ca="1" si="986">AP2171-N2171</f>
        <v>0</v>
      </c>
    </row>
    <row r="2172" spans="1:43" x14ac:dyDescent="0.2">
      <c r="B2172" s="249"/>
      <c r="C2172" s="249"/>
      <c r="D2172" s="249"/>
      <c r="E2172" s="249"/>
      <c r="F2172" s="249"/>
      <c r="G2172" s="249"/>
      <c r="H2172" s="205" t="s">
        <v>19</v>
      </c>
      <c r="I2172" s="248" t="str">
        <f ca="1">IFERROR(INDEX('Ведомость расчета мин. платы'!$J$10:$AE$214,MATCH(CONCATENATE(РАСЧЕТ!B2168,"/",РАСЧЕТ!D2168,"/",РАСЧЕТ!E2168,"/",F2168,"/",H2172),'Ведомость расчета мин. платы'!$AE$10:$AE$214,0),2),"")</f>
        <v/>
      </c>
      <c r="J2172" s="248" t="str">
        <f ca="1">IFERROR(INDEX('Ведомость расчета мин. платы'!$J$10:$AE$214,MATCH(CONCATENATE(РАСЧЕТ!B2168,"/",РАСЧЕТ!D2168,"/",РАСЧЕТ!E2168,"/",F2168,"/",H2172),'Ведомость расчета мин. платы'!$AE$10:$AE$214,0),3),"")</f>
        <v/>
      </c>
      <c r="K2172" s="248" t="str">
        <f ca="1">IFERROR(INDEX('Ведомость расчета мин. платы'!$J$10:$AE$214,MATCH(CONCATENATE(РАСЧЕТ!B2168,"/",РАСЧЕТ!D2168,"/",РАСЧЕТ!E2168,"/",F2168,"/",H2172),'Ведомость расчета мин. платы'!$AE$10:$AE$214,0),4),"")</f>
        <v/>
      </c>
      <c r="L2172" s="248">
        <f t="shared" ca="1" si="976"/>
        <v>0</v>
      </c>
      <c r="M2172" s="248" t="str">
        <f ca="1">IFERROR(INDEX('Ведомость расчета мин. платы'!$J$10:$AE$214,MATCH(CONCATENATE(РАСЧЕТ!B2168,"/",РАСЧЕТ!D2168,"/",РАСЧЕТ!E2168,"/",F2168,"/",H2172),'Ведомость расчета мин. платы'!$AE$10:$AE$214,0),6),"")</f>
        <v/>
      </c>
      <c r="N2172" s="214">
        <f t="shared" ca="1" si="977"/>
        <v>0</v>
      </c>
      <c r="O2172" s="229">
        <f t="shared" si="981"/>
        <v>1</v>
      </c>
      <c r="P2172" s="230">
        <f t="shared" si="975"/>
        <v>0</v>
      </c>
      <c r="AP2172" s="242"/>
      <c r="AQ2172" s="253"/>
    </row>
    <row r="2173" spans="1:43" x14ac:dyDescent="0.2">
      <c r="B2173" s="249"/>
      <c r="C2173" s="249"/>
      <c r="D2173" s="249"/>
      <c r="E2173" s="249"/>
      <c r="F2173" s="249"/>
      <c r="G2173" s="249"/>
      <c r="H2173" s="250" t="s">
        <v>475</v>
      </c>
      <c r="I2173" s="251" t="str">
        <f ca="1">IFERROR(ROUND(I2172*I2164,2),"")</f>
        <v/>
      </c>
      <c r="J2173" s="251" t="str">
        <f t="shared" ref="J2173" ca="1" si="987">IFERROR(ROUND(J2172*J2164,2),"")</f>
        <v/>
      </c>
      <c r="K2173" s="251" t="str">
        <f t="shared" ref="K2173" ca="1" si="988">IFERROR(ROUND(K2172*K2164,2),"")</f>
        <v/>
      </c>
      <c r="L2173" s="251">
        <f t="shared" ca="1" si="976"/>
        <v>0</v>
      </c>
      <c r="M2173" s="251" t="str">
        <f t="shared" ref="M2173" ca="1" si="989">IFERROR(ROUND(M2172*M2164,2),"")</f>
        <v/>
      </c>
      <c r="N2173" s="252">
        <f t="shared" ca="1" si="977"/>
        <v>0</v>
      </c>
      <c r="O2173" s="229" t="str">
        <f t="shared" si="981"/>
        <v/>
      </c>
      <c r="P2173" s="230">
        <f t="shared" si="975"/>
        <v>0</v>
      </c>
      <c r="AP2173" s="242">
        <f ca="1">SUMIFS('Ведомость расчета мин. платы'!$S$10:$S$209,'Ведомость расчета мин. платы'!$AE$10:$AE$209,CONCATENATE(B2168,"/",D2168,"/",E2168,"/",F2168,"/",H2172))</f>
        <v>0</v>
      </c>
      <c r="AQ2173" s="253">
        <f t="shared" ref="AQ2173" ca="1" si="990">AP2173-N2173</f>
        <v>0</v>
      </c>
    </row>
    <row r="2174" spans="1:43" x14ac:dyDescent="0.2">
      <c r="B2174" s="249"/>
      <c r="C2174" s="249"/>
      <c r="D2174" s="249"/>
      <c r="E2174" s="249"/>
      <c r="F2174" s="249"/>
      <c r="G2174" s="249"/>
      <c r="H2174" s="205" t="s">
        <v>268</v>
      </c>
      <c r="I2174" s="248" t="str">
        <f ca="1">IFERROR(INDEX('Ведомость расчета мин. платы'!$J$10:$AE$214,MATCH(CONCATENATE(РАСЧЕТ!B2168,"/",РАСЧЕТ!D2168,"/",РАСЧЕТ!E2168,"/",F2168,"/",H2174),'Ведомость расчета мин. платы'!$AE$10:$AE$214,0),2),"")</f>
        <v/>
      </c>
      <c r="J2174" s="248" t="str">
        <f ca="1">IFERROR(INDEX('Ведомость расчета мин. платы'!$J$10:$AE$214,MATCH(CONCATENATE(РАСЧЕТ!B2168,"/",РАСЧЕТ!D2168,"/",РАСЧЕТ!E2168,"/",F2168,"/",H2174),'Ведомость расчета мин. платы'!$AE$10:$AE$214,0),3),"")</f>
        <v/>
      </c>
      <c r="K2174" s="248" t="str">
        <f ca="1">IFERROR(INDEX('Ведомость расчета мин. платы'!$J$10:$AE$214,MATCH(CONCATENATE(РАСЧЕТ!B2168,"/",РАСЧЕТ!D2168,"/",РАСЧЕТ!E2168,"/",F2168,"/",H2174),'Ведомость расчета мин. платы'!$AE$10:$AE$214,0),4),"")</f>
        <v/>
      </c>
      <c r="L2174" s="248">
        <f t="shared" ca="1" si="976"/>
        <v>0</v>
      </c>
      <c r="M2174" s="248" t="str">
        <f ca="1">IFERROR(INDEX('Ведомость расчета мин. платы'!$J$10:$AE$214,MATCH(CONCATENATE(РАСЧЕТ!B2168,"/",РАСЧЕТ!D2168,"/",РАСЧЕТ!E2168,"/",F2168,"/",H2174),'Ведомость расчета мин. платы'!$AE$10:$AE$214,0),6),"")</f>
        <v/>
      </c>
      <c r="N2174" s="214">
        <f t="shared" ca="1" si="977"/>
        <v>0</v>
      </c>
      <c r="O2174" s="229">
        <f t="shared" si="981"/>
        <v>1</v>
      </c>
      <c r="P2174" s="230">
        <f t="shared" si="975"/>
        <v>0</v>
      </c>
      <c r="AP2174" s="242"/>
      <c r="AQ2174" s="253"/>
    </row>
    <row r="2175" spans="1:43" x14ac:dyDescent="0.2">
      <c r="B2175" s="249"/>
      <c r="C2175" s="249"/>
      <c r="D2175" s="249"/>
      <c r="E2175" s="249"/>
      <c r="F2175" s="249"/>
      <c r="G2175" s="249"/>
      <c r="H2175" s="250" t="s">
        <v>475</v>
      </c>
      <c r="I2175" s="251" t="str">
        <f ca="1">IFERROR(ROUND(I2174*I2167,2),"")</f>
        <v/>
      </c>
      <c r="J2175" s="251" t="str">
        <f ca="1">IFERROR(ROUND(J2174*J2165,2),"")</f>
        <v/>
      </c>
      <c r="K2175" s="251" t="str">
        <f ca="1">IFERROR(ROUND(K2174*K2165,2),"")</f>
        <v/>
      </c>
      <c r="L2175" s="251">
        <f t="shared" ca="1" si="976"/>
        <v>0</v>
      </c>
      <c r="M2175" s="251" t="str">
        <f ca="1">IFERROR(ROUND(M2174*M2165,2),"")</f>
        <v/>
      </c>
      <c r="N2175" s="252">
        <f t="shared" ca="1" si="977"/>
        <v>0</v>
      </c>
      <c r="O2175" s="229" t="str">
        <f t="shared" si="981"/>
        <v/>
      </c>
      <c r="P2175" s="230">
        <f t="shared" si="975"/>
        <v>0</v>
      </c>
      <c r="AP2175" s="242">
        <f ca="1">SUMIFS('Ведомость расчета мин. платы'!$S$10:$S$209,'Ведомость расчета мин. платы'!$AE$10:$AE$209,CONCATENATE(B2168,"/",D2168,"/",E2168,"/",F2168,"/",H2174))</f>
        <v>0</v>
      </c>
      <c r="AQ2175" s="253">
        <f t="shared" ref="AQ2175" ca="1" si="991">AP2175-N2175</f>
        <v>0</v>
      </c>
    </row>
    <row r="2176" spans="1:43" x14ac:dyDescent="0.2">
      <c r="B2176" s="249"/>
      <c r="C2176" s="249"/>
      <c r="D2176" s="249"/>
      <c r="E2176" s="249"/>
      <c r="F2176" s="249"/>
      <c r="G2176" s="249"/>
      <c r="H2176" s="205" t="s">
        <v>40</v>
      </c>
      <c r="I2176" s="248" t="str">
        <f ca="1">IFERROR(INDEX('Ведомость расчета мин. платы'!$J$10:$AE$214,MATCH(CONCATENATE(РАСЧЕТ!B2168,"/",РАСЧЕТ!D2168,"/",РАСЧЕТ!E2168,"/",F2168,"/",H2176),'Ведомость расчета мин. платы'!$AE$10:$AE$214,0),2),"")</f>
        <v/>
      </c>
      <c r="J2176" s="248" t="str">
        <f ca="1">IFERROR(INDEX('Ведомость расчета мин. платы'!$J$10:$AE$214,MATCH(CONCATENATE(РАСЧЕТ!B2168,"/",РАСЧЕТ!D2168,"/",РАСЧЕТ!E2168,"/",F2168,"/",H2176),'Ведомость расчета мин. платы'!$AE$10:$AE$214,0),3),"")</f>
        <v/>
      </c>
      <c r="K2176" s="248" t="str">
        <f ca="1">IFERROR(INDEX('Ведомость расчета мин. платы'!$J$10:$AE$214,MATCH(CONCATENATE(РАСЧЕТ!B2168,"/",РАСЧЕТ!D2168,"/",РАСЧЕТ!E2168,"/",F2168,"/",H2176),'Ведомость расчета мин. платы'!$AE$10:$AE$214,0),4),"")</f>
        <v/>
      </c>
      <c r="L2176" s="248">
        <f t="shared" ca="1" si="976"/>
        <v>0</v>
      </c>
      <c r="M2176" s="248" t="str">
        <f ca="1">IFERROR(INDEX('Ведомость расчета мин. платы'!$J$10:$AE$214,MATCH(CONCATENATE(РАСЧЕТ!B2168,"/",РАСЧЕТ!D2168,"/",РАСЧЕТ!E2168,"/",F2168,"/",H2176),'Ведомость расчета мин. платы'!$AE$10:$AE$214,0),6),"")</f>
        <v/>
      </c>
      <c r="N2176" s="214">
        <f t="shared" ca="1" si="977"/>
        <v>0</v>
      </c>
      <c r="O2176" s="229">
        <f t="shared" si="981"/>
        <v>1</v>
      </c>
      <c r="P2176" s="230">
        <f t="shared" si="975"/>
        <v>0</v>
      </c>
      <c r="AP2176" s="242"/>
      <c r="AQ2176" s="253"/>
    </row>
    <row r="2177" spans="2:43" x14ac:dyDescent="0.2">
      <c r="B2177" s="249"/>
      <c r="C2177" s="249"/>
      <c r="D2177" s="249"/>
      <c r="E2177" s="249"/>
      <c r="F2177" s="249"/>
      <c r="G2177" s="249"/>
      <c r="H2177" s="250" t="s">
        <v>475</v>
      </c>
      <c r="I2177" s="251" t="str">
        <f ca="1">IFERROR(ROUND(I2176*I2166,2),"")</f>
        <v/>
      </c>
      <c r="J2177" s="251" t="str">
        <f t="shared" ref="J2177" ca="1" si="992">IFERROR(ROUND(J2176*J2166,2),"")</f>
        <v/>
      </c>
      <c r="K2177" s="251" t="str">
        <f t="shared" ref="K2177" ca="1" si="993">IFERROR(ROUND(K2176*K2166,2),"")</f>
        <v/>
      </c>
      <c r="L2177" s="251">
        <f t="shared" ca="1" si="976"/>
        <v>0</v>
      </c>
      <c r="M2177" s="251" t="str">
        <f t="shared" ref="M2177" ca="1" si="994">IFERROR(ROUND(M2176*M2166,2),"")</f>
        <v/>
      </c>
      <c r="N2177" s="252">
        <f t="shared" ca="1" si="977"/>
        <v>0</v>
      </c>
      <c r="O2177" s="229" t="str">
        <f t="shared" si="981"/>
        <v/>
      </c>
      <c r="P2177" s="230">
        <f t="shared" si="975"/>
        <v>0</v>
      </c>
      <c r="AP2177" s="242">
        <f ca="1">SUMIFS('Ведомость расчета мин. платы'!$S$10:$S$209,'Ведомость расчета мин. платы'!$AE$10:$AE$209,CONCATENATE(B2168,"/",D2168,"/",E2168,"/",F2168,"/",H2176))</f>
        <v>0</v>
      </c>
      <c r="AQ2177" s="253">
        <f t="shared" ref="AQ2177" ca="1" si="995">AP2177-N2177</f>
        <v>0</v>
      </c>
    </row>
    <row r="2178" spans="2:43" x14ac:dyDescent="0.2">
      <c r="B2178" s="249"/>
      <c r="C2178" s="249"/>
      <c r="D2178" s="249"/>
      <c r="E2178" s="249"/>
      <c r="F2178" s="249"/>
      <c r="G2178" s="249"/>
      <c r="H2178" s="205" t="s">
        <v>18</v>
      </c>
      <c r="I2178" s="248">
        <f ca="1">IFERROR(INDEX('Ведомость расчета мин. платы'!$J$10:$AE$214,MATCH(CONCATENATE(РАСЧЕТ!B2168,"/",РАСЧЕТ!D2168,"/",РАСЧЕТ!E2168,"/",F2168,"/",H2178),'Ведомость расчета мин. платы'!$AE$10:$AE$214,0),2),"")</f>
        <v>224.01</v>
      </c>
      <c r="J2178" s="248">
        <f ca="1">IFERROR(INDEX('Ведомость расчета мин. платы'!$J$10:$AE$214,MATCH(CONCATENATE(РАСЧЕТ!B2168,"/",РАСЧЕТ!D2168,"/",РАСЧЕТ!E2168,"/",F2168,"/",H2178),'Ведомость расчета мин. платы'!$AE$10:$AE$214,0),3),"")</f>
        <v>168.54</v>
      </c>
      <c r="K2178" s="248">
        <f ca="1">IFERROR(INDEX('Ведомость расчета мин. платы'!$J$10:$AE$214,MATCH(CONCATENATE(РАСЧЕТ!B2168,"/",РАСЧЕТ!D2168,"/",РАСЧЕТ!E2168,"/",F2168,"/",H2178),'Ведомость расчета мин. платы'!$AE$10:$AE$214,0),4),"")</f>
        <v>11.22</v>
      </c>
      <c r="L2178" s="248">
        <f t="shared" ca="1" si="976"/>
        <v>403.77</v>
      </c>
      <c r="M2178" s="248">
        <f ca="1">IFERROR(INDEX('Ведомость расчета мин. платы'!$J$10:$AE$214,MATCH(CONCATENATE(РАСЧЕТ!B2168,"/",РАСЧЕТ!D2168,"/",РАСЧЕТ!E2168,"/",F2168,"/",H2178),'Ведомость расчета мин. платы'!$AE$10:$AE$214,0),6),"")</f>
        <v>178.56</v>
      </c>
      <c r="N2178" s="214">
        <f t="shared" ca="1" si="977"/>
        <v>582.32999999999993</v>
      </c>
      <c r="O2178" s="229">
        <f t="shared" si="981"/>
        <v>1</v>
      </c>
      <c r="P2178" s="230">
        <f t="shared" si="975"/>
        <v>0</v>
      </c>
      <c r="AP2178" s="242"/>
      <c r="AQ2178" s="253"/>
    </row>
    <row r="2179" spans="2:43" x14ac:dyDescent="0.2">
      <c r="B2179" s="249"/>
      <c r="C2179" s="249"/>
      <c r="D2179" s="249"/>
      <c r="E2179" s="249"/>
      <c r="F2179" s="249"/>
      <c r="G2179" s="249"/>
      <c r="H2179" s="250" t="s">
        <v>475</v>
      </c>
      <c r="I2179" s="251">
        <f ca="1">IFERROR(ROUND(I2178*I2167,2),"")</f>
        <v>5114.1499999999996</v>
      </c>
      <c r="J2179" s="251">
        <f t="shared" ref="J2179" ca="1" si="996">IFERROR(ROUND(J2178*J2167,2),"")</f>
        <v>2934.28</v>
      </c>
      <c r="K2179" s="251">
        <f t="shared" ref="K2179" ca="1" si="997">IFERROR(ROUND(K2178*K2167,2),"")</f>
        <v>99.3</v>
      </c>
      <c r="L2179" s="251">
        <f t="shared" ca="1" si="976"/>
        <v>8147.7300000000005</v>
      </c>
      <c r="M2179" s="251">
        <f t="shared" ref="M2179" ca="1" si="998">IFERROR(ROUND(M2178*M2167,2),"")</f>
        <v>101.78</v>
      </c>
      <c r="N2179" s="252">
        <f t="shared" ca="1" si="977"/>
        <v>8249.51</v>
      </c>
      <c r="O2179" s="229" t="str">
        <f t="shared" si="981"/>
        <v/>
      </c>
      <c r="P2179" s="230">
        <f t="shared" si="975"/>
        <v>0</v>
      </c>
      <c r="AP2179" s="242">
        <f ca="1">SUMIFS('Ведомость расчета мин. платы'!$S$10:$S$209,'Ведомость расчета мин. платы'!$AE$10:$AE$209,CONCATENATE(B2168,"/",D2168,"/",E2168,"/",F2168,"/",H2178))</f>
        <v>8249.51</v>
      </c>
      <c r="AQ2179" s="253">
        <f t="shared" ref="AQ2179" ca="1" si="999">AP2179-N2179</f>
        <v>0</v>
      </c>
    </row>
    <row r="2180" spans="2:43" x14ac:dyDescent="0.2">
      <c r="B2180" s="249"/>
      <c r="C2180" s="249"/>
      <c r="D2180" s="249"/>
      <c r="E2180" s="249"/>
      <c r="F2180" s="249"/>
      <c r="G2180" s="249"/>
      <c r="H2180" s="254" t="s">
        <v>476</v>
      </c>
      <c r="I2180" s="251">
        <f ca="1">SUMIF($O2168:$O2181,1,I2168:I2179)</f>
        <v>228.76</v>
      </c>
      <c r="J2180" s="251">
        <f ca="1">SUMIF($O2168:$O2181,1,J2168:J2179)</f>
        <v>199.48999999999998</v>
      </c>
      <c r="K2180" s="251">
        <f ca="1">SUMIF($O2168:$O2181,1,K2168:K2179)</f>
        <v>22.5</v>
      </c>
      <c r="L2180" s="251">
        <f t="shared" ca="1" si="976"/>
        <v>450.75</v>
      </c>
      <c r="M2180" s="251">
        <f ca="1">SUMIF($O2168:$O2181,1,M2168:M2179)</f>
        <v>200.43</v>
      </c>
      <c r="N2180" s="252">
        <f t="shared" ca="1" si="977"/>
        <v>651.18000000000006</v>
      </c>
      <c r="AP2180" s="242"/>
      <c r="AQ2180" s="253"/>
    </row>
    <row r="2181" spans="2:43" x14ac:dyDescent="0.2">
      <c r="B2181" s="249"/>
      <c r="C2181" s="249"/>
      <c r="D2181" s="249"/>
      <c r="E2181" s="249"/>
      <c r="F2181" s="249"/>
      <c r="G2181" s="249"/>
      <c r="H2181" s="254" t="s">
        <v>491</v>
      </c>
      <c r="I2181" s="251">
        <f ca="1">SUMIF(H2168:H2179,"стоимость",I2168:I2179)</f>
        <v>5684.86</v>
      </c>
      <c r="J2181" s="251">
        <f ca="1">SUMIF(H2168:H2179,"стоимость",J2168:J2179)</f>
        <v>5584.22</v>
      </c>
      <c r="K2181" s="251">
        <f ca="1">SUMIF(H2168:H2179,"стоимость",K2168:K2179)</f>
        <v>588.63</v>
      </c>
      <c r="L2181" s="251">
        <f ca="1">IFERROR(SUM(I2181:K2181),"")</f>
        <v>11857.71</v>
      </c>
      <c r="M2181" s="251">
        <f ca="1">SUMIF(H2168:H2179,"стоимость",M2168:M2179)</f>
        <v>251.59</v>
      </c>
      <c r="N2181" s="252">
        <f ca="1">IFERROR(SUM(L2181:M2181),"")</f>
        <v>12109.3</v>
      </c>
      <c r="AP2181" s="242">
        <f ca="1">SUMIFS('Ведомость расчета мин. платы'!$S$10:$S$209,'Ведомость расчета мин. платы'!$J$10:$J$209,"Итого",'Ведомость расчета мин. платы'!$AC$10:$AC$209,CONCATENATE(B2168,"/",D2168,"/",E2168,"/",F2168))</f>
        <v>12109.3</v>
      </c>
      <c r="AQ2181" s="253">
        <f ca="1">AP2181-N2181</f>
        <v>0</v>
      </c>
    </row>
    <row r="2182" spans="2:43" x14ac:dyDescent="0.2">
      <c r="B2182" s="255"/>
      <c r="C2182" s="255"/>
      <c r="D2182" s="255"/>
      <c r="E2182" s="255"/>
      <c r="F2182" s="255"/>
      <c r="G2182" s="256"/>
      <c r="H2182" s="257"/>
      <c r="I2182" s="258"/>
      <c r="J2182" s="258"/>
      <c r="K2182" s="258"/>
      <c r="L2182" s="258"/>
      <c r="M2182" s="258"/>
      <c r="N2182" s="258"/>
      <c r="P2182" s="230">
        <f t="shared" ref="P2182:P2200" si="1000">IF(A2182&gt;0,1,0)</f>
        <v>0</v>
      </c>
    </row>
    <row r="2183" spans="2:43" x14ac:dyDescent="0.2">
      <c r="B2183" s="282" t="s">
        <v>477</v>
      </c>
      <c r="C2183" s="282"/>
      <c r="D2183" s="282"/>
      <c r="E2183" s="282"/>
      <c r="F2183" s="259"/>
      <c r="G2183" s="225"/>
      <c r="H2183" s="201"/>
      <c r="I2183" s="226"/>
      <c r="J2183" s="258"/>
      <c r="K2183" s="258"/>
      <c r="L2183" s="258"/>
      <c r="M2183" s="258"/>
      <c r="N2183" s="258"/>
      <c r="P2183" s="230">
        <f t="shared" si="1000"/>
        <v>0</v>
      </c>
    </row>
    <row r="2184" spans="2:43" x14ac:dyDescent="0.2">
      <c r="B2184" s="283" t="s">
        <v>525</v>
      </c>
      <c r="C2184" s="283"/>
      <c r="D2184" s="283"/>
      <c r="E2184" s="283"/>
      <c r="F2184" s="283"/>
      <c r="G2184" s="283"/>
      <c r="H2184" s="283"/>
      <c r="I2184" s="283"/>
      <c r="J2184" s="261"/>
      <c r="K2184" s="261"/>
      <c r="L2184" s="261"/>
      <c r="M2184" s="261"/>
      <c r="N2184" s="261"/>
      <c r="P2184" s="230">
        <f t="shared" si="1000"/>
        <v>0</v>
      </c>
    </row>
    <row r="2185" spans="2:43" x14ac:dyDescent="0.2">
      <c r="B2185" s="284" t="s">
        <v>478</v>
      </c>
      <c r="C2185" s="284"/>
      <c r="D2185" s="284"/>
      <c r="E2185" s="284"/>
      <c r="F2185" s="284"/>
      <c r="G2185" s="284"/>
      <c r="H2185" s="284"/>
      <c r="I2185" s="284"/>
      <c r="J2185" s="258"/>
      <c r="K2185" s="258"/>
      <c r="L2185" s="258"/>
      <c r="M2185" s="258"/>
      <c r="N2185" s="258"/>
      <c r="P2185" s="230">
        <f t="shared" si="1000"/>
        <v>0</v>
      </c>
    </row>
    <row r="2186" spans="2:43" x14ac:dyDescent="0.2">
      <c r="B2186" s="284" t="s">
        <v>479</v>
      </c>
      <c r="C2186" s="284"/>
      <c r="D2186" s="284"/>
      <c r="E2186" s="284"/>
      <c r="F2186" s="284"/>
      <c r="G2186" s="284"/>
      <c r="H2186" s="284"/>
      <c r="I2186" s="284"/>
      <c r="J2186" s="258"/>
      <c r="K2186" s="258"/>
      <c r="L2186" s="258"/>
      <c r="M2186" s="258"/>
      <c r="N2186" s="258"/>
      <c r="P2186" s="230">
        <f t="shared" si="1000"/>
        <v>0</v>
      </c>
    </row>
    <row r="2187" spans="2:43" x14ac:dyDescent="0.2">
      <c r="B2187" s="284" t="s">
        <v>480</v>
      </c>
      <c r="C2187" s="284"/>
      <c r="D2187" s="284"/>
      <c r="E2187" s="284"/>
      <c r="F2187" s="284"/>
      <c r="G2187" s="284"/>
      <c r="H2187" s="284"/>
      <c r="I2187" s="284"/>
      <c r="J2187" s="258"/>
      <c r="K2187" s="258"/>
      <c r="L2187" s="258"/>
      <c r="M2187" s="258"/>
      <c r="N2187" s="258"/>
      <c r="P2187" s="230">
        <f t="shared" si="1000"/>
        <v>0</v>
      </c>
    </row>
    <row r="2188" spans="2:43" x14ac:dyDescent="0.2">
      <c r="B2188" s="284" t="s">
        <v>481</v>
      </c>
      <c r="C2188" s="284"/>
      <c r="D2188" s="284"/>
      <c r="E2188" s="284"/>
      <c r="F2188" s="284"/>
      <c r="G2188" s="284"/>
      <c r="H2188" s="284"/>
      <c r="I2188" s="284"/>
      <c r="J2188" s="226"/>
      <c r="K2188" s="226"/>
      <c r="L2188" s="226"/>
      <c r="M2188" s="226"/>
      <c r="N2188" s="226"/>
      <c r="P2188" s="230">
        <f t="shared" si="1000"/>
        <v>0</v>
      </c>
    </row>
    <row r="2189" spans="2:43" x14ac:dyDescent="0.2">
      <c r="B2189" s="284" t="s">
        <v>482</v>
      </c>
      <c r="C2189" s="284"/>
      <c r="D2189" s="284"/>
      <c r="E2189" s="284"/>
      <c r="F2189" s="284"/>
      <c r="G2189" s="284"/>
      <c r="H2189" s="284"/>
      <c r="I2189" s="284"/>
      <c r="J2189" s="226"/>
      <c r="K2189" s="226"/>
      <c r="L2189" s="226"/>
      <c r="M2189" s="226"/>
      <c r="N2189" s="226"/>
      <c r="P2189" s="230">
        <f t="shared" si="1000"/>
        <v>0</v>
      </c>
    </row>
    <row r="2190" spans="2:43" x14ac:dyDescent="0.2">
      <c r="B2190" s="284" t="s">
        <v>483</v>
      </c>
      <c r="C2190" s="284"/>
      <c r="D2190" s="284"/>
      <c r="E2190" s="284"/>
      <c r="F2190" s="284"/>
      <c r="G2190" s="284"/>
      <c r="H2190" s="284"/>
      <c r="I2190" s="284"/>
      <c r="J2190" s="226"/>
      <c r="K2190" s="226"/>
      <c r="L2190" s="226"/>
      <c r="M2190" s="226"/>
      <c r="N2190" s="226"/>
      <c r="P2190" s="230">
        <f t="shared" si="1000"/>
        <v>0</v>
      </c>
    </row>
    <row r="2191" spans="2:43" x14ac:dyDescent="0.2">
      <c r="B2191" s="284" t="s">
        <v>484</v>
      </c>
      <c r="C2191" s="284"/>
      <c r="D2191" s="284"/>
      <c r="E2191" s="284"/>
      <c r="F2191" s="284"/>
      <c r="G2191" s="284"/>
      <c r="H2191" s="284"/>
      <c r="I2191" s="284"/>
      <c r="J2191" s="226"/>
      <c r="K2191" s="226"/>
      <c r="L2191" s="226"/>
      <c r="M2191" s="226"/>
      <c r="N2191" s="226"/>
      <c r="P2191" s="230">
        <f t="shared" si="1000"/>
        <v>0</v>
      </c>
    </row>
    <row r="2192" spans="2:43" x14ac:dyDescent="0.2">
      <c r="B2192" s="264"/>
      <c r="C2192" s="264"/>
      <c r="D2192" s="264"/>
      <c r="E2192" s="264"/>
      <c r="F2192" s="264"/>
      <c r="G2192" s="264"/>
      <c r="H2192" s="264"/>
      <c r="I2192" s="265"/>
      <c r="J2192" s="226"/>
      <c r="K2192" s="226"/>
      <c r="L2192" s="226"/>
      <c r="M2192" s="226"/>
      <c r="N2192" s="226"/>
      <c r="P2192" s="230">
        <f t="shared" si="1000"/>
        <v>0</v>
      </c>
    </row>
    <row r="2193" spans="1:16" x14ac:dyDescent="0.2">
      <c r="B2193" s="225" t="s">
        <v>485</v>
      </c>
      <c r="C2193" s="225"/>
      <c r="D2193" s="225"/>
      <c r="E2193" s="225"/>
      <c r="F2193" s="225"/>
      <c r="G2193" s="225"/>
      <c r="H2193" s="201"/>
      <c r="I2193" s="226"/>
      <c r="J2193" s="226" t="s">
        <v>486</v>
      </c>
      <c r="K2193" s="226"/>
      <c r="L2193" s="226"/>
      <c r="M2193" s="226"/>
      <c r="N2193" s="226"/>
      <c r="P2193" s="230">
        <f t="shared" si="1000"/>
        <v>0</v>
      </c>
    </row>
    <row r="2194" spans="1:16" x14ac:dyDescent="0.2">
      <c r="B2194" s="266" t="s">
        <v>524</v>
      </c>
      <c r="C2194" s="266"/>
      <c r="D2194" s="225"/>
      <c r="E2194" s="225"/>
      <c r="F2194" s="225"/>
      <c r="G2194" s="225"/>
      <c r="H2194" s="201"/>
      <c r="I2194" s="226"/>
      <c r="J2194" s="267"/>
      <c r="K2194" s="267"/>
      <c r="L2194" s="267"/>
      <c r="M2194" s="226"/>
      <c r="N2194" s="226"/>
      <c r="P2194" s="230">
        <f t="shared" si="1000"/>
        <v>0</v>
      </c>
    </row>
    <row r="2195" spans="1:16" x14ac:dyDescent="0.2">
      <c r="B2195" s="268" t="s">
        <v>487</v>
      </c>
      <c r="C2195" s="225"/>
      <c r="D2195" s="225"/>
      <c r="E2195" s="225"/>
      <c r="F2195" s="225"/>
      <c r="G2195" s="225"/>
      <c r="H2195" s="201"/>
      <c r="I2195" s="226"/>
      <c r="J2195" s="226" t="s">
        <v>487</v>
      </c>
      <c r="K2195" s="226"/>
      <c r="L2195" s="226"/>
      <c r="M2195" s="226"/>
      <c r="N2195" s="226"/>
      <c r="P2195" s="230">
        <f t="shared" si="1000"/>
        <v>0</v>
      </c>
    </row>
    <row r="2196" spans="1:16" x14ac:dyDescent="0.2">
      <c r="B2196" s="225"/>
      <c r="C2196" s="225"/>
      <c r="D2196" s="225"/>
      <c r="E2196" s="225"/>
      <c r="F2196" s="225"/>
      <c r="G2196" s="225"/>
      <c r="H2196" s="201"/>
      <c r="I2196" s="226"/>
      <c r="J2196" s="226"/>
      <c r="K2196" s="226"/>
      <c r="L2196" s="226"/>
      <c r="M2196" s="226"/>
      <c r="N2196" s="226"/>
      <c r="P2196" s="230">
        <f t="shared" si="1000"/>
        <v>0</v>
      </c>
    </row>
    <row r="2197" spans="1:16" x14ac:dyDescent="0.2">
      <c r="B2197" s="266"/>
      <c r="C2197" s="266"/>
      <c r="D2197" s="225"/>
      <c r="E2197" s="225"/>
      <c r="F2197" s="225"/>
      <c r="G2197" s="225"/>
      <c r="H2197" s="201"/>
      <c r="I2197" s="226"/>
      <c r="J2197" s="267"/>
      <c r="K2197" s="267"/>
      <c r="L2197" s="267"/>
      <c r="M2197" s="226"/>
      <c r="N2197" s="226"/>
      <c r="P2197" s="230">
        <f t="shared" si="1000"/>
        <v>0</v>
      </c>
    </row>
    <row r="2198" spans="1:16" x14ac:dyDescent="0.2">
      <c r="B2198" s="269" t="s">
        <v>488</v>
      </c>
      <c r="C2198" s="225"/>
      <c r="D2198" s="225"/>
      <c r="E2198" s="225"/>
      <c r="F2198" s="225"/>
      <c r="G2198" s="225"/>
      <c r="H2198" s="201"/>
      <c r="I2198" s="226"/>
      <c r="J2198" s="285" t="s">
        <v>488</v>
      </c>
      <c r="K2198" s="285"/>
      <c r="L2198" s="285"/>
      <c r="M2198" s="226"/>
      <c r="N2198" s="226"/>
      <c r="P2198" s="230">
        <f t="shared" si="1000"/>
        <v>0</v>
      </c>
    </row>
    <row r="2199" spans="1:16" x14ac:dyDescent="0.2">
      <c r="B2199" s="225"/>
      <c r="C2199" s="225"/>
      <c r="D2199" s="225"/>
      <c r="E2199" s="225"/>
      <c r="F2199" s="225"/>
      <c r="G2199" s="225"/>
      <c r="H2199" s="201"/>
      <c r="I2199" s="226"/>
      <c r="J2199" s="226"/>
      <c r="K2199" s="226"/>
      <c r="L2199" s="226"/>
      <c r="M2199" s="226"/>
      <c r="N2199" s="226"/>
      <c r="P2199" s="230">
        <f t="shared" si="1000"/>
        <v>0</v>
      </c>
    </row>
    <row r="2200" spans="1:16" x14ac:dyDescent="0.2">
      <c r="B2200" s="264" t="s">
        <v>489</v>
      </c>
      <c r="C2200" s="225"/>
      <c r="D2200" s="225"/>
      <c r="E2200" s="225"/>
      <c r="F2200" s="225"/>
      <c r="G2200" s="225"/>
      <c r="H2200" s="201"/>
      <c r="I2200" s="226"/>
      <c r="J2200" s="226" t="s">
        <v>489</v>
      </c>
      <c r="K2200" s="226"/>
      <c r="L2200" s="226"/>
      <c r="M2200" s="226"/>
      <c r="N2200" s="226"/>
      <c r="P2200" s="230">
        <f t="shared" si="1000"/>
        <v>0</v>
      </c>
    </row>
    <row r="2201" spans="1:16" x14ac:dyDescent="0.2">
      <c r="A2201" s="272"/>
      <c r="B2201" s="225"/>
      <c r="C2201" s="225"/>
      <c r="D2201" s="225"/>
      <c r="E2201" s="225"/>
      <c r="F2201" s="225"/>
      <c r="G2201" s="225"/>
      <c r="H2201" s="201"/>
      <c r="I2201" s="226"/>
      <c r="J2201" s="226"/>
      <c r="K2201" s="226"/>
      <c r="M2201" s="226"/>
      <c r="N2201" s="228"/>
    </row>
    <row r="2202" spans="1:16" x14ac:dyDescent="0.2">
      <c r="A2202" s="260"/>
      <c r="B2202" s="225"/>
      <c r="C2202" s="225"/>
      <c r="D2202" s="225"/>
      <c r="E2202" s="225"/>
      <c r="F2202" s="225"/>
      <c r="G2202" s="225"/>
      <c r="H2202" s="201"/>
      <c r="I2202" s="226"/>
      <c r="J2202" s="226"/>
      <c r="K2202" s="226"/>
      <c r="M2202" s="226"/>
      <c r="N2202" s="228" t="s">
        <v>455</v>
      </c>
      <c r="P2202" s="230">
        <f t="shared" ref="P2202:P2219" si="1001">IF(A2202&gt;0,1,0)</f>
        <v>0</v>
      </c>
    </row>
    <row r="2203" spans="1:16" x14ac:dyDescent="0.2">
      <c r="B2203" s="225"/>
      <c r="C2203" s="225"/>
      <c r="D2203" s="225"/>
      <c r="E2203" s="225"/>
      <c r="F2203" s="225"/>
      <c r="G2203" s="225"/>
      <c r="H2203" s="201"/>
      <c r="I2203" s="226"/>
      <c r="J2203" s="226"/>
      <c r="K2203" s="226"/>
      <c r="M2203" s="226"/>
      <c r="N2203" s="228" t="s">
        <v>456</v>
      </c>
      <c r="P2203" s="230">
        <f t="shared" si="1001"/>
        <v>0</v>
      </c>
    </row>
    <row r="2204" spans="1:16" x14ac:dyDescent="0.2">
      <c r="B2204" s="225"/>
      <c r="C2204" s="225"/>
      <c r="D2204" s="225"/>
      <c r="E2204" s="225"/>
      <c r="F2204" s="225"/>
      <c r="G2204" s="225"/>
      <c r="H2204" s="201"/>
      <c r="I2204" s="226"/>
      <c r="J2204" s="226"/>
      <c r="K2204" s="226"/>
      <c r="M2204" s="226"/>
      <c r="N2204" s="228" t="s">
        <v>457</v>
      </c>
      <c r="P2204" s="230">
        <f t="shared" si="1001"/>
        <v>0</v>
      </c>
    </row>
    <row r="2205" spans="1:16" x14ac:dyDescent="0.2">
      <c r="B2205" s="225"/>
      <c r="C2205" s="225"/>
      <c r="D2205" s="225"/>
      <c r="E2205" s="225"/>
      <c r="F2205" s="225"/>
      <c r="G2205" s="225"/>
      <c r="H2205" s="201"/>
      <c r="I2205" s="226"/>
      <c r="J2205" s="226"/>
      <c r="K2205" s="226"/>
      <c r="L2205" s="226"/>
      <c r="M2205" s="226"/>
      <c r="N2205" s="226"/>
      <c r="P2205" s="230">
        <f t="shared" si="1001"/>
        <v>0</v>
      </c>
    </row>
    <row r="2206" spans="1:16" x14ac:dyDescent="0.2">
      <c r="B2206" s="225"/>
      <c r="C2206" s="286" t="s">
        <v>458</v>
      </c>
      <c r="D2206" s="286"/>
      <c r="E2206" s="286"/>
      <c r="F2206" s="286"/>
      <c r="G2206" s="286"/>
      <c r="H2206" s="286"/>
      <c r="I2206" s="286"/>
      <c r="J2206" s="286"/>
      <c r="K2206" s="286"/>
      <c r="L2206" s="286"/>
      <c r="M2206" s="226"/>
      <c r="N2206" s="226"/>
      <c r="P2206" s="230">
        <f t="shared" si="1001"/>
        <v>0</v>
      </c>
    </row>
    <row r="2207" spans="1:16" x14ac:dyDescent="0.2">
      <c r="B2207" s="225"/>
      <c r="C2207" s="286" t="s">
        <v>459</v>
      </c>
      <c r="D2207" s="286"/>
      <c r="E2207" s="286"/>
      <c r="F2207" s="286"/>
      <c r="G2207" s="286"/>
      <c r="H2207" s="286"/>
      <c r="I2207" s="286"/>
      <c r="J2207" s="286"/>
      <c r="K2207" s="286"/>
      <c r="L2207" s="286"/>
      <c r="M2207" s="226"/>
      <c r="N2207" s="226"/>
      <c r="P2207" s="230">
        <f t="shared" si="1001"/>
        <v>0</v>
      </c>
    </row>
    <row r="2208" spans="1:16" x14ac:dyDescent="0.2">
      <c r="B2208" s="225" t="s">
        <v>460</v>
      </c>
      <c r="C2208" s="234"/>
      <c r="D2208" s="234"/>
      <c r="E2208" s="234"/>
      <c r="F2208" s="234"/>
      <c r="G2208" s="234"/>
      <c r="H2208" s="234"/>
      <c r="I2208" s="235"/>
      <c r="J2208" s="235"/>
      <c r="K2208" s="235"/>
      <c r="L2208" s="287" t="s">
        <v>461</v>
      </c>
      <c r="M2208" s="287"/>
      <c r="N2208" s="287"/>
      <c r="P2208" s="230">
        <f t="shared" si="1001"/>
        <v>0</v>
      </c>
    </row>
    <row r="2209" spans="1:43" x14ac:dyDescent="0.2">
      <c r="B2209" s="225"/>
      <c r="C2209" s="234"/>
      <c r="D2209" s="234"/>
      <c r="E2209" s="234"/>
      <c r="F2209" s="234"/>
      <c r="G2209" s="234"/>
      <c r="H2209" s="234"/>
      <c r="I2209" s="235"/>
      <c r="J2209" s="235"/>
      <c r="K2209" s="235"/>
      <c r="L2209" s="235"/>
      <c r="M2209" s="235"/>
      <c r="N2209" s="235"/>
      <c r="P2209" s="230">
        <f t="shared" si="1001"/>
        <v>0</v>
      </c>
    </row>
    <row r="2210" spans="1:43" x14ac:dyDescent="0.2">
      <c r="B2210" s="225" t="s">
        <v>2038</v>
      </c>
      <c r="C2210" s="234"/>
      <c r="D2210" s="234"/>
      <c r="E2210" s="234"/>
      <c r="F2210" s="234"/>
      <c r="G2210" s="234"/>
      <c r="H2210" s="234"/>
      <c r="I2210" s="235"/>
      <c r="J2210" s="235"/>
      <c r="K2210" s="235"/>
      <c r="L2210" s="235"/>
      <c r="M2210" s="235"/>
      <c r="N2210" s="235"/>
      <c r="P2210" s="230">
        <f t="shared" si="1001"/>
        <v>0</v>
      </c>
    </row>
    <row r="2211" spans="1:43" x14ac:dyDescent="0.2">
      <c r="B2211" s="225" t="s">
        <v>462</v>
      </c>
      <c r="C2211" s="234"/>
      <c r="D2211" s="234"/>
      <c r="E2211" s="234"/>
      <c r="F2211" s="234"/>
      <c r="G2211" s="234"/>
      <c r="H2211" s="234"/>
      <c r="I2211" s="235"/>
      <c r="J2211" s="235"/>
      <c r="K2211" s="235"/>
      <c r="L2211" s="235"/>
      <c r="M2211" s="235"/>
      <c r="N2211" s="235"/>
      <c r="P2211" s="230">
        <f t="shared" si="1001"/>
        <v>0</v>
      </c>
    </row>
    <row r="2212" spans="1:43" x14ac:dyDescent="0.2">
      <c r="B2212" s="225" t="s">
        <v>2037</v>
      </c>
      <c r="C2212" s="234"/>
      <c r="D2212" s="234"/>
      <c r="E2212" s="234"/>
      <c r="F2212" s="234"/>
      <c r="G2212" s="234"/>
      <c r="H2212" s="234"/>
      <c r="I2212" s="235"/>
      <c r="J2212" s="235"/>
      <c r="K2212" s="235"/>
      <c r="L2212" s="235"/>
      <c r="M2212" s="235"/>
      <c r="N2212" s="235"/>
      <c r="P2212" s="230">
        <f t="shared" si="1001"/>
        <v>0</v>
      </c>
    </row>
    <row r="2213" spans="1:43" x14ac:dyDescent="0.2">
      <c r="B2213" s="225" t="s">
        <v>2052</v>
      </c>
      <c r="C2213" s="234"/>
      <c r="D2213" s="234"/>
      <c r="E2213" s="234"/>
      <c r="F2213" s="234"/>
      <c r="G2213" s="234"/>
      <c r="H2213" s="234"/>
      <c r="I2213" s="235"/>
      <c r="J2213" s="235"/>
      <c r="K2213" s="235"/>
      <c r="L2213" s="235"/>
      <c r="M2213" s="235"/>
      <c r="N2213" s="235"/>
      <c r="P2213" s="230">
        <f t="shared" si="1001"/>
        <v>0</v>
      </c>
    </row>
    <row r="2214" spans="1:43" x14ac:dyDescent="0.2">
      <c r="B2214" s="225"/>
      <c r="C2214" s="225"/>
      <c r="D2214" s="225"/>
      <c r="E2214" s="225"/>
      <c r="F2214" s="225"/>
      <c r="G2214" s="225"/>
      <c r="H2214" s="201"/>
      <c r="I2214" s="226"/>
      <c r="J2214" s="226"/>
      <c r="K2214" s="226"/>
      <c r="L2214" s="226"/>
      <c r="M2214" s="226"/>
      <c r="N2214" s="226"/>
      <c r="P2214" s="230">
        <f t="shared" si="1001"/>
        <v>0</v>
      </c>
    </row>
    <row r="2215" spans="1:43" x14ac:dyDescent="0.2">
      <c r="B2215" s="288" t="s">
        <v>106</v>
      </c>
      <c r="C2215" s="290" t="s">
        <v>463</v>
      </c>
      <c r="D2215" s="288" t="s">
        <v>464</v>
      </c>
      <c r="E2215" s="288" t="s">
        <v>465</v>
      </c>
      <c r="F2215" s="288" t="s">
        <v>490</v>
      </c>
      <c r="G2215" s="288" t="s">
        <v>466</v>
      </c>
      <c r="H2215" s="292" t="s">
        <v>8</v>
      </c>
      <c r="I2215" s="294" t="s">
        <v>467</v>
      </c>
      <c r="J2215" s="295"/>
      <c r="K2215" s="295"/>
      <c r="L2215" s="296"/>
      <c r="M2215" s="297" t="s">
        <v>468</v>
      </c>
      <c r="N2215" s="299" t="s">
        <v>469</v>
      </c>
      <c r="P2215" s="230">
        <f t="shared" si="1001"/>
        <v>0</v>
      </c>
    </row>
    <row r="2216" spans="1:43" x14ac:dyDescent="0.2">
      <c r="B2216" s="289"/>
      <c r="C2216" s="291"/>
      <c r="D2216" s="289"/>
      <c r="E2216" s="289"/>
      <c r="F2216" s="289"/>
      <c r="G2216" s="289"/>
      <c r="H2216" s="293"/>
      <c r="I2216" s="236" t="s">
        <v>470</v>
      </c>
      <c r="J2216" s="236" t="s">
        <v>471</v>
      </c>
      <c r="K2216" s="236" t="s">
        <v>472</v>
      </c>
      <c r="L2216" s="236" t="s">
        <v>473</v>
      </c>
      <c r="M2216" s="298"/>
      <c r="N2216" s="300"/>
      <c r="P2216" s="230">
        <f t="shared" si="1001"/>
        <v>0</v>
      </c>
    </row>
    <row r="2217" spans="1:43" x14ac:dyDescent="0.2">
      <c r="A2217" s="224" t="str">
        <f>CONCATENATE("Лот"," ",A2218)</f>
        <v>Лот 41</v>
      </c>
      <c r="B2217" s="273" t="s">
        <v>2087</v>
      </c>
      <c r="C2217" s="274"/>
      <c r="D2217" s="274"/>
      <c r="E2217" s="274"/>
      <c r="F2217" s="274"/>
      <c r="G2217" s="275"/>
      <c r="H2217" s="238" t="s">
        <v>17</v>
      </c>
      <c r="I2217" s="270">
        <f ca="1">ROUND(VLOOKUP($H2217,$AJ$4:$AN$13,2,0)*$Q2219*1.51,2)</f>
        <v>120.15</v>
      </c>
      <c r="J2217" s="270">
        <f ca="1">ROUND(VLOOKUP($H2217,$AJ$4:$AN$13,3,0)*$Q2219*1.51,2)</f>
        <v>85.62</v>
      </c>
      <c r="K2217" s="270">
        <f ca="1">ROUND(VLOOKUP($H2217,$AJ$4:$AN$13,4,0)*$Q2219*1.51,2)</f>
        <v>43.38</v>
      </c>
      <c r="L2217" s="270"/>
      <c r="M2217" s="270">
        <f ca="1">ROUND(VLOOKUP($H2217,$AJ$4:$AN$13,5,0)*$Q2219*1.51,2)</f>
        <v>6.85</v>
      </c>
      <c r="N2217" s="270"/>
      <c r="P2217" s="230">
        <f t="shared" si="1001"/>
        <v>1</v>
      </c>
    </row>
    <row r="2218" spans="1:43" x14ac:dyDescent="0.2">
      <c r="A2218" s="224">
        <f>A2163+1</f>
        <v>41</v>
      </c>
      <c r="B2218" s="276"/>
      <c r="C2218" s="277"/>
      <c r="D2218" s="277"/>
      <c r="E2218" s="277"/>
      <c r="F2218" s="277"/>
      <c r="G2218" s="278"/>
      <c r="H2218" s="238" t="s">
        <v>25</v>
      </c>
      <c r="I2218" s="270">
        <f ca="1">ROUND(VLOOKUP($H2218,$AJ$4:$AN$13,2,0)*$Q2219*1.51,2)</f>
        <v>898.69</v>
      </c>
      <c r="J2218" s="270">
        <f ca="1">ROUND(VLOOKUP($H2218,$AJ$4:$AN$13,3,0)*$Q2219*1.51,2)</f>
        <v>642.13</v>
      </c>
      <c r="K2218" s="270">
        <f ca="1">ROUND(VLOOKUP($H2218,$AJ$4:$AN$13,4,0)*$Q2219*1.51,2)</f>
        <v>323.06</v>
      </c>
      <c r="L2218" s="270"/>
      <c r="M2218" s="270">
        <f ca="1">ROUND(VLOOKUP($H2218,$AJ$4:$AN$13,5,0)*$Q2219*1.51,2)</f>
        <v>27.97</v>
      </c>
      <c r="N2218" s="270"/>
      <c r="P2218" s="230">
        <f t="shared" si="1001"/>
        <v>1</v>
      </c>
      <c r="Q2218" s="240" t="s">
        <v>2045</v>
      </c>
      <c r="R2218" s="240" t="s">
        <v>2046</v>
      </c>
    </row>
    <row r="2219" spans="1:43" x14ac:dyDescent="0.2">
      <c r="B2219" s="276"/>
      <c r="C2219" s="277"/>
      <c r="D2219" s="277"/>
      <c r="E2219" s="277"/>
      <c r="F2219" s="277"/>
      <c r="G2219" s="278"/>
      <c r="H2219" s="238" t="s">
        <v>19</v>
      </c>
      <c r="I2219" s="270">
        <f ca="1">ROUND(VLOOKUP($H2219,$AJ$4:$AN$13,2,0)*$Q2219*1.51,2)</f>
        <v>71.349999999999994</v>
      </c>
      <c r="J2219" s="270">
        <f ca="1">ROUND(VLOOKUP($H2219,$AJ$4:$AN$13,3,0)*$Q2219*1.51,2)</f>
        <v>51.94</v>
      </c>
      <c r="K2219" s="270">
        <f ca="1">ROUND(VLOOKUP($H2219,$AJ$4:$AN$13,4,0)*$Q2219*1.51,2)</f>
        <v>26.54</v>
      </c>
      <c r="L2219" s="270"/>
      <c r="M2219" s="270">
        <f ca="1">ROUND(VLOOKUP($H2219,$AJ$4:$AN$13,5,0)*$Q2219*1.51,2)</f>
        <v>1.43</v>
      </c>
      <c r="N2219" s="270"/>
      <c r="P2219" s="230">
        <f t="shared" si="1001"/>
        <v>0</v>
      </c>
      <c r="Q2219" s="123">
        <f ca="1">IFERROR(IF(R2219="","",IF(OR(R2219&lt;100,R2219=100),0.9,IF(OR(AND(R2219&gt;100,R2219&lt;150),R2219=150),1,IF(R2219&gt;150,1.05,"")))),"0")</f>
        <v>1.05</v>
      </c>
      <c r="R2219" s="123">
        <f ca="1">N2235/G2223</f>
        <v>157.6875</v>
      </c>
    </row>
    <row r="2220" spans="1:43" x14ac:dyDescent="0.2">
      <c r="B2220" s="276"/>
      <c r="C2220" s="277"/>
      <c r="D2220" s="277"/>
      <c r="E2220" s="277"/>
      <c r="F2220" s="277"/>
      <c r="G2220" s="278"/>
      <c r="H2220" s="238" t="s">
        <v>268</v>
      </c>
      <c r="I2220" s="270">
        <f ca="1">ROUND(VLOOKUP($H2220,$AJ$4:$AN$13,2,0)*$Q2219*1.51,2)</f>
        <v>898.69</v>
      </c>
      <c r="J2220" s="270">
        <f ca="1">ROUND(VLOOKUP($H2220,$AJ$4:$AN$13,3,0)*$Q2219*1.51,2)</f>
        <v>642.13</v>
      </c>
      <c r="K2220" s="270">
        <f ca="1">ROUND(VLOOKUP($H2220,$AJ$4:$AN$13,4,0)*$Q2219*1.51,2)</f>
        <v>323.06</v>
      </c>
      <c r="L2220" s="270"/>
      <c r="M2220" s="270">
        <f ca="1">ROUND(VLOOKUP($H2220,$AJ$4:$AN$13,5,0)*$Q2219*1.51,2)</f>
        <v>27.97</v>
      </c>
      <c r="N2220" s="270"/>
    </row>
    <row r="2221" spans="1:43" x14ac:dyDescent="0.2">
      <c r="B2221" s="276"/>
      <c r="C2221" s="277"/>
      <c r="D2221" s="277"/>
      <c r="E2221" s="277"/>
      <c r="F2221" s="277"/>
      <c r="G2221" s="278"/>
      <c r="H2221" s="238" t="s">
        <v>40</v>
      </c>
      <c r="I2221" s="270">
        <f ca="1">ROUND(VLOOKUP($H2221,$AJ$4:$AN$13,2,0)*$Q2219*1.51,2)</f>
        <v>71.349999999999994</v>
      </c>
      <c r="J2221" s="270">
        <f ca="1">ROUND(VLOOKUP($H2221,$AJ$4:$AN$13,3,0)*$Q2219*1.51,2)</f>
        <v>51.94</v>
      </c>
      <c r="K2221" s="270">
        <f ca="1">ROUND(VLOOKUP($H2221,$AJ$4:$AN$13,4,0)*$Q2219*1.51,2)</f>
        <v>26.54</v>
      </c>
      <c r="L2221" s="270"/>
      <c r="M2221" s="270">
        <f ca="1">ROUND(VLOOKUP($H2221,$AJ$4:$AN$13,5,0)*$Q2219*1.51,2)</f>
        <v>1.43</v>
      </c>
      <c r="N2221" s="270"/>
      <c r="P2221" s="230">
        <f t="shared" ref="P2221:P2234" si="1002">IF(A2221&gt;0,1,0)</f>
        <v>0</v>
      </c>
    </row>
    <row r="2222" spans="1:43" x14ac:dyDescent="0.2">
      <c r="B2222" s="279"/>
      <c r="C2222" s="280"/>
      <c r="D2222" s="280"/>
      <c r="E2222" s="280"/>
      <c r="F2222" s="280"/>
      <c r="G2222" s="281"/>
      <c r="H2222" s="238" t="s">
        <v>18</v>
      </c>
      <c r="I2222" s="270">
        <f ca="1">ROUND(VLOOKUP($H2222,$AJ$4:$AN$13,2,0)*$Q2219*1.51,2)</f>
        <v>22.83</v>
      </c>
      <c r="J2222" s="270">
        <f ca="1">ROUND(VLOOKUP($H2222,$AJ$4:$AN$13,3,0)*$Q2219*1.51,2)</f>
        <v>17.41</v>
      </c>
      <c r="K2222" s="270">
        <f ca="1">ROUND(VLOOKUP($H2222,$AJ$4:$AN$13,4,0)*$Q2219*1.51,2)</f>
        <v>8.85</v>
      </c>
      <c r="L2222" s="270"/>
      <c r="M2222" s="270">
        <f ca="1">ROUND(VLOOKUP($H2222,$AJ$4:$AN$13,5,0)*$Q2219*1.51*1,2)</f>
        <v>0.56999999999999995</v>
      </c>
      <c r="N2222" s="270"/>
      <c r="P2222" s="230">
        <f t="shared" si="1002"/>
        <v>0</v>
      </c>
      <c r="AP2222" s="241" t="s">
        <v>2053</v>
      </c>
      <c r="AQ2222" s="242"/>
    </row>
    <row r="2223" spans="1:43" x14ac:dyDescent="0.2">
      <c r="A2223" s="224">
        <f>A2168+37</f>
        <v>1480</v>
      </c>
      <c r="B2223" s="243" t="str">
        <f ca="1">OFFSET(ЛОТЫ!$L$5,A2223,0,1,1)</f>
        <v>Тимерликовское</v>
      </c>
      <c r="C2223" s="244" t="s">
        <v>474</v>
      </c>
      <c r="D2223" s="243">
        <f ca="1">OFFSET(ЛОТЫ!$M$5,A2223,0,1,1)</f>
        <v>115</v>
      </c>
      <c r="E2223" s="243">
        <f ca="1">OFFSET(ЛОТЫ!$N$5,A2223,0,1,1)</f>
        <v>6</v>
      </c>
      <c r="F2223" s="243">
        <f ca="1">OFFSET(ЛОТЫ!$O$5,A2223,0,1,1)</f>
        <v>1</v>
      </c>
      <c r="G2223" s="271">
        <f ca="1">IFERROR(INDEX('Ведомость расчета мин. платы'!$G$10:$AC$214,MATCH(CONCATENATE(B2223,"/",D2223,"/",E2223,"/",F2223),'Ведомость расчета мин. платы'!$AC$10:$AC$214,0),1),"")</f>
        <v>4</v>
      </c>
      <c r="H2223" s="246" t="s">
        <v>17</v>
      </c>
      <c r="I2223" s="247" t="str">
        <f ca="1">IFERROR(INDEX('Ведомость расчета мин. платы'!$J$10:$AE$214,MATCH(CONCATENATE(РАСЧЕТ!B2223,"/",РАСЧЕТ!D2223,"/",РАСЧЕТ!E2223,"/",F2223,"/",H2223),'Ведомость расчета мин. платы'!$AE$10:$AE$214,0),2),"")</f>
        <v/>
      </c>
      <c r="J2223" s="247" t="str">
        <f ca="1">IFERROR(INDEX('Ведомость расчета мин. платы'!$J$10:$AE$214,MATCH(CONCATENATE(РАСЧЕТ!B2223,"/",РАСЧЕТ!D2223,"/",РАСЧЕТ!E2223,"/",F2223,"/",H2223),'Ведомость расчета мин. платы'!$AE$10:$AE$214,0),3),"")</f>
        <v/>
      </c>
      <c r="K2223" s="247" t="str">
        <f ca="1">IFERROR(INDEX('Ведомость расчета мин. платы'!$J$10:$AE$214,MATCH(CONCATENATE(РАСЧЕТ!B2223,"/",РАСЧЕТ!D2223,"/",РАСЧЕТ!E2223,"/",F2223,"/",H2223),'Ведомость расчета мин. платы'!$AE$10:$AE$214,0),4),"")</f>
        <v/>
      </c>
      <c r="L2223" s="248">
        <f t="shared" ref="L2223:L2235" ca="1" si="1003">IFERROR(SUM(I2223:K2223),"")</f>
        <v>0</v>
      </c>
      <c r="M2223" s="214" t="str">
        <f ca="1">IFERROR(INDEX('Ведомость расчета мин. платы'!$J$10:$AE$214,MATCH(CONCATENATE(РАСЧЕТ!B2223,"/",РАСЧЕТ!D2223,"/",РАСЧЕТ!E2223,"/",F2223,"/",H2223),'Ведомость расчета мин. платы'!$AE$10:$AE$214,0),6),"")</f>
        <v/>
      </c>
      <c r="N2223" s="214">
        <f t="shared" ref="N2223:N2235" ca="1" si="1004">IFERROR(SUM(L2223:M2223),"")</f>
        <v>0</v>
      </c>
      <c r="O2223" s="229">
        <f>IF(H2223="стоимость","",1)</f>
        <v>1</v>
      </c>
      <c r="P2223" s="230">
        <f t="shared" si="1002"/>
        <v>1</v>
      </c>
      <c r="AP2223" s="242"/>
      <c r="AQ2223" s="242"/>
    </row>
    <row r="2224" spans="1:43" x14ac:dyDescent="0.2">
      <c r="B2224" s="249"/>
      <c r="C2224" s="249"/>
      <c r="D2224" s="249"/>
      <c r="E2224" s="249"/>
      <c r="F2224" s="249"/>
      <c r="G2224" s="249"/>
      <c r="H2224" s="250" t="s">
        <v>475</v>
      </c>
      <c r="I2224" s="251" t="str">
        <f ca="1">IFERROR(ROUND(I2223*I2217,2),"")</f>
        <v/>
      </c>
      <c r="J2224" s="251" t="str">
        <f t="shared" ref="J2224" ca="1" si="1005">IFERROR(ROUND(J2223*J2217,2),"")</f>
        <v/>
      </c>
      <c r="K2224" s="251" t="str">
        <f t="shared" ref="K2224" ca="1" si="1006">IFERROR(ROUND(K2223*K2217,2),"")</f>
        <v/>
      </c>
      <c r="L2224" s="251">
        <f t="shared" ca="1" si="1003"/>
        <v>0</v>
      </c>
      <c r="M2224" s="251" t="str">
        <f t="shared" ref="M2224" ca="1" si="1007">IFERROR(ROUND(M2223*M2217,2),"")</f>
        <v/>
      </c>
      <c r="N2224" s="252">
        <f t="shared" ca="1" si="1004"/>
        <v>0</v>
      </c>
      <c r="O2224" s="229" t="str">
        <f t="shared" ref="O2224:O2234" si="1008">IF(H2224="стоимость","",1)</f>
        <v/>
      </c>
      <c r="P2224" s="230">
        <f t="shared" si="1002"/>
        <v>0</v>
      </c>
      <c r="AP2224" s="242">
        <f ca="1">SUMIFS('Ведомость расчета мин. платы'!$S$10:$S$209,'Ведомость расчета мин. платы'!$AE$10:$AE$209,CONCATENATE(B2223,"/",D2223,"/",E2223,"/",F2223,"/",H2223))</f>
        <v>0</v>
      </c>
      <c r="AQ2224" s="253">
        <f t="shared" ref="AQ2224" ca="1" si="1009">AP2224-N2224</f>
        <v>0</v>
      </c>
    </row>
    <row r="2225" spans="2:43" x14ac:dyDescent="0.2">
      <c r="B2225" s="249"/>
      <c r="C2225" s="249"/>
      <c r="D2225" s="249"/>
      <c r="E2225" s="249"/>
      <c r="F2225" s="249"/>
      <c r="G2225" s="249"/>
      <c r="H2225" s="246" t="s">
        <v>25</v>
      </c>
      <c r="I2225" s="247" t="str">
        <f ca="1">IFERROR(INDEX('Ведомость расчета мин. платы'!$J$10:$AE$214,MATCH(CONCATENATE(РАСЧЕТ!B2223,"/",РАСЧЕТ!D2223,"/",РАСЧЕТ!E2223,"/",F2223,"/",H2225),'Ведомость расчета мин. платы'!$AE$10:$AE$214,0),2),"")</f>
        <v/>
      </c>
      <c r="J2225" s="247" t="str">
        <f ca="1">IFERROR(INDEX('Ведомость расчета мин. платы'!$J$10:$AE$214,MATCH(CONCATENATE(РАСЧЕТ!B2223,"/",РАСЧЕТ!D2223,"/",РАСЧЕТ!E2223,"/",F2223,"/",H2225),'Ведомость расчета мин. платы'!$AE$10:$AE$214,0),3),"")</f>
        <v/>
      </c>
      <c r="K2225" s="247" t="str">
        <f ca="1">IFERROR(INDEX('Ведомость расчета мин. платы'!$J$10:$AE$214,MATCH(CONCATENATE(РАСЧЕТ!B2223,"/",РАСЧЕТ!D2223,"/",РАСЧЕТ!E2223,"/",F2223,"/",H2225),'Ведомость расчета мин. платы'!$AE$10:$AE$214,0),4),"")</f>
        <v/>
      </c>
      <c r="L2225" s="248">
        <f t="shared" ca="1" si="1003"/>
        <v>0</v>
      </c>
      <c r="M2225" s="214" t="str">
        <f ca="1">IFERROR(INDEX('Ведомость расчета мин. платы'!$J$10:$AE$214,MATCH(CONCATENATE(РАСЧЕТ!B2223,"/",РАСЧЕТ!D2223,"/",РАСЧЕТ!E2223,"/",F2223,"/",H2225),'Ведомость расчета мин. платы'!$AE$10:$AE$214,0),6),"")</f>
        <v/>
      </c>
      <c r="N2225" s="214">
        <f t="shared" ca="1" si="1004"/>
        <v>0</v>
      </c>
      <c r="O2225" s="229">
        <f t="shared" si="1008"/>
        <v>1</v>
      </c>
      <c r="P2225" s="230">
        <f t="shared" si="1002"/>
        <v>0</v>
      </c>
      <c r="AP2225" s="242"/>
      <c r="AQ2225" s="253"/>
    </row>
    <row r="2226" spans="2:43" x14ac:dyDescent="0.2">
      <c r="B2226" s="249"/>
      <c r="C2226" s="249"/>
      <c r="D2226" s="249"/>
      <c r="E2226" s="249"/>
      <c r="F2226" s="249"/>
      <c r="G2226" s="249"/>
      <c r="H2226" s="250" t="s">
        <v>475</v>
      </c>
      <c r="I2226" s="251" t="str">
        <f ca="1">IFERROR(ROUND(I2225*I2218,2),"")</f>
        <v/>
      </c>
      <c r="J2226" s="251" t="str">
        <f t="shared" ref="J2226" ca="1" si="1010">IFERROR(ROUND(J2225*J2218,2),"")</f>
        <v/>
      </c>
      <c r="K2226" s="251" t="str">
        <f t="shared" ref="K2226" ca="1" si="1011">IFERROR(ROUND(K2225*K2218,2),"")</f>
        <v/>
      </c>
      <c r="L2226" s="251">
        <f t="shared" ca="1" si="1003"/>
        <v>0</v>
      </c>
      <c r="M2226" s="251" t="str">
        <f t="shared" ref="M2226" ca="1" si="1012">IFERROR(ROUND(M2225*M2218,2),"")</f>
        <v/>
      </c>
      <c r="N2226" s="252">
        <f t="shared" ca="1" si="1004"/>
        <v>0</v>
      </c>
      <c r="O2226" s="229" t="str">
        <f t="shared" si="1008"/>
        <v/>
      </c>
      <c r="P2226" s="230">
        <f t="shared" si="1002"/>
        <v>0</v>
      </c>
      <c r="AP2226" s="242">
        <f ca="1">SUMIFS('Ведомость расчета мин. платы'!$S$10:$S$209,'Ведомость расчета мин. платы'!$AE$10:$AE$209,CONCATENATE(B2223,"/",D2223,"/",E2223,"/",F2223,"/",H2225))</f>
        <v>0</v>
      </c>
      <c r="AQ2226" s="253">
        <f t="shared" ref="AQ2226" ca="1" si="1013">AP2226-N2226</f>
        <v>0</v>
      </c>
    </row>
    <row r="2227" spans="2:43" x14ac:dyDescent="0.2">
      <c r="B2227" s="249"/>
      <c r="C2227" s="249"/>
      <c r="D2227" s="249"/>
      <c r="E2227" s="249"/>
      <c r="F2227" s="249"/>
      <c r="G2227" s="249"/>
      <c r="H2227" s="205" t="s">
        <v>19</v>
      </c>
      <c r="I2227" s="248" t="str">
        <f ca="1">IFERROR(INDEX('Ведомость расчета мин. платы'!$J$10:$AE$214,MATCH(CONCATENATE(РАСЧЕТ!B2223,"/",РАСЧЕТ!D2223,"/",РАСЧЕТ!E2223,"/",F2223,"/",H2227),'Ведомость расчета мин. платы'!$AE$10:$AE$214,0),2),"")</f>
        <v/>
      </c>
      <c r="J2227" s="248" t="str">
        <f ca="1">IFERROR(INDEX('Ведомость расчета мин. платы'!$J$10:$AE$214,MATCH(CONCATENATE(РАСЧЕТ!B2223,"/",РАСЧЕТ!D2223,"/",РАСЧЕТ!E2223,"/",F2223,"/",H2227),'Ведомость расчета мин. платы'!$AE$10:$AE$214,0),3),"")</f>
        <v/>
      </c>
      <c r="K2227" s="248" t="str">
        <f ca="1">IFERROR(INDEX('Ведомость расчета мин. платы'!$J$10:$AE$214,MATCH(CONCATENATE(РАСЧЕТ!B2223,"/",РАСЧЕТ!D2223,"/",РАСЧЕТ!E2223,"/",F2223,"/",H2227),'Ведомость расчета мин. платы'!$AE$10:$AE$214,0),4),"")</f>
        <v/>
      </c>
      <c r="L2227" s="248">
        <f t="shared" ca="1" si="1003"/>
        <v>0</v>
      </c>
      <c r="M2227" s="248" t="str">
        <f ca="1">IFERROR(INDEX('Ведомость расчета мин. платы'!$J$10:$AE$214,MATCH(CONCATENATE(РАСЧЕТ!B2223,"/",РАСЧЕТ!D2223,"/",РАСЧЕТ!E2223,"/",F2223,"/",H2227),'Ведомость расчета мин. платы'!$AE$10:$AE$214,0),6),"")</f>
        <v/>
      </c>
      <c r="N2227" s="214">
        <f t="shared" ca="1" si="1004"/>
        <v>0</v>
      </c>
      <c r="O2227" s="229">
        <f t="shared" si="1008"/>
        <v>1</v>
      </c>
      <c r="P2227" s="230">
        <f t="shared" si="1002"/>
        <v>0</v>
      </c>
      <c r="AP2227" s="242"/>
      <c r="AQ2227" s="253"/>
    </row>
    <row r="2228" spans="2:43" x14ac:dyDescent="0.2">
      <c r="B2228" s="249"/>
      <c r="C2228" s="249"/>
      <c r="D2228" s="249"/>
      <c r="E2228" s="249"/>
      <c r="F2228" s="249"/>
      <c r="G2228" s="249"/>
      <c r="H2228" s="250" t="s">
        <v>475</v>
      </c>
      <c r="I2228" s="251" t="str">
        <f ca="1">IFERROR(ROUND(I2227*I2219,2),"")</f>
        <v/>
      </c>
      <c r="J2228" s="251" t="str">
        <f t="shared" ref="J2228" ca="1" si="1014">IFERROR(ROUND(J2227*J2219,2),"")</f>
        <v/>
      </c>
      <c r="K2228" s="251" t="str">
        <f t="shared" ref="K2228" ca="1" si="1015">IFERROR(ROUND(K2227*K2219,2),"")</f>
        <v/>
      </c>
      <c r="L2228" s="251">
        <f t="shared" ca="1" si="1003"/>
        <v>0</v>
      </c>
      <c r="M2228" s="251" t="str">
        <f t="shared" ref="M2228" ca="1" si="1016">IFERROR(ROUND(M2227*M2219,2),"")</f>
        <v/>
      </c>
      <c r="N2228" s="252">
        <f t="shared" ca="1" si="1004"/>
        <v>0</v>
      </c>
      <c r="O2228" s="229" t="str">
        <f t="shared" si="1008"/>
        <v/>
      </c>
      <c r="P2228" s="230">
        <f t="shared" si="1002"/>
        <v>0</v>
      </c>
      <c r="AP2228" s="242">
        <f ca="1">SUMIFS('Ведомость расчета мин. платы'!$S$10:$S$209,'Ведомость расчета мин. платы'!$AE$10:$AE$209,CONCATENATE(B2223,"/",D2223,"/",E2223,"/",F2223,"/",H2227))</f>
        <v>0</v>
      </c>
      <c r="AQ2228" s="253">
        <f t="shared" ref="AQ2228" ca="1" si="1017">AP2228-N2228</f>
        <v>0</v>
      </c>
    </row>
    <row r="2229" spans="2:43" x14ac:dyDescent="0.2">
      <c r="B2229" s="249"/>
      <c r="C2229" s="249"/>
      <c r="D2229" s="249"/>
      <c r="E2229" s="249"/>
      <c r="F2229" s="249"/>
      <c r="G2229" s="249"/>
      <c r="H2229" s="205" t="s">
        <v>268</v>
      </c>
      <c r="I2229" s="248" t="str">
        <f ca="1">IFERROR(INDEX('Ведомость расчета мин. платы'!$J$10:$AE$214,MATCH(CONCATENATE(РАСЧЕТ!B2223,"/",РАСЧЕТ!D2223,"/",РАСЧЕТ!E2223,"/",F2223,"/",H2229),'Ведомость расчета мин. платы'!$AE$10:$AE$214,0),2),"")</f>
        <v/>
      </c>
      <c r="J2229" s="248" t="str">
        <f ca="1">IFERROR(INDEX('Ведомость расчета мин. платы'!$J$10:$AE$214,MATCH(CONCATENATE(РАСЧЕТ!B2223,"/",РАСЧЕТ!D2223,"/",РАСЧЕТ!E2223,"/",F2223,"/",H2229),'Ведомость расчета мин. платы'!$AE$10:$AE$214,0),3),"")</f>
        <v/>
      </c>
      <c r="K2229" s="248" t="str">
        <f ca="1">IFERROR(INDEX('Ведомость расчета мин. платы'!$J$10:$AE$214,MATCH(CONCATENATE(РАСЧЕТ!B2223,"/",РАСЧЕТ!D2223,"/",РАСЧЕТ!E2223,"/",F2223,"/",H2229),'Ведомость расчета мин. платы'!$AE$10:$AE$214,0),4),"")</f>
        <v/>
      </c>
      <c r="L2229" s="248">
        <f t="shared" ca="1" si="1003"/>
        <v>0</v>
      </c>
      <c r="M2229" s="248" t="str">
        <f ca="1">IFERROR(INDEX('Ведомость расчета мин. платы'!$J$10:$AE$214,MATCH(CONCATENATE(РАСЧЕТ!B2223,"/",РАСЧЕТ!D2223,"/",РАСЧЕТ!E2223,"/",F2223,"/",H2229),'Ведомость расчета мин. платы'!$AE$10:$AE$214,0),6),"")</f>
        <v/>
      </c>
      <c r="N2229" s="214">
        <f t="shared" ca="1" si="1004"/>
        <v>0</v>
      </c>
      <c r="O2229" s="229">
        <f t="shared" si="1008"/>
        <v>1</v>
      </c>
      <c r="P2229" s="230">
        <f t="shared" si="1002"/>
        <v>0</v>
      </c>
      <c r="AP2229" s="242"/>
      <c r="AQ2229" s="253"/>
    </row>
    <row r="2230" spans="2:43" x14ac:dyDescent="0.2">
      <c r="B2230" s="249"/>
      <c r="C2230" s="249"/>
      <c r="D2230" s="249"/>
      <c r="E2230" s="249"/>
      <c r="F2230" s="249"/>
      <c r="G2230" s="249"/>
      <c r="H2230" s="250" t="s">
        <v>475</v>
      </c>
      <c r="I2230" s="251" t="str">
        <f ca="1">IFERROR(ROUND(I2229*I2222,2),"")</f>
        <v/>
      </c>
      <c r="J2230" s="251" t="str">
        <f ca="1">IFERROR(ROUND(J2229*J2220,2),"")</f>
        <v/>
      </c>
      <c r="K2230" s="251" t="str">
        <f ca="1">IFERROR(ROUND(K2229*K2220,2),"")</f>
        <v/>
      </c>
      <c r="L2230" s="251">
        <f t="shared" ca="1" si="1003"/>
        <v>0</v>
      </c>
      <c r="M2230" s="251" t="str">
        <f ca="1">IFERROR(ROUND(M2229*M2220,2),"")</f>
        <v/>
      </c>
      <c r="N2230" s="252">
        <f t="shared" ca="1" si="1004"/>
        <v>0</v>
      </c>
      <c r="O2230" s="229" t="str">
        <f t="shared" si="1008"/>
        <v/>
      </c>
      <c r="P2230" s="230">
        <f t="shared" si="1002"/>
        <v>0</v>
      </c>
      <c r="AP2230" s="242">
        <f ca="1">SUMIFS('Ведомость расчета мин. платы'!$S$10:$S$209,'Ведомость расчета мин. платы'!$AE$10:$AE$209,CONCATENATE(B2223,"/",D2223,"/",E2223,"/",F2223,"/",H2229))</f>
        <v>0</v>
      </c>
      <c r="AQ2230" s="253">
        <f t="shared" ref="AQ2230" ca="1" si="1018">AP2230-N2230</f>
        <v>0</v>
      </c>
    </row>
    <row r="2231" spans="2:43" x14ac:dyDescent="0.2">
      <c r="B2231" s="249"/>
      <c r="C2231" s="249"/>
      <c r="D2231" s="249"/>
      <c r="E2231" s="249"/>
      <c r="F2231" s="249"/>
      <c r="G2231" s="249"/>
      <c r="H2231" s="205" t="s">
        <v>40</v>
      </c>
      <c r="I2231" s="248" t="str">
        <f ca="1">IFERROR(INDEX('Ведомость расчета мин. платы'!$J$10:$AE$214,MATCH(CONCATENATE(РАСЧЕТ!B2223,"/",РАСЧЕТ!D2223,"/",РАСЧЕТ!E2223,"/",F2223,"/",H2231),'Ведомость расчета мин. платы'!$AE$10:$AE$214,0),2),"")</f>
        <v/>
      </c>
      <c r="J2231" s="248" t="str">
        <f ca="1">IFERROR(INDEX('Ведомость расчета мин. платы'!$J$10:$AE$214,MATCH(CONCATENATE(РАСЧЕТ!B2223,"/",РАСЧЕТ!D2223,"/",РАСЧЕТ!E2223,"/",F2223,"/",H2231),'Ведомость расчета мин. платы'!$AE$10:$AE$214,0),3),"")</f>
        <v/>
      </c>
      <c r="K2231" s="248" t="str">
        <f ca="1">IFERROR(INDEX('Ведомость расчета мин. платы'!$J$10:$AE$214,MATCH(CONCATENATE(РАСЧЕТ!B2223,"/",РАСЧЕТ!D2223,"/",РАСЧЕТ!E2223,"/",F2223,"/",H2231),'Ведомость расчета мин. платы'!$AE$10:$AE$214,0),4),"")</f>
        <v/>
      </c>
      <c r="L2231" s="248">
        <f t="shared" ca="1" si="1003"/>
        <v>0</v>
      </c>
      <c r="M2231" s="248" t="str">
        <f ca="1">IFERROR(INDEX('Ведомость расчета мин. платы'!$J$10:$AE$214,MATCH(CONCATENATE(РАСЧЕТ!B2223,"/",РАСЧЕТ!D2223,"/",РАСЧЕТ!E2223,"/",F2223,"/",H2231),'Ведомость расчета мин. платы'!$AE$10:$AE$214,0),6),"")</f>
        <v/>
      </c>
      <c r="N2231" s="214">
        <f t="shared" ca="1" si="1004"/>
        <v>0</v>
      </c>
      <c r="O2231" s="229">
        <f t="shared" si="1008"/>
        <v>1</v>
      </c>
      <c r="P2231" s="230">
        <f t="shared" si="1002"/>
        <v>0</v>
      </c>
      <c r="AP2231" s="242"/>
      <c r="AQ2231" s="253"/>
    </row>
    <row r="2232" spans="2:43" x14ac:dyDescent="0.2">
      <c r="B2232" s="249"/>
      <c r="C2232" s="249"/>
      <c r="D2232" s="249"/>
      <c r="E2232" s="249"/>
      <c r="F2232" s="249"/>
      <c r="G2232" s="249"/>
      <c r="H2232" s="250" t="s">
        <v>475</v>
      </c>
      <c r="I2232" s="251" t="str">
        <f ca="1">IFERROR(ROUND(I2231*I2221,2),"")</f>
        <v/>
      </c>
      <c r="J2232" s="251" t="str">
        <f t="shared" ref="J2232" ca="1" si="1019">IFERROR(ROUND(J2231*J2221,2),"")</f>
        <v/>
      </c>
      <c r="K2232" s="251" t="str">
        <f t="shared" ref="K2232" ca="1" si="1020">IFERROR(ROUND(K2231*K2221,2),"")</f>
        <v/>
      </c>
      <c r="L2232" s="251">
        <f t="shared" ca="1" si="1003"/>
        <v>0</v>
      </c>
      <c r="M2232" s="251" t="str">
        <f t="shared" ref="M2232" ca="1" si="1021">IFERROR(ROUND(M2231*M2221,2),"")</f>
        <v/>
      </c>
      <c r="N2232" s="252">
        <f t="shared" ca="1" si="1004"/>
        <v>0</v>
      </c>
      <c r="O2232" s="229" t="str">
        <f t="shared" si="1008"/>
        <v/>
      </c>
      <c r="P2232" s="230">
        <f t="shared" si="1002"/>
        <v>0</v>
      </c>
      <c r="AP2232" s="242">
        <f ca="1">SUMIFS('Ведомость расчета мин. платы'!$S$10:$S$209,'Ведомость расчета мин. платы'!$AE$10:$AE$209,CONCATENATE(B2223,"/",D2223,"/",E2223,"/",F2223,"/",H2231))</f>
        <v>0</v>
      </c>
      <c r="AQ2232" s="253">
        <f t="shared" ref="AQ2232" ca="1" si="1022">AP2232-N2232</f>
        <v>0</v>
      </c>
    </row>
    <row r="2233" spans="2:43" x14ac:dyDescent="0.2">
      <c r="B2233" s="249"/>
      <c r="C2233" s="249"/>
      <c r="D2233" s="249"/>
      <c r="E2233" s="249"/>
      <c r="F2233" s="249"/>
      <c r="G2233" s="249"/>
      <c r="H2233" s="205" t="s">
        <v>18</v>
      </c>
      <c r="I2233" s="248">
        <f ca="1">IFERROR(INDEX('Ведомость расчета мин. платы'!$J$10:$AE$214,MATCH(CONCATENATE(РАСЧЕТ!B2223,"/",РАСЧЕТ!D2223,"/",РАСЧЕТ!E2223,"/",F2223,"/",H2233),'Ведомость расчета мин. платы'!$AE$10:$AE$214,0),2),"")</f>
        <v>184.24</v>
      </c>
      <c r="J2233" s="248">
        <f ca="1">IFERROR(INDEX('Ведомость расчета мин. платы'!$J$10:$AE$214,MATCH(CONCATENATE(РАСЧЕТ!B2223,"/",РАСЧЕТ!D2223,"/",РАСЧЕТ!E2223,"/",F2223,"/",H2233),'Ведомость расчета мин. платы'!$AE$10:$AE$214,0),3),"")</f>
        <v>267.27999999999997</v>
      </c>
      <c r="K2233" s="248">
        <f ca="1">IFERROR(INDEX('Ведомость расчета мин. платы'!$J$10:$AE$214,MATCH(CONCATENATE(РАСЧЕТ!B2223,"/",РАСЧЕТ!D2223,"/",РАСЧЕТ!E2223,"/",F2223,"/",H2233),'Ведомость расчета мин. платы'!$AE$10:$AE$214,0),4),"")</f>
        <v>18.5</v>
      </c>
      <c r="L2233" s="248">
        <f t="shared" ca="1" si="1003"/>
        <v>470.02</v>
      </c>
      <c r="M2233" s="248">
        <f ca="1">IFERROR(INDEX('Ведомость расчета мин. платы'!$J$10:$AE$214,MATCH(CONCATENATE(РАСЧЕТ!B2223,"/",РАСЧЕТ!D2223,"/",РАСЧЕТ!E2223,"/",F2223,"/",H2233),'Ведомость расчета мин. платы'!$AE$10:$AE$214,0),6),"")</f>
        <v>160.72999999999999</v>
      </c>
      <c r="N2233" s="214">
        <f t="shared" ca="1" si="1004"/>
        <v>630.75</v>
      </c>
      <c r="O2233" s="229">
        <f t="shared" si="1008"/>
        <v>1</v>
      </c>
      <c r="P2233" s="230">
        <f t="shared" si="1002"/>
        <v>0</v>
      </c>
      <c r="AP2233" s="242"/>
      <c r="AQ2233" s="253"/>
    </row>
    <row r="2234" spans="2:43" x14ac:dyDescent="0.2">
      <c r="B2234" s="249"/>
      <c r="C2234" s="249"/>
      <c r="D2234" s="249"/>
      <c r="E2234" s="249"/>
      <c r="F2234" s="249"/>
      <c r="G2234" s="249"/>
      <c r="H2234" s="250" t="s">
        <v>475</v>
      </c>
      <c r="I2234" s="251">
        <f ca="1">IFERROR(ROUND(I2233*I2222,2),"")</f>
        <v>4206.2</v>
      </c>
      <c r="J2234" s="251">
        <f t="shared" ref="J2234" ca="1" si="1023">IFERROR(ROUND(J2233*J2222,2),"")</f>
        <v>4653.34</v>
      </c>
      <c r="K2234" s="251">
        <f t="shared" ref="K2234" ca="1" si="1024">IFERROR(ROUND(K2233*K2222,2),"")</f>
        <v>163.72999999999999</v>
      </c>
      <c r="L2234" s="251">
        <f t="shared" ca="1" si="1003"/>
        <v>9023.27</v>
      </c>
      <c r="M2234" s="251">
        <f t="shared" ref="M2234" ca="1" si="1025">IFERROR(ROUND(M2233*M2222,2),"")</f>
        <v>91.62</v>
      </c>
      <c r="N2234" s="252">
        <f t="shared" ca="1" si="1004"/>
        <v>9114.8900000000012</v>
      </c>
      <c r="O2234" s="229" t="str">
        <f t="shared" si="1008"/>
        <v/>
      </c>
      <c r="P2234" s="230">
        <f t="shared" si="1002"/>
        <v>0</v>
      </c>
      <c r="AP2234" s="242">
        <f ca="1">SUMIFS('Ведомость расчета мин. платы'!$S$10:$S$209,'Ведомость расчета мин. платы'!$AE$10:$AE$209,CONCATENATE(B2223,"/",D2223,"/",E2223,"/",F2223,"/",H2233))</f>
        <v>9114.89</v>
      </c>
      <c r="AQ2234" s="253">
        <f t="shared" ref="AQ2234" ca="1" si="1026">AP2234-N2234</f>
        <v>0</v>
      </c>
    </row>
    <row r="2235" spans="2:43" x14ac:dyDescent="0.2">
      <c r="B2235" s="249"/>
      <c r="C2235" s="249"/>
      <c r="D2235" s="249"/>
      <c r="E2235" s="249"/>
      <c r="F2235" s="249"/>
      <c r="G2235" s="249"/>
      <c r="H2235" s="254" t="s">
        <v>476</v>
      </c>
      <c r="I2235" s="251">
        <f ca="1">SUMIF($O2223:$O2236,1,I2223:I2234)</f>
        <v>184.24</v>
      </c>
      <c r="J2235" s="251">
        <f ca="1">SUMIF($O2223:$O2236,1,J2223:J2234)</f>
        <v>267.27999999999997</v>
      </c>
      <c r="K2235" s="251">
        <f ca="1">SUMIF($O2223:$O2236,1,K2223:K2234)</f>
        <v>18.5</v>
      </c>
      <c r="L2235" s="251">
        <f t="shared" ca="1" si="1003"/>
        <v>470.02</v>
      </c>
      <c r="M2235" s="251">
        <f ca="1">SUMIF($O2223:$O2236,1,M2223:M2234)</f>
        <v>160.72999999999999</v>
      </c>
      <c r="N2235" s="252">
        <f t="shared" ca="1" si="1004"/>
        <v>630.75</v>
      </c>
      <c r="AP2235" s="242"/>
      <c r="AQ2235" s="253"/>
    </row>
    <row r="2236" spans="2:43" x14ac:dyDescent="0.2">
      <c r="B2236" s="249"/>
      <c r="C2236" s="249"/>
      <c r="D2236" s="249"/>
      <c r="E2236" s="249"/>
      <c r="F2236" s="249"/>
      <c r="G2236" s="249"/>
      <c r="H2236" s="254" t="s">
        <v>491</v>
      </c>
      <c r="I2236" s="251">
        <f ca="1">SUMIF(H2223:H2234,"стоимость",I2223:I2234)</f>
        <v>4206.2</v>
      </c>
      <c r="J2236" s="251">
        <f ca="1">SUMIF(H2223:H2234,"стоимость",J2223:J2234)</f>
        <v>4653.34</v>
      </c>
      <c r="K2236" s="251">
        <f ca="1">SUMIF(H2223:H2234,"стоимость",K2223:K2234)</f>
        <v>163.72999999999999</v>
      </c>
      <c r="L2236" s="251">
        <f ca="1">IFERROR(SUM(I2236:K2236),"")</f>
        <v>9023.27</v>
      </c>
      <c r="M2236" s="251">
        <f ca="1">SUMIF(H2223:H2234,"стоимость",M2223:M2234)</f>
        <v>91.62</v>
      </c>
      <c r="N2236" s="252">
        <f ca="1">IFERROR(SUM(L2236:M2236),"")</f>
        <v>9114.8900000000012</v>
      </c>
      <c r="AP2236" s="242">
        <f ca="1">SUMIFS('Ведомость расчета мин. платы'!$S$10:$S$209,'Ведомость расчета мин. платы'!$J$10:$J$209,"Итого",'Ведомость расчета мин. платы'!$AC$10:$AC$209,CONCATENATE(B2223,"/",D2223,"/",E2223,"/",F2223))</f>
        <v>9114.89</v>
      </c>
      <c r="AQ2236" s="253">
        <f ca="1">AP2236-N2236</f>
        <v>0</v>
      </c>
    </row>
    <row r="2237" spans="2:43" x14ac:dyDescent="0.2">
      <c r="B2237" s="255"/>
      <c r="C2237" s="255"/>
      <c r="D2237" s="255"/>
      <c r="E2237" s="255"/>
      <c r="F2237" s="255"/>
      <c r="G2237" s="256"/>
      <c r="H2237" s="257"/>
      <c r="I2237" s="258"/>
      <c r="J2237" s="258"/>
      <c r="K2237" s="258"/>
      <c r="L2237" s="258"/>
      <c r="M2237" s="258"/>
      <c r="N2237" s="258"/>
      <c r="P2237" s="230">
        <f t="shared" ref="P2237:P2255" si="1027">IF(A2237&gt;0,1,0)</f>
        <v>0</v>
      </c>
    </row>
    <row r="2238" spans="2:43" x14ac:dyDescent="0.2">
      <c r="B2238" s="282" t="s">
        <v>477</v>
      </c>
      <c r="C2238" s="282"/>
      <c r="D2238" s="282"/>
      <c r="E2238" s="282"/>
      <c r="F2238" s="259"/>
      <c r="G2238" s="225"/>
      <c r="H2238" s="201"/>
      <c r="I2238" s="226"/>
      <c r="J2238" s="258"/>
      <c r="K2238" s="258"/>
      <c r="L2238" s="258"/>
      <c r="M2238" s="258"/>
      <c r="N2238" s="258"/>
      <c r="P2238" s="230">
        <f t="shared" si="1027"/>
        <v>0</v>
      </c>
    </row>
    <row r="2239" spans="2:43" x14ac:dyDescent="0.2">
      <c r="B2239" s="283" t="s">
        <v>525</v>
      </c>
      <c r="C2239" s="283"/>
      <c r="D2239" s="283"/>
      <c r="E2239" s="283"/>
      <c r="F2239" s="283"/>
      <c r="G2239" s="283"/>
      <c r="H2239" s="283"/>
      <c r="I2239" s="283"/>
      <c r="J2239" s="261"/>
      <c r="K2239" s="261"/>
      <c r="L2239" s="261"/>
      <c r="M2239" s="261"/>
      <c r="N2239" s="261"/>
      <c r="P2239" s="230">
        <f t="shared" si="1027"/>
        <v>0</v>
      </c>
    </row>
    <row r="2240" spans="2:43" x14ac:dyDescent="0.2">
      <c r="B2240" s="284" t="s">
        <v>478</v>
      </c>
      <c r="C2240" s="284"/>
      <c r="D2240" s="284"/>
      <c r="E2240" s="284"/>
      <c r="F2240" s="284"/>
      <c r="G2240" s="284"/>
      <c r="H2240" s="284"/>
      <c r="I2240" s="284"/>
      <c r="J2240" s="258"/>
      <c r="K2240" s="258"/>
      <c r="L2240" s="258"/>
      <c r="M2240" s="258"/>
      <c r="N2240" s="258"/>
      <c r="P2240" s="230">
        <f t="shared" si="1027"/>
        <v>0</v>
      </c>
    </row>
    <row r="2241" spans="1:16" x14ac:dyDescent="0.2">
      <c r="B2241" s="284" t="s">
        <v>479</v>
      </c>
      <c r="C2241" s="284"/>
      <c r="D2241" s="284"/>
      <c r="E2241" s="284"/>
      <c r="F2241" s="284"/>
      <c r="G2241" s="284"/>
      <c r="H2241" s="284"/>
      <c r="I2241" s="284"/>
      <c r="J2241" s="258"/>
      <c r="K2241" s="258"/>
      <c r="L2241" s="258"/>
      <c r="M2241" s="258"/>
      <c r="N2241" s="258"/>
      <c r="P2241" s="230">
        <f t="shared" si="1027"/>
        <v>0</v>
      </c>
    </row>
    <row r="2242" spans="1:16" x14ac:dyDescent="0.2">
      <c r="B2242" s="284" t="s">
        <v>480</v>
      </c>
      <c r="C2242" s="284"/>
      <c r="D2242" s="284"/>
      <c r="E2242" s="284"/>
      <c r="F2242" s="284"/>
      <c r="G2242" s="284"/>
      <c r="H2242" s="284"/>
      <c r="I2242" s="284"/>
      <c r="J2242" s="258"/>
      <c r="K2242" s="258"/>
      <c r="L2242" s="258"/>
      <c r="M2242" s="258"/>
      <c r="N2242" s="258"/>
      <c r="P2242" s="230">
        <f t="shared" si="1027"/>
        <v>0</v>
      </c>
    </row>
    <row r="2243" spans="1:16" x14ac:dyDescent="0.2">
      <c r="B2243" s="284" t="s">
        <v>481</v>
      </c>
      <c r="C2243" s="284"/>
      <c r="D2243" s="284"/>
      <c r="E2243" s="284"/>
      <c r="F2243" s="284"/>
      <c r="G2243" s="284"/>
      <c r="H2243" s="284"/>
      <c r="I2243" s="284"/>
      <c r="J2243" s="226"/>
      <c r="K2243" s="226"/>
      <c r="L2243" s="226"/>
      <c r="M2243" s="226"/>
      <c r="N2243" s="226"/>
      <c r="P2243" s="230">
        <f t="shared" si="1027"/>
        <v>0</v>
      </c>
    </row>
    <row r="2244" spans="1:16" x14ac:dyDescent="0.2">
      <c r="B2244" s="284" t="s">
        <v>482</v>
      </c>
      <c r="C2244" s="284"/>
      <c r="D2244" s="284"/>
      <c r="E2244" s="284"/>
      <c r="F2244" s="284"/>
      <c r="G2244" s="284"/>
      <c r="H2244" s="284"/>
      <c r="I2244" s="284"/>
      <c r="J2244" s="226"/>
      <c r="K2244" s="226"/>
      <c r="L2244" s="226"/>
      <c r="M2244" s="226"/>
      <c r="N2244" s="226"/>
      <c r="P2244" s="230">
        <f t="shared" si="1027"/>
        <v>0</v>
      </c>
    </row>
    <row r="2245" spans="1:16" x14ac:dyDescent="0.2">
      <c r="B2245" s="284" t="s">
        <v>483</v>
      </c>
      <c r="C2245" s="284"/>
      <c r="D2245" s="284"/>
      <c r="E2245" s="284"/>
      <c r="F2245" s="284"/>
      <c r="G2245" s="284"/>
      <c r="H2245" s="284"/>
      <c r="I2245" s="284"/>
      <c r="J2245" s="226"/>
      <c r="K2245" s="226"/>
      <c r="L2245" s="226"/>
      <c r="M2245" s="226"/>
      <c r="N2245" s="226"/>
      <c r="P2245" s="230">
        <f t="shared" si="1027"/>
        <v>0</v>
      </c>
    </row>
    <row r="2246" spans="1:16" x14ac:dyDescent="0.2">
      <c r="B2246" s="284" t="s">
        <v>484</v>
      </c>
      <c r="C2246" s="284"/>
      <c r="D2246" s="284"/>
      <c r="E2246" s="284"/>
      <c r="F2246" s="284"/>
      <c r="G2246" s="284"/>
      <c r="H2246" s="284"/>
      <c r="I2246" s="284"/>
      <c r="J2246" s="226"/>
      <c r="K2246" s="226"/>
      <c r="L2246" s="226"/>
      <c r="M2246" s="226"/>
      <c r="N2246" s="226"/>
      <c r="P2246" s="230">
        <f t="shared" si="1027"/>
        <v>0</v>
      </c>
    </row>
    <row r="2247" spans="1:16" x14ac:dyDescent="0.2">
      <c r="B2247" s="264"/>
      <c r="C2247" s="264"/>
      <c r="D2247" s="264"/>
      <c r="E2247" s="264"/>
      <c r="F2247" s="264"/>
      <c r="G2247" s="264"/>
      <c r="H2247" s="264"/>
      <c r="I2247" s="265"/>
      <c r="J2247" s="226"/>
      <c r="K2247" s="226"/>
      <c r="L2247" s="226"/>
      <c r="M2247" s="226"/>
      <c r="N2247" s="226"/>
      <c r="P2247" s="230">
        <f t="shared" si="1027"/>
        <v>0</v>
      </c>
    </row>
    <row r="2248" spans="1:16" x14ac:dyDescent="0.2">
      <c r="B2248" s="225" t="s">
        <v>485</v>
      </c>
      <c r="C2248" s="225"/>
      <c r="D2248" s="225"/>
      <c r="E2248" s="225"/>
      <c r="F2248" s="225"/>
      <c r="G2248" s="225"/>
      <c r="H2248" s="201"/>
      <c r="I2248" s="226"/>
      <c r="J2248" s="226" t="s">
        <v>486</v>
      </c>
      <c r="K2248" s="226"/>
      <c r="L2248" s="226"/>
      <c r="M2248" s="226"/>
      <c r="N2248" s="226"/>
      <c r="P2248" s="230">
        <f t="shared" si="1027"/>
        <v>0</v>
      </c>
    </row>
    <row r="2249" spans="1:16" x14ac:dyDescent="0.2">
      <c r="B2249" s="266" t="s">
        <v>524</v>
      </c>
      <c r="C2249" s="266"/>
      <c r="D2249" s="225"/>
      <c r="E2249" s="225"/>
      <c r="F2249" s="225"/>
      <c r="G2249" s="225"/>
      <c r="H2249" s="201"/>
      <c r="I2249" s="226"/>
      <c r="J2249" s="267"/>
      <c r="K2249" s="267"/>
      <c r="L2249" s="267"/>
      <c r="M2249" s="226"/>
      <c r="N2249" s="226"/>
      <c r="P2249" s="230">
        <f t="shared" si="1027"/>
        <v>0</v>
      </c>
    </row>
    <row r="2250" spans="1:16" x14ac:dyDescent="0.2">
      <c r="B2250" s="268" t="s">
        <v>487</v>
      </c>
      <c r="C2250" s="225"/>
      <c r="D2250" s="225"/>
      <c r="E2250" s="225"/>
      <c r="F2250" s="225"/>
      <c r="G2250" s="225"/>
      <c r="H2250" s="201"/>
      <c r="I2250" s="226"/>
      <c r="J2250" s="226" t="s">
        <v>487</v>
      </c>
      <c r="K2250" s="226"/>
      <c r="L2250" s="226"/>
      <c r="M2250" s="226"/>
      <c r="N2250" s="226"/>
      <c r="P2250" s="230">
        <f t="shared" si="1027"/>
        <v>0</v>
      </c>
    </row>
    <row r="2251" spans="1:16" x14ac:dyDescent="0.2">
      <c r="B2251" s="225"/>
      <c r="C2251" s="225"/>
      <c r="D2251" s="225"/>
      <c r="E2251" s="225"/>
      <c r="F2251" s="225"/>
      <c r="G2251" s="225"/>
      <c r="H2251" s="201"/>
      <c r="I2251" s="226"/>
      <c r="J2251" s="226"/>
      <c r="K2251" s="226"/>
      <c r="L2251" s="226"/>
      <c r="M2251" s="226"/>
      <c r="N2251" s="226"/>
      <c r="P2251" s="230">
        <f t="shared" si="1027"/>
        <v>0</v>
      </c>
    </row>
    <row r="2252" spans="1:16" x14ac:dyDescent="0.2">
      <c r="B2252" s="266"/>
      <c r="C2252" s="266"/>
      <c r="D2252" s="225"/>
      <c r="E2252" s="225"/>
      <c r="F2252" s="225"/>
      <c r="G2252" s="225"/>
      <c r="H2252" s="201"/>
      <c r="I2252" s="226"/>
      <c r="J2252" s="267"/>
      <c r="K2252" s="267"/>
      <c r="L2252" s="267"/>
      <c r="M2252" s="226"/>
      <c r="N2252" s="226"/>
      <c r="P2252" s="230">
        <f t="shared" si="1027"/>
        <v>0</v>
      </c>
    </row>
    <row r="2253" spans="1:16" x14ac:dyDescent="0.2">
      <c r="B2253" s="269" t="s">
        <v>488</v>
      </c>
      <c r="C2253" s="225"/>
      <c r="D2253" s="225"/>
      <c r="E2253" s="225"/>
      <c r="F2253" s="225"/>
      <c r="G2253" s="225"/>
      <c r="H2253" s="201"/>
      <c r="I2253" s="226"/>
      <c r="J2253" s="285" t="s">
        <v>488</v>
      </c>
      <c r="K2253" s="285"/>
      <c r="L2253" s="285"/>
      <c r="M2253" s="226"/>
      <c r="N2253" s="226"/>
      <c r="P2253" s="230">
        <f t="shared" si="1027"/>
        <v>0</v>
      </c>
    </row>
    <row r="2254" spans="1:16" x14ac:dyDescent="0.2">
      <c r="B2254" s="225"/>
      <c r="C2254" s="225"/>
      <c r="D2254" s="225"/>
      <c r="E2254" s="225"/>
      <c r="F2254" s="225"/>
      <c r="G2254" s="225"/>
      <c r="H2254" s="201"/>
      <c r="I2254" s="226"/>
      <c r="J2254" s="226"/>
      <c r="K2254" s="226"/>
      <c r="L2254" s="226"/>
      <c r="M2254" s="226"/>
      <c r="N2254" s="226"/>
      <c r="P2254" s="230">
        <f t="shared" si="1027"/>
        <v>0</v>
      </c>
    </row>
    <row r="2255" spans="1:16" x14ac:dyDescent="0.2">
      <c r="B2255" s="264" t="s">
        <v>489</v>
      </c>
      <c r="C2255" s="225"/>
      <c r="D2255" s="225"/>
      <c r="E2255" s="225"/>
      <c r="F2255" s="225"/>
      <c r="G2255" s="225"/>
      <c r="H2255" s="201"/>
      <c r="I2255" s="226"/>
      <c r="J2255" s="226" t="s">
        <v>489</v>
      </c>
      <c r="K2255" s="226"/>
      <c r="L2255" s="226"/>
      <c r="M2255" s="226"/>
      <c r="N2255" s="226"/>
      <c r="P2255" s="230">
        <f t="shared" si="1027"/>
        <v>0</v>
      </c>
    </row>
    <row r="2256" spans="1:16" x14ac:dyDescent="0.2">
      <c r="A2256" s="272"/>
      <c r="B2256" s="225"/>
      <c r="C2256" s="225"/>
      <c r="D2256" s="225"/>
      <c r="E2256" s="225"/>
      <c r="F2256" s="225"/>
      <c r="G2256" s="225"/>
      <c r="H2256" s="201"/>
      <c r="I2256" s="226"/>
      <c r="J2256" s="226"/>
      <c r="K2256" s="226"/>
      <c r="M2256" s="226"/>
      <c r="N2256" s="228"/>
    </row>
    <row r="2257" spans="1:16" x14ac:dyDescent="0.2">
      <c r="A2257" s="260"/>
      <c r="B2257" s="225"/>
      <c r="C2257" s="225"/>
      <c r="D2257" s="225"/>
      <c r="E2257" s="225"/>
      <c r="F2257" s="225"/>
      <c r="G2257" s="225"/>
      <c r="H2257" s="201"/>
      <c r="I2257" s="226"/>
      <c r="J2257" s="226"/>
      <c r="K2257" s="226"/>
      <c r="M2257" s="226"/>
      <c r="N2257" s="228" t="s">
        <v>455</v>
      </c>
      <c r="P2257" s="230">
        <f t="shared" ref="P2257:P2274" si="1028">IF(A2257&gt;0,1,0)</f>
        <v>0</v>
      </c>
    </row>
    <row r="2258" spans="1:16" x14ac:dyDescent="0.2">
      <c r="B2258" s="225"/>
      <c r="C2258" s="225"/>
      <c r="D2258" s="225"/>
      <c r="E2258" s="225"/>
      <c r="F2258" s="225"/>
      <c r="G2258" s="225"/>
      <c r="H2258" s="201"/>
      <c r="I2258" s="226"/>
      <c r="J2258" s="226"/>
      <c r="K2258" s="226"/>
      <c r="M2258" s="226"/>
      <c r="N2258" s="228" t="s">
        <v>456</v>
      </c>
      <c r="P2258" s="230">
        <f t="shared" si="1028"/>
        <v>0</v>
      </c>
    </row>
    <row r="2259" spans="1:16" x14ac:dyDescent="0.2">
      <c r="B2259" s="225"/>
      <c r="C2259" s="225"/>
      <c r="D2259" s="225"/>
      <c r="E2259" s="225"/>
      <c r="F2259" s="225"/>
      <c r="G2259" s="225"/>
      <c r="H2259" s="201"/>
      <c r="I2259" s="226"/>
      <c r="J2259" s="226"/>
      <c r="K2259" s="226"/>
      <c r="M2259" s="226"/>
      <c r="N2259" s="228" t="s">
        <v>457</v>
      </c>
      <c r="P2259" s="230">
        <f t="shared" si="1028"/>
        <v>0</v>
      </c>
    </row>
    <row r="2260" spans="1:16" x14ac:dyDescent="0.2">
      <c r="B2260" s="225"/>
      <c r="C2260" s="225"/>
      <c r="D2260" s="225"/>
      <c r="E2260" s="225"/>
      <c r="F2260" s="225"/>
      <c r="G2260" s="225"/>
      <c r="H2260" s="201"/>
      <c r="I2260" s="226"/>
      <c r="J2260" s="226"/>
      <c r="K2260" s="226"/>
      <c r="L2260" s="226"/>
      <c r="M2260" s="226"/>
      <c r="N2260" s="226"/>
      <c r="P2260" s="230">
        <f t="shared" si="1028"/>
        <v>0</v>
      </c>
    </row>
    <row r="2261" spans="1:16" x14ac:dyDescent="0.2">
      <c r="B2261" s="225"/>
      <c r="C2261" s="286" t="s">
        <v>458</v>
      </c>
      <c r="D2261" s="286"/>
      <c r="E2261" s="286"/>
      <c r="F2261" s="286"/>
      <c r="G2261" s="286"/>
      <c r="H2261" s="286"/>
      <c r="I2261" s="286"/>
      <c r="J2261" s="286"/>
      <c r="K2261" s="286"/>
      <c r="L2261" s="286"/>
      <c r="M2261" s="226"/>
      <c r="N2261" s="226"/>
      <c r="P2261" s="230">
        <f t="shared" si="1028"/>
        <v>0</v>
      </c>
    </row>
    <row r="2262" spans="1:16" x14ac:dyDescent="0.2">
      <c r="B2262" s="225"/>
      <c r="C2262" s="286" t="s">
        <v>459</v>
      </c>
      <c r="D2262" s="286"/>
      <c r="E2262" s="286"/>
      <c r="F2262" s="286"/>
      <c r="G2262" s="286"/>
      <c r="H2262" s="286"/>
      <c r="I2262" s="286"/>
      <c r="J2262" s="286"/>
      <c r="K2262" s="286"/>
      <c r="L2262" s="286"/>
      <c r="M2262" s="226"/>
      <c r="N2262" s="226"/>
      <c r="P2262" s="230">
        <f t="shared" si="1028"/>
        <v>0</v>
      </c>
    </row>
    <row r="2263" spans="1:16" x14ac:dyDescent="0.2">
      <c r="B2263" s="225" t="s">
        <v>460</v>
      </c>
      <c r="C2263" s="234"/>
      <c r="D2263" s="234"/>
      <c r="E2263" s="234"/>
      <c r="F2263" s="234"/>
      <c r="G2263" s="234"/>
      <c r="H2263" s="234"/>
      <c r="I2263" s="235"/>
      <c r="J2263" s="235"/>
      <c r="K2263" s="235"/>
      <c r="L2263" s="287" t="s">
        <v>461</v>
      </c>
      <c r="M2263" s="287"/>
      <c r="N2263" s="287"/>
      <c r="P2263" s="230">
        <f t="shared" si="1028"/>
        <v>0</v>
      </c>
    </row>
    <row r="2264" spans="1:16" x14ac:dyDescent="0.2">
      <c r="B2264" s="225"/>
      <c r="C2264" s="234"/>
      <c r="D2264" s="234"/>
      <c r="E2264" s="234"/>
      <c r="F2264" s="234"/>
      <c r="G2264" s="234"/>
      <c r="H2264" s="234"/>
      <c r="I2264" s="235"/>
      <c r="J2264" s="235"/>
      <c r="K2264" s="235"/>
      <c r="L2264" s="235"/>
      <c r="M2264" s="235"/>
      <c r="N2264" s="235"/>
      <c r="P2264" s="230">
        <f t="shared" si="1028"/>
        <v>0</v>
      </c>
    </row>
    <row r="2265" spans="1:16" x14ac:dyDescent="0.2">
      <c r="B2265" s="225" t="s">
        <v>2038</v>
      </c>
      <c r="C2265" s="234"/>
      <c r="D2265" s="234"/>
      <c r="E2265" s="234"/>
      <c r="F2265" s="234"/>
      <c r="G2265" s="234"/>
      <c r="H2265" s="234"/>
      <c r="I2265" s="235"/>
      <c r="J2265" s="235"/>
      <c r="K2265" s="235"/>
      <c r="L2265" s="235"/>
      <c r="M2265" s="235"/>
      <c r="N2265" s="235"/>
      <c r="P2265" s="230">
        <f t="shared" si="1028"/>
        <v>0</v>
      </c>
    </row>
    <row r="2266" spans="1:16" x14ac:dyDescent="0.2">
      <c r="B2266" s="225" t="s">
        <v>462</v>
      </c>
      <c r="C2266" s="234"/>
      <c r="D2266" s="234"/>
      <c r="E2266" s="234"/>
      <c r="F2266" s="234"/>
      <c r="G2266" s="234"/>
      <c r="H2266" s="234"/>
      <c r="I2266" s="235"/>
      <c r="J2266" s="235"/>
      <c r="K2266" s="235"/>
      <c r="L2266" s="235"/>
      <c r="M2266" s="235"/>
      <c r="N2266" s="235"/>
      <c r="P2266" s="230">
        <f t="shared" si="1028"/>
        <v>0</v>
      </c>
    </row>
    <row r="2267" spans="1:16" x14ac:dyDescent="0.2">
      <c r="B2267" s="225" t="s">
        <v>2037</v>
      </c>
      <c r="C2267" s="234"/>
      <c r="D2267" s="234"/>
      <c r="E2267" s="234"/>
      <c r="F2267" s="234"/>
      <c r="G2267" s="234"/>
      <c r="H2267" s="234"/>
      <c r="I2267" s="235"/>
      <c r="J2267" s="235"/>
      <c r="K2267" s="235"/>
      <c r="L2267" s="235"/>
      <c r="M2267" s="235"/>
      <c r="N2267" s="235"/>
      <c r="P2267" s="230">
        <f t="shared" si="1028"/>
        <v>0</v>
      </c>
    </row>
    <row r="2268" spans="1:16" x14ac:dyDescent="0.2">
      <c r="B2268" s="225" t="s">
        <v>2052</v>
      </c>
      <c r="C2268" s="234"/>
      <c r="D2268" s="234"/>
      <c r="E2268" s="234"/>
      <c r="F2268" s="234"/>
      <c r="G2268" s="234"/>
      <c r="H2268" s="234"/>
      <c r="I2268" s="235"/>
      <c r="J2268" s="235"/>
      <c r="K2268" s="235"/>
      <c r="L2268" s="235"/>
      <c r="M2268" s="235"/>
      <c r="N2268" s="235"/>
      <c r="P2268" s="230">
        <f t="shared" si="1028"/>
        <v>0</v>
      </c>
    </row>
    <row r="2269" spans="1:16" x14ac:dyDescent="0.2">
      <c r="B2269" s="225"/>
      <c r="C2269" s="225"/>
      <c r="D2269" s="225"/>
      <c r="E2269" s="225"/>
      <c r="F2269" s="225"/>
      <c r="G2269" s="225"/>
      <c r="H2269" s="201"/>
      <c r="I2269" s="226"/>
      <c r="J2269" s="226"/>
      <c r="K2269" s="226"/>
      <c r="L2269" s="226"/>
      <c r="M2269" s="226"/>
      <c r="N2269" s="226"/>
      <c r="P2269" s="230">
        <f t="shared" si="1028"/>
        <v>0</v>
      </c>
    </row>
    <row r="2270" spans="1:16" x14ac:dyDescent="0.2">
      <c r="B2270" s="288" t="s">
        <v>106</v>
      </c>
      <c r="C2270" s="290" t="s">
        <v>463</v>
      </c>
      <c r="D2270" s="288" t="s">
        <v>464</v>
      </c>
      <c r="E2270" s="288" t="s">
        <v>465</v>
      </c>
      <c r="F2270" s="288" t="s">
        <v>490</v>
      </c>
      <c r="G2270" s="288" t="s">
        <v>466</v>
      </c>
      <c r="H2270" s="292" t="s">
        <v>8</v>
      </c>
      <c r="I2270" s="294" t="s">
        <v>467</v>
      </c>
      <c r="J2270" s="295"/>
      <c r="K2270" s="295"/>
      <c r="L2270" s="296"/>
      <c r="M2270" s="297" t="s">
        <v>468</v>
      </c>
      <c r="N2270" s="299" t="s">
        <v>469</v>
      </c>
      <c r="P2270" s="230">
        <f t="shared" si="1028"/>
        <v>0</v>
      </c>
    </row>
    <row r="2271" spans="1:16" x14ac:dyDescent="0.2">
      <c r="B2271" s="289"/>
      <c r="C2271" s="291"/>
      <c r="D2271" s="289"/>
      <c r="E2271" s="289"/>
      <c r="F2271" s="289"/>
      <c r="G2271" s="289"/>
      <c r="H2271" s="293"/>
      <c r="I2271" s="236" t="s">
        <v>470</v>
      </c>
      <c r="J2271" s="236" t="s">
        <v>471</v>
      </c>
      <c r="K2271" s="236" t="s">
        <v>472</v>
      </c>
      <c r="L2271" s="236" t="s">
        <v>473</v>
      </c>
      <c r="M2271" s="298"/>
      <c r="N2271" s="300"/>
      <c r="P2271" s="230">
        <f t="shared" si="1028"/>
        <v>0</v>
      </c>
    </row>
    <row r="2272" spans="1:16" x14ac:dyDescent="0.2">
      <c r="A2272" s="224" t="str">
        <f>CONCATENATE("Лот"," ",A2273)</f>
        <v>Лот 42</v>
      </c>
      <c r="B2272" s="273" t="s">
        <v>2087</v>
      </c>
      <c r="C2272" s="274"/>
      <c r="D2272" s="274"/>
      <c r="E2272" s="274"/>
      <c r="F2272" s="274"/>
      <c r="G2272" s="275"/>
      <c r="H2272" s="238" t="s">
        <v>17</v>
      </c>
      <c r="I2272" s="270">
        <f ca="1">ROUND(VLOOKUP($H2272,$AJ$4:$AN$13,2,0)*$Q2274*1.51,2)</f>
        <v>120.15</v>
      </c>
      <c r="J2272" s="270">
        <f ca="1">ROUND(VLOOKUP($H2272,$AJ$4:$AN$13,3,0)*$Q2274*1.51,2)</f>
        <v>85.62</v>
      </c>
      <c r="K2272" s="270">
        <f ca="1">ROUND(VLOOKUP($H2272,$AJ$4:$AN$13,4,0)*$Q2274*1.51,2)</f>
        <v>43.38</v>
      </c>
      <c r="L2272" s="270"/>
      <c r="M2272" s="270">
        <f ca="1">ROUND(VLOOKUP($H2272,$AJ$4:$AN$13,5,0)*$Q2274*1.51,2)</f>
        <v>6.85</v>
      </c>
      <c r="N2272" s="270"/>
      <c r="P2272" s="230">
        <f t="shared" si="1028"/>
        <v>1</v>
      </c>
    </row>
    <row r="2273" spans="1:43" x14ac:dyDescent="0.2">
      <c r="A2273" s="224">
        <f>A2218+1</f>
        <v>42</v>
      </c>
      <c r="B2273" s="276"/>
      <c r="C2273" s="277"/>
      <c r="D2273" s="277"/>
      <c r="E2273" s="277"/>
      <c r="F2273" s="277"/>
      <c r="G2273" s="278"/>
      <c r="H2273" s="238" t="s">
        <v>25</v>
      </c>
      <c r="I2273" s="270">
        <f ca="1">ROUND(VLOOKUP($H2273,$AJ$4:$AN$13,2,0)*$Q2274*1.51,2)</f>
        <v>898.69</v>
      </c>
      <c r="J2273" s="270">
        <f ca="1">ROUND(VLOOKUP($H2273,$AJ$4:$AN$13,3,0)*$Q2274*1.51,2)</f>
        <v>642.13</v>
      </c>
      <c r="K2273" s="270">
        <f ca="1">ROUND(VLOOKUP($H2273,$AJ$4:$AN$13,4,0)*$Q2274*1.51,2)</f>
        <v>323.06</v>
      </c>
      <c r="L2273" s="270"/>
      <c r="M2273" s="270">
        <f ca="1">ROUND(VLOOKUP($H2273,$AJ$4:$AN$13,5,0)*$Q2274*1.51,2)</f>
        <v>27.97</v>
      </c>
      <c r="N2273" s="270"/>
      <c r="P2273" s="230">
        <f t="shared" si="1028"/>
        <v>1</v>
      </c>
      <c r="Q2273" s="240" t="s">
        <v>2045</v>
      </c>
      <c r="R2273" s="240" t="s">
        <v>2046</v>
      </c>
    </row>
    <row r="2274" spans="1:43" x14ac:dyDescent="0.2">
      <c r="B2274" s="276"/>
      <c r="C2274" s="277"/>
      <c r="D2274" s="277"/>
      <c r="E2274" s="277"/>
      <c r="F2274" s="277"/>
      <c r="G2274" s="278"/>
      <c r="H2274" s="238" t="s">
        <v>19</v>
      </c>
      <c r="I2274" s="270">
        <f ca="1">ROUND(VLOOKUP($H2274,$AJ$4:$AN$13,2,0)*$Q2274*1.51,2)</f>
        <v>71.349999999999994</v>
      </c>
      <c r="J2274" s="270">
        <f ca="1">ROUND(VLOOKUP($H2274,$AJ$4:$AN$13,3,0)*$Q2274*1.51,2)</f>
        <v>51.94</v>
      </c>
      <c r="K2274" s="270">
        <f ca="1">ROUND(VLOOKUP($H2274,$AJ$4:$AN$13,4,0)*$Q2274*1.51,2)</f>
        <v>26.54</v>
      </c>
      <c r="L2274" s="270"/>
      <c r="M2274" s="270">
        <f ca="1">ROUND(VLOOKUP($H2274,$AJ$4:$AN$13,5,0)*$Q2274*1.51,2)</f>
        <v>1.43</v>
      </c>
      <c r="N2274" s="270"/>
      <c r="P2274" s="230">
        <f t="shared" si="1028"/>
        <v>0</v>
      </c>
      <c r="Q2274" s="123">
        <f ca="1">IFERROR(IF(R2274="","",IF(OR(R2274&lt;100,R2274=100),0.9,IF(OR(AND(R2274&gt;100,R2274&lt;150),R2274=150),1,IF(R2274&gt;150,1.05,"")))),"0")</f>
        <v>1.05</v>
      </c>
      <c r="R2274" s="123">
        <f ca="1">N2290/G2278</f>
        <v>155.10624999999999</v>
      </c>
    </row>
    <row r="2275" spans="1:43" x14ac:dyDescent="0.2">
      <c r="B2275" s="276"/>
      <c r="C2275" s="277"/>
      <c r="D2275" s="277"/>
      <c r="E2275" s="277"/>
      <c r="F2275" s="277"/>
      <c r="G2275" s="278"/>
      <c r="H2275" s="238" t="s">
        <v>268</v>
      </c>
      <c r="I2275" s="270">
        <f ca="1">ROUND(VLOOKUP($H2275,$AJ$4:$AN$13,2,0)*$Q2274*1.51,2)</f>
        <v>898.69</v>
      </c>
      <c r="J2275" s="270">
        <f ca="1">ROUND(VLOOKUP($H2275,$AJ$4:$AN$13,3,0)*$Q2274*1.51,2)</f>
        <v>642.13</v>
      </c>
      <c r="K2275" s="270">
        <f ca="1">ROUND(VLOOKUP($H2275,$AJ$4:$AN$13,4,0)*$Q2274*1.51,2)</f>
        <v>323.06</v>
      </c>
      <c r="L2275" s="270"/>
      <c r="M2275" s="270">
        <f ca="1">ROUND(VLOOKUP($H2275,$AJ$4:$AN$13,5,0)*$Q2274*1.51,2)</f>
        <v>27.97</v>
      </c>
      <c r="N2275" s="270"/>
    </row>
    <row r="2276" spans="1:43" x14ac:dyDescent="0.2">
      <c r="B2276" s="276"/>
      <c r="C2276" s="277"/>
      <c r="D2276" s="277"/>
      <c r="E2276" s="277"/>
      <c r="F2276" s="277"/>
      <c r="G2276" s="278"/>
      <c r="H2276" s="238" t="s">
        <v>40</v>
      </c>
      <c r="I2276" s="270">
        <f ca="1">ROUND(VLOOKUP($H2276,$AJ$4:$AN$13,2,0)*$Q2274*1.51,2)</f>
        <v>71.349999999999994</v>
      </c>
      <c r="J2276" s="270">
        <f ca="1">ROUND(VLOOKUP($H2276,$AJ$4:$AN$13,3,0)*$Q2274*1.51,2)</f>
        <v>51.94</v>
      </c>
      <c r="K2276" s="270">
        <f ca="1">ROUND(VLOOKUP($H2276,$AJ$4:$AN$13,4,0)*$Q2274*1.51,2)</f>
        <v>26.54</v>
      </c>
      <c r="L2276" s="270"/>
      <c r="M2276" s="270">
        <f ca="1">ROUND(VLOOKUP($H2276,$AJ$4:$AN$13,5,0)*$Q2274*1.51,2)</f>
        <v>1.43</v>
      </c>
      <c r="N2276" s="270"/>
      <c r="P2276" s="230">
        <f t="shared" ref="P2276:P2289" si="1029">IF(A2276&gt;0,1,0)</f>
        <v>0</v>
      </c>
    </row>
    <row r="2277" spans="1:43" x14ac:dyDescent="0.2">
      <c r="B2277" s="279"/>
      <c r="C2277" s="280"/>
      <c r="D2277" s="280"/>
      <c r="E2277" s="280"/>
      <c r="F2277" s="280"/>
      <c r="G2277" s="281"/>
      <c r="H2277" s="238" t="s">
        <v>18</v>
      </c>
      <c r="I2277" s="270">
        <f ca="1">ROUND(VLOOKUP($H2277,$AJ$4:$AN$13,2,0)*$Q2274*1.51,2)</f>
        <v>22.83</v>
      </c>
      <c r="J2277" s="270">
        <f ca="1">ROUND(VLOOKUP($H2277,$AJ$4:$AN$13,3,0)*$Q2274*1.51,2)</f>
        <v>17.41</v>
      </c>
      <c r="K2277" s="270">
        <f ca="1">ROUND(VLOOKUP($H2277,$AJ$4:$AN$13,4,0)*$Q2274*1.51,2)</f>
        <v>8.85</v>
      </c>
      <c r="L2277" s="270"/>
      <c r="M2277" s="270">
        <f ca="1">ROUND(VLOOKUP($H2277,$AJ$4:$AN$13,5,0)*$Q2274*1.51*1,2)</f>
        <v>0.56999999999999995</v>
      </c>
      <c r="N2277" s="270"/>
      <c r="P2277" s="230">
        <f t="shared" si="1029"/>
        <v>0</v>
      </c>
      <c r="AP2277" s="241" t="s">
        <v>2053</v>
      </c>
      <c r="AQ2277" s="242"/>
    </row>
    <row r="2278" spans="1:43" x14ac:dyDescent="0.2">
      <c r="A2278" s="224">
        <f>A2223+37</f>
        <v>1517</v>
      </c>
      <c r="B2278" s="243" t="str">
        <f ca="1">OFFSET(ЛОТЫ!$L$5,A2278,0,1,1)</f>
        <v>Тимерликовское</v>
      </c>
      <c r="C2278" s="244" t="s">
        <v>474</v>
      </c>
      <c r="D2278" s="243">
        <f ca="1">OFFSET(ЛОТЫ!$M$5,A2278,0,1,1)</f>
        <v>115</v>
      </c>
      <c r="E2278" s="243">
        <f ca="1">OFFSET(ЛОТЫ!$N$5,A2278,0,1,1)</f>
        <v>6</v>
      </c>
      <c r="F2278" s="243">
        <f ca="1">OFFSET(ЛОТЫ!$O$5,A2278,0,1,1)</f>
        <v>3</v>
      </c>
      <c r="G2278" s="271">
        <f ca="1">IFERROR(INDEX('Ведомость расчета мин. платы'!$G$10:$AC$214,MATCH(CONCATENATE(B2278,"/",D2278,"/",E2278,"/",F2278),'Ведомость расчета мин. платы'!$AC$10:$AC$214,0),1),"")</f>
        <v>3.2</v>
      </c>
      <c r="H2278" s="246" t="s">
        <v>17</v>
      </c>
      <c r="I2278" s="247" t="str">
        <f ca="1">IFERROR(INDEX('Ведомость расчета мин. платы'!$J$10:$AE$214,MATCH(CONCATENATE(РАСЧЕТ!B2278,"/",РАСЧЕТ!D2278,"/",РАСЧЕТ!E2278,"/",F2278,"/",H2278),'Ведомость расчета мин. платы'!$AE$10:$AE$214,0),2),"")</f>
        <v/>
      </c>
      <c r="J2278" s="247" t="str">
        <f ca="1">IFERROR(INDEX('Ведомость расчета мин. платы'!$J$10:$AE$214,MATCH(CONCATENATE(РАСЧЕТ!B2278,"/",РАСЧЕТ!D2278,"/",РАСЧЕТ!E2278,"/",F2278,"/",H2278),'Ведомость расчета мин. платы'!$AE$10:$AE$214,0),3),"")</f>
        <v/>
      </c>
      <c r="K2278" s="247" t="str">
        <f ca="1">IFERROR(INDEX('Ведомость расчета мин. платы'!$J$10:$AE$214,MATCH(CONCATENATE(РАСЧЕТ!B2278,"/",РАСЧЕТ!D2278,"/",РАСЧЕТ!E2278,"/",F2278,"/",H2278),'Ведомость расчета мин. платы'!$AE$10:$AE$214,0),4),"")</f>
        <v/>
      </c>
      <c r="L2278" s="248">
        <f t="shared" ref="L2278:L2290" ca="1" si="1030">IFERROR(SUM(I2278:K2278),"")</f>
        <v>0</v>
      </c>
      <c r="M2278" s="214" t="str">
        <f ca="1">IFERROR(INDEX('Ведомость расчета мин. платы'!$J$10:$AE$214,MATCH(CONCATENATE(РАСЧЕТ!B2278,"/",РАСЧЕТ!D2278,"/",РАСЧЕТ!E2278,"/",F2278,"/",H2278),'Ведомость расчета мин. платы'!$AE$10:$AE$214,0),6),"")</f>
        <v/>
      </c>
      <c r="N2278" s="214">
        <f t="shared" ref="N2278:N2290" ca="1" si="1031">IFERROR(SUM(L2278:M2278),"")</f>
        <v>0</v>
      </c>
      <c r="O2278" s="229">
        <f>IF(H2278="стоимость","",1)</f>
        <v>1</v>
      </c>
      <c r="P2278" s="230">
        <f t="shared" si="1029"/>
        <v>1</v>
      </c>
      <c r="AP2278" s="242"/>
      <c r="AQ2278" s="242"/>
    </row>
    <row r="2279" spans="1:43" x14ac:dyDescent="0.2">
      <c r="B2279" s="249"/>
      <c r="C2279" s="249"/>
      <c r="D2279" s="249"/>
      <c r="E2279" s="249"/>
      <c r="F2279" s="249"/>
      <c r="G2279" s="249"/>
      <c r="H2279" s="250" t="s">
        <v>475</v>
      </c>
      <c r="I2279" s="251" t="str">
        <f ca="1">IFERROR(ROUND(I2278*I2272,2),"")</f>
        <v/>
      </c>
      <c r="J2279" s="251" t="str">
        <f t="shared" ref="J2279" ca="1" si="1032">IFERROR(ROUND(J2278*J2272,2),"")</f>
        <v/>
      </c>
      <c r="K2279" s="251" t="str">
        <f t="shared" ref="K2279" ca="1" si="1033">IFERROR(ROUND(K2278*K2272,2),"")</f>
        <v/>
      </c>
      <c r="L2279" s="251">
        <f t="shared" ca="1" si="1030"/>
        <v>0</v>
      </c>
      <c r="M2279" s="251" t="str">
        <f t="shared" ref="M2279" ca="1" si="1034">IFERROR(ROUND(M2278*M2272,2),"")</f>
        <v/>
      </c>
      <c r="N2279" s="252">
        <f t="shared" ca="1" si="1031"/>
        <v>0</v>
      </c>
      <c r="O2279" s="229" t="str">
        <f t="shared" ref="O2279:O2289" si="1035">IF(H2279="стоимость","",1)</f>
        <v/>
      </c>
      <c r="P2279" s="230">
        <f t="shared" si="1029"/>
        <v>0</v>
      </c>
      <c r="AP2279" s="242">
        <f ca="1">SUMIFS('Ведомость расчета мин. платы'!$S$10:$S$209,'Ведомость расчета мин. платы'!$AE$10:$AE$209,CONCATENATE(B2278,"/",D2278,"/",E2278,"/",F2278,"/",H2278))</f>
        <v>0</v>
      </c>
      <c r="AQ2279" s="253">
        <f t="shared" ref="AQ2279" ca="1" si="1036">AP2279-N2279</f>
        <v>0</v>
      </c>
    </row>
    <row r="2280" spans="1:43" x14ac:dyDescent="0.2">
      <c r="B2280" s="249"/>
      <c r="C2280" s="249"/>
      <c r="D2280" s="249"/>
      <c r="E2280" s="249"/>
      <c r="F2280" s="249"/>
      <c r="G2280" s="249"/>
      <c r="H2280" s="246" t="s">
        <v>25</v>
      </c>
      <c r="I2280" s="247" t="str">
        <f ca="1">IFERROR(INDEX('Ведомость расчета мин. платы'!$J$10:$AE$214,MATCH(CONCATENATE(РАСЧЕТ!B2278,"/",РАСЧЕТ!D2278,"/",РАСЧЕТ!E2278,"/",F2278,"/",H2280),'Ведомость расчета мин. платы'!$AE$10:$AE$214,0),2),"")</f>
        <v/>
      </c>
      <c r="J2280" s="247" t="str">
        <f ca="1">IFERROR(INDEX('Ведомость расчета мин. платы'!$J$10:$AE$214,MATCH(CONCATENATE(РАСЧЕТ!B2278,"/",РАСЧЕТ!D2278,"/",РАСЧЕТ!E2278,"/",F2278,"/",H2280),'Ведомость расчета мин. платы'!$AE$10:$AE$214,0),3),"")</f>
        <v/>
      </c>
      <c r="K2280" s="247" t="str">
        <f ca="1">IFERROR(INDEX('Ведомость расчета мин. платы'!$J$10:$AE$214,MATCH(CONCATENATE(РАСЧЕТ!B2278,"/",РАСЧЕТ!D2278,"/",РАСЧЕТ!E2278,"/",F2278,"/",H2280),'Ведомость расчета мин. платы'!$AE$10:$AE$214,0),4),"")</f>
        <v/>
      </c>
      <c r="L2280" s="248">
        <f t="shared" ca="1" si="1030"/>
        <v>0</v>
      </c>
      <c r="M2280" s="214" t="str">
        <f ca="1">IFERROR(INDEX('Ведомость расчета мин. платы'!$J$10:$AE$214,MATCH(CONCATENATE(РАСЧЕТ!B2278,"/",РАСЧЕТ!D2278,"/",РАСЧЕТ!E2278,"/",F2278,"/",H2280),'Ведомость расчета мин. платы'!$AE$10:$AE$214,0),6),"")</f>
        <v/>
      </c>
      <c r="N2280" s="214">
        <f t="shared" ca="1" si="1031"/>
        <v>0</v>
      </c>
      <c r="O2280" s="229">
        <f t="shared" si="1035"/>
        <v>1</v>
      </c>
      <c r="P2280" s="230">
        <f t="shared" si="1029"/>
        <v>0</v>
      </c>
      <c r="AP2280" s="242"/>
      <c r="AQ2280" s="253"/>
    </row>
    <row r="2281" spans="1:43" x14ac:dyDescent="0.2">
      <c r="B2281" s="249"/>
      <c r="C2281" s="249"/>
      <c r="D2281" s="249"/>
      <c r="E2281" s="249"/>
      <c r="F2281" s="249"/>
      <c r="G2281" s="249"/>
      <c r="H2281" s="250" t="s">
        <v>475</v>
      </c>
      <c r="I2281" s="251" t="str">
        <f ca="1">IFERROR(ROUND(I2280*I2273,2),"")</f>
        <v/>
      </c>
      <c r="J2281" s="251" t="str">
        <f t="shared" ref="J2281" ca="1" si="1037">IFERROR(ROUND(J2280*J2273,2),"")</f>
        <v/>
      </c>
      <c r="K2281" s="251" t="str">
        <f t="shared" ref="K2281" ca="1" si="1038">IFERROR(ROUND(K2280*K2273,2),"")</f>
        <v/>
      </c>
      <c r="L2281" s="251">
        <f t="shared" ca="1" si="1030"/>
        <v>0</v>
      </c>
      <c r="M2281" s="251" t="str">
        <f t="shared" ref="M2281" ca="1" si="1039">IFERROR(ROUND(M2280*M2273,2),"")</f>
        <v/>
      </c>
      <c r="N2281" s="252">
        <f t="shared" ca="1" si="1031"/>
        <v>0</v>
      </c>
      <c r="O2281" s="229" t="str">
        <f t="shared" si="1035"/>
        <v/>
      </c>
      <c r="P2281" s="230">
        <f t="shared" si="1029"/>
        <v>0</v>
      </c>
      <c r="AP2281" s="242">
        <f ca="1">SUMIFS('Ведомость расчета мин. платы'!$S$10:$S$209,'Ведомость расчета мин. платы'!$AE$10:$AE$209,CONCATENATE(B2278,"/",D2278,"/",E2278,"/",F2278,"/",H2280))</f>
        <v>0</v>
      </c>
      <c r="AQ2281" s="253">
        <f t="shared" ref="AQ2281" ca="1" si="1040">AP2281-N2281</f>
        <v>0</v>
      </c>
    </row>
    <row r="2282" spans="1:43" x14ac:dyDescent="0.2">
      <c r="B2282" s="249"/>
      <c r="C2282" s="249"/>
      <c r="D2282" s="249"/>
      <c r="E2282" s="249"/>
      <c r="F2282" s="249"/>
      <c r="G2282" s="249"/>
      <c r="H2282" s="205" t="s">
        <v>19</v>
      </c>
      <c r="I2282" s="248" t="str">
        <f ca="1">IFERROR(INDEX('Ведомость расчета мин. платы'!$J$10:$AE$214,MATCH(CONCATENATE(РАСЧЕТ!B2278,"/",РАСЧЕТ!D2278,"/",РАСЧЕТ!E2278,"/",F2278,"/",H2282),'Ведомость расчета мин. платы'!$AE$10:$AE$214,0),2),"")</f>
        <v/>
      </c>
      <c r="J2282" s="248" t="str">
        <f ca="1">IFERROR(INDEX('Ведомость расчета мин. платы'!$J$10:$AE$214,MATCH(CONCATENATE(РАСЧЕТ!B2278,"/",РАСЧЕТ!D2278,"/",РАСЧЕТ!E2278,"/",F2278,"/",H2282),'Ведомость расчета мин. платы'!$AE$10:$AE$214,0),3),"")</f>
        <v/>
      </c>
      <c r="K2282" s="248" t="str">
        <f ca="1">IFERROR(INDEX('Ведомость расчета мин. платы'!$J$10:$AE$214,MATCH(CONCATENATE(РАСЧЕТ!B2278,"/",РАСЧЕТ!D2278,"/",РАСЧЕТ!E2278,"/",F2278,"/",H2282),'Ведомость расчета мин. платы'!$AE$10:$AE$214,0),4),"")</f>
        <v/>
      </c>
      <c r="L2282" s="248">
        <f t="shared" ca="1" si="1030"/>
        <v>0</v>
      </c>
      <c r="M2282" s="248" t="str">
        <f ca="1">IFERROR(INDEX('Ведомость расчета мин. платы'!$J$10:$AE$214,MATCH(CONCATENATE(РАСЧЕТ!B2278,"/",РАСЧЕТ!D2278,"/",РАСЧЕТ!E2278,"/",F2278,"/",H2282),'Ведомость расчета мин. платы'!$AE$10:$AE$214,0),6),"")</f>
        <v/>
      </c>
      <c r="N2282" s="214">
        <f t="shared" ca="1" si="1031"/>
        <v>0</v>
      </c>
      <c r="O2282" s="229">
        <f t="shared" si="1035"/>
        <v>1</v>
      </c>
      <c r="P2282" s="230">
        <f t="shared" si="1029"/>
        <v>0</v>
      </c>
      <c r="AP2282" s="242"/>
      <c r="AQ2282" s="253"/>
    </row>
    <row r="2283" spans="1:43" x14ac:dyDescent="0.2">
      <c r="B2283" s="249"/>
      <c r="C2283" s="249"/>
      <c r="D2283" s="249"/>
      <c r="E2283" s="249"/>
      <c r="F2283" s="249"/>
      <c r="G2283" s="249"/>
      <c r="H2283" s="250" t="s">
        <v>475</v>
      </c>
      <c r="I2283" s="251" t="str">
        <f ca="1">IFERROR(ROUND(I2282*I2274,2),"")</f>
        <v/>
      </c>
      <c r="J2283" s="251" t="str">
        <f t="shared" ref="J2283" ca="1" si="1041">IFERROR(ROUND(J2282*J2274,2),"")</f>
        <v/>
      </c>
      <c r="K2283" s="251" t="str">
        <f t="shared" ref="K2283" ca="1" si="1042">IFERROR(ROUND(K2282*K2274,2),"")</f>
        <v/>
      </c>
      <c r="L2283" s="251">
        <f t="shared" ca="1" si="1030"/>
        <v>0</v>
      </c>
      <c r="M2283" s="251" t="str">
        <f t="shared" ref="M2283" ca="1" si="1043">IFERROR(ROUND(M2282*M2274,2),"")</f>
        <v/>
      </c>
      <c r="N2283" s="252">
        <f t="shared" ca="1" si="1031"/>
        <v>0</v>
      </c>
      <c r="O2283" s="229" t="str">
        <f t="shared" si="1035"/>
        <v/>
      </c>
      <c r="P2283" s="230">
        <f t="shared" si="1029"/>
        <v>0</v>
      </c>
      <c r="AP2283" s="242">
        <f ca="1">SUMIFS('Ведомость расчета мин. платы'!$S$10:$S$209,'Ведомость расчета мин. платы'!$AE$10:$AE$209,CONCATENATE(B2278,"/",D2278,"/",E2278,"/",F2278,"/",H2282))</f>
        <v>0</v>
      </c>
      <c r="AQ2283" s="253">
        <f t="shared" ref="AQ2283" ca="1" si="1044">AP2283-N2283</f>
        <v>0</v>
      </c>
    </row>
    <row r="2284" spans="1:43" x14ac:dyDescent="0.2">
      <c r="B2284" s="249"/>
      <c r="C2284" s="249"/>
      <c r="D2284" s="249"/>
      <c r="E2284" s="249"/>
      <c r="F2284" s="249"/>
      <c r="G2284" s="249"/>
      <c r="H2284" s="205" t="s">
        <v>268</v>
      </c>
      <c r="I2284" s="248" t="str">
        <f ca="1">IFERROR(INDEX('Ведомость расчета мин. платы'!$J$10:$AE$214,MATCH(CONCATENATE(РАСЧЕТ!B2278,"/",РАСЧЕТ!D2278,"/",РАСЧЕТ!E2278,"/",F2278,"/",H2284),'Ведомость расчета мин. платы'!$AE$10:$AE$214,0),2),"")</f>
        <v/>
      </c>
      <c r="J2284" s="248" t="str">
        <f ca="1">IFERROR(INDEX('Ведомость расчета мин. платы'!$J$10:$AE$214,MATCH(CONCATENATE(РАСЧЕТ!B2278,"/",РАСЧЕТ!D2278,"/",РАСЧЕТ!E2278,"/",F2278,"/",H2284),'Ведомость расчета мин. платы'!$AE$10:$AE$214,0),3),"")</f>
        <v/>
      </c>
      <c r="K2284" s="248" t="str">
        <f ca="1">IFERROR(INDEX('Ведомость расчета мин. платы'!$J$10:$AE$214,MATCH(CONCATENATE(РАСЧЕТ!B2278,"/",РАСЧЕТ!D2278,"/",РАСЧЕТ!E2278,"/",F2278,"/",H2284),'Ведомость расчета мин. платы'!$AE$10:$AE$214,0),4),"")</f>
        <v/>
      </c>
      <c r="L2284" s="248">
        <f t="shared" ca="1" si="1030"/>
        <v>0</v>
      </c>
      <c r="M2284" s="248" t="str">
        <f ca="1">IFERROR(INDEX('Ведомость расчета мин. платы'!$J$10:$AE$214,MATCH(CONCATENATE(РАСЧЕТ!B2278,"/",РАСЧЕТ!D2278,"/",РАСЧЕТ!E2278,"/",F2278,"/",H2284),'Ведомость расчета мин. платы'!$AE$10:$AE$214,0),6),"")</f>
        <v/>
      </c>
      <c r="N2284" s="214">
        <f t="shared" ca="1" si="1031"/>
        <v>0</v>
      </c>
      <c r="O2284" s="229">
        <f t="shared" si="1035"/>
        <v>1</v>
      </c>
      <c r="P2284" s="230">
        <f t="shared" si="1029"/>
        <v>0</v>
      </c>
      <c r="AP2284" s="242"/>
      <c r="AQ2284" s="253"/>
    </row>
    <row r="2285" spans="1:43" x14ac:dyDescent="0.2">
      <c r="B2285" s="249"/>
      <c r="C2285" s="249"/>
      <c r="D2285" s="249"/>
      <c r="E2285" s="249"/>
      <c r="F2285" s="249"/>
      <c r="G2285" s="249"/>
      <c r="H2285" s="250" t="s">
        <v>475</v>
      </c>
      <c r="I2285" s="251" t="str">
        <f ca="1">IFERROR(ROUND(I2284*I2277,2),"")</f>
        <v/>
      </c>
      <c r="J2285" s="251" t="str">
        <f ca="1">IFERROR(ROUND(J2284*J2275,2),"")</f>
        <v/>
      </c>
      <c r="K2285" s="251" t="str">
        <f ca="1">IFERROR(ROUND(K2284*K2275,2),"")</f>
        <v/>
      </c>
      <c r="L2285" s="251">
        <f t="shared" ca="1" si="1030"/>
        <v>0</v>
      </c>
      <c r="M2285" s="251" t="str">
        <f ca="1">IFERROR(ROUND(M2284*M2275,2),"")</f>
        <v/>
      </c>
      <c r="N2285" s="252">
        <f t="shared" ca="1" si="1031"/>
        <v>0</v>
      </c>
      <c r="O2285" s="229" t="str">
        <f t="shared" si="1035"/>
        <v/>
      </c>
      <c r="P2285" s="230">
        <f t="shared" si="1029"/>
        <v>0</v>
      </c>
      <c r="AP2285" s="242">
        <f ca="1">SUMIFS('Ведомость расчета мин. платы'!$S$10:$S$209,'Ведомость расчета мин. платы'!$AE$10:$AE$209,CONCATENATE(B2278,"/",D2278,"/",E2278,"/",F2278,"/",H2284))</f>
        <v>0</v>
      </c>
      <c r="AQ2285" s="253">
        <f t="shared" ref="AQ2285" ca="1" si="1045">AP2285-N2285</f>
        <v>0</v>
      </c>
    </row>
    <row r="2286" spans="1:43" x14ac:dyDescent="0.2">
      <c r="B2286" s="249"/>
      <c r="C2286" s="249"/>
      <c r="D2286" s="249"/>
      <c r="E2286" s="249"/>
      <c r="F2286" s="249"/>
      <c r="G2286" s="249"/>
      <c r="H2286" s="205" t="s">
        <v>40</v>
      </c>
      <c r="I2286" s="248" t="str">
        <f ca="1">IFERROR(INDEX('Ведомость расчета мин. платы'!$J$10:$AE$214,MATCH(CONCATENATE(РАСЧЕТ!B2278,"/",РАСЧЕТ!D2278,"/",РАСЧЕТ!E2278,"/",F2278,"/",H2286),'Ведомость расчета мин. платы'!$AE$10:$AE$214,0),2),"")</f>
        <v/>
      </c>
      <c r="J2286" s="248" t="str">
        <f ca="1">IFERROR(INDEX('Ведомость расчета мин. платы'!$J$10:$AE$214,MATCH(CONCATENATE(РАСЧЕТ!B2278,"/",РАСЧЕТ!D2278,"/",РАСЧЕТ!E2278,"/",F2278,"/",H2286),'Ведомость расчета мин. платы'!$AE$10:$AE$214,0),3),"")</f>
        <v/>
      </c>
      <c r="K2286" s="248" t="str">
        <f ca="1">IFERROR(INDEX('Ведомость расчета мин. платы'!$J$10:$AE$214,MATCH(CONCATENATE(РАСЧЕТ!B2278,"/",РАСЧЕТ!D2278,"/",РАСЧЕТ!E2278,"/",F2278,"/",H2286),'Ведомость расчета мин. платы'!$AE$10:$AE$214,0),4),"")</f>
        <v/>
      </c>
      <c r="L2286" s="248">
        <f t="shared" ca="1" si="1030"/>
        <v>0</v>
      </c>
      <c r="M2286" s="248" t="str">
        <f ca="1">IFERROR(INDEX('Ведомость расчета мин. платы'!$J$10:$AE$214,MATCH(CONCATENATE(РАСЧЕТ!B2278,"/",РАСЧЕТ!D2278,"/",РАСЧЕТ!E2278,"/",F2278,"/",H2286),'Ведомость расчета мин. платы'!$AE$10:$AE$214,0),6),"")</f>
        <v/>
      </c>
      <c r="N2286" s="214">
        <f t="shared" ca="1" si="1031"/>
        <v>0</v>
      </c>
      <c r="O2286" s="229">
        <f t="shared" si="1035"/>
        <v>1</v>
      </c>
      <c r="P2286" s="230">
        <f t="shared" si="1029"/>
        <v>0</v>
      </c>
      <c r="AP2286" s="242"/>
      <c r="AQ2286" s="253"/>
    </row>
    <row r="2287" spans="1:43" x14ac:dyDescent="0.2">
      <c r="B2287" s="249"/>
      <c r="C2287" s="249"/>
      <c r="D2287" s="249"/>
      <c r="E2287" s="249"/>
      <c r="F2287" s="249"/>
      <c r="G2287" s="249"/>
      <c r="H2287" s="250" t="s">
        <v>475</v>
      </c>
      <c r="I2287" s="251" t="str">
        <f ca="1">IFERROR(ROUND(I2286*I2276,2),"")</f>
        <v/>
      </c>
      <c r="J2287" s="251" t="str">
        <f t="shared" ref="J2287" ca="1" si="1046">IFERROR(ROUND(J2286*J2276,2),"")</f>
        <v/>
      </c>
      <c r="K2287" s="251" t="str">
        <f t="shared" ref="K2287" ca="1" si="1047">IFERROR(ROUND(K2286*K2276,2),"")</f>
        <v/>
      </c>
      <c r="L2287" s="251">
        <f t="shared" ca="1" si="1030"/>
        <v>0</v>
      </c>
      <c r="M2287" s="251" t="str">
        <f t="shared" ref="M2287" ca="1" si="1048">IFERROR(ROUND(M2286*M2276,2),"")</f>
        <v/>
      </c>
      <c r="N2287" s="252">
        <f t="shared" ca="1" si="1031"/>
        <v>0</v>
      </c>
      <c r="O2287" s="229" t="str">
        <f t="shared" si="1035"/>
        <v/>
      </c>
      <c r="P2287" s="230">
        <f t="shared" si="1029"/>
        <v>0</v>
      </c>
      <c r="AP2287" s="242">
        <f ca="1">SUMIFS('Ведомость расчета мин. платы'!$S$10:$S$209,'Ведомость расчета мин. платы'!$AE$10:$AE$209,CONCATENATE(B2278,"/",D2278,"/",E2278,"/",F2278,"/",H2286))</f>
        <v>0</v>
      </c>
      <c r="AQ2287" s="253">
        <f t="shared" ref="AQ2287" ca="1" si="1049">AP2287-N2287</f>
        <v>0</v>
      </c>
    </row>
    <row r="2288" spans="1:43" x14ac:dyDescent="0.2">
      <c r="B2288" s="249"/>
      <c r="C2288" s="249"/>
      <c r="D2288" s="249"/>
      <c r="E2288" s="249"/>
      <c r="F2288" s="249"/>
      <c r="G2288" s="249"/>
      <c r="H2288" s="205" t="s">
        <v>18</v>
      </c>
      <c r="I2288" s="248">
        <f ca="1">IFERROR(INDEX('Ведомость расчета мин. платы'!$J$10:$AE$214,MATCH(CONCATENATE(РАСЧЕТ!B2278,"/",РАСЧЕТ!D2278,"/",РАСЧЕТ!E2278,"/",F2278,"/",H2288),'Ведомость расчета мин. платы'!$AE$10:$AE$214,0),2),"")</f>
        <v>110.02</v>
      </c>
      <c r="J2288" s="248">
        <f ca="1">IFERROR(INDEX('Ведомость расчета мин. платы'!$J$10:$AE$214,MATCH(CONCATENATE(РАСЧЕТ!B2278,"/",РАСЧЕТ!D2278,"/",РАСЧЕТ!E2278,"/",F2278,"/",H2288),'Ведомость расчета мин. платы'!$AE$10:$AE$214,0),3),"")</f>
        <v>227.58</v>
      </c>
      <c r="K2288" s="248">
        <f ca="1">IFERROR(INDEX('Ведомость расчета мин. платы'!$J$10:$AE$214,MATCH(CONCATENATE(РАСЧЕТ!B2278,"/",РАСЧЕТ!D2278,"/",РАСЧЕТ!E2278,"/",F2278,"/",H2288),'Ведомость расчета мин. платы'!$AE$10:$AE$214,0),4),"")</f>
        <v>16.920000000000002</v>
      </c>
      <c r="L2288" s="248">
        <f t="shared" ca="1" si="1030"/>
        <v>354.52000000000004</v>
      </c>
      <c r="M2288" s="248">
        <f ca="1">IFERROR(INDEX('Ведомость расчета мин. платы'!$J$10:$AE$214,MATCH(CONCATENATE(РАСЧЕТ!B2278,"/",РАСЧЕТ!D2278,"/",РАСЧЕТ!E2278,"/",F2278,"/",H2288),'Ведомость расчета мин. платы'!$AE$10:$AE$214,0),6),"")</f>
        <v>141.82</v>
      </c>
      <c r="N2288" s="214">
        <f t="shared" ca="1" si="1031"/>
        <v>496.34000000000003</v>
      </c>
      <c r="O2288" s="229">
        <f t="shared" si="1035"/>
        <v>1</v>
      </c>
      <c r="P2288" s="230">
        <f t="shared" si="1029"/>
        <v>0</v>
      </c>
      <c r="AP2288" s="242"/>
      <c r="AQ2288" s="253"/>
    </row>
    <row r="2289" spans="2:43" x14ac:dyDescent="0.2">
      <c r="B2289" s="249"/>
      <c r="C2289" s="249"/>
      <c r="D2289" s="249"/>
      <c r="E2289" s="249"/>
      <c r="F2289" s="249"/>
      <c r="G2289" s="249"/>
      <c r="H2289" s="250" t="s">
        <v>475</v>
      </c>
      <c r="I2289" s="251">
        <f ca="1">IFERROR(ROUND(I2288*I2277,2),"")</f>
        <v>2511.7600000000002</v>
      </c>
      <c r="J2289" s="251">
        <f t="shared" ref="J2289" ca="1" si="1050">IFERROR(ROUND(J2288*J2277,2),"")</f>
        <v>3962.17</v>
      </c>
      <c r="K2289" s="251">
        <f t="shared" ref="K2289" ca="1" si="1051">IFERROR(ROUND(K2288*K2277,2),"")</f>
        <v>149.74</v>
      </c>
      <c r="L2289" s="251">
        <f t="shared" ca="1" si="1030"/>
        <v>6623.67</v>
      </c>
      <c r="M2289" s="251">
        <f t="shared" ref="M2289" ca="1" si="1052">IFERROR(ROUND(M2288*M2277,2),"")</f>
        <v>80.84</v>
      </c>
      <c r="N2289" s="252">
        <f t="shared" ca="1" si="1031"/>
        <v>6704.51</v>
      </c>
      <c r="O2289" s="229" t="str">
        <f t="shared" si="1035"/>
        <v/>
      </c>
      <c r="P2289" s="230">
        <f t="shared" si="1029"/>
        <v>0</v>
      </c>
      <c r="AP2289" s="242">
        <f ca="1">SUMIFS('Ведомость расчета мин. платы'!$S$10:$S$209,'Ведомость расчета мин. платы'!$AE$10:$AE$209,CONCATENATE(B2278,"/",D2278,"/",E2278,"/",F2278,"/",H2288))</f>
        <v>6704.51</v>
      </c>
      <c r="AQ2289" s="253">
        <f t="shared" ref="AQ2289" ca="1" si="1053">AP2289-N2289</f>
        <v>0</v>
      </c>
    </row>
    <row r="2290" spans="2:43" x14ac:dyDescent="0.2">
      <c r="B2290" s="249"/>
      <c r="C2290" s="249"/>
      <c r="D2290" s="249"/>
      <c r="E2290" s="249"/>
      <c r="F2290" s="249"/>
      <c r="G2290" s="249"/>
      <c r="H2290" s="254" t="s">
        <v>476</v>
      </c>
      <c r="I2290" s="251">
        <f ca="1">SUMIF($O2278:$O2291,1,I2278:I2289)</f>
        <v>110.02</v>
      </c>
      <c r="J2290" s="251">
        <f ca="1">SUMIF($O2278:$O2291,1,J2278:J2289)</f>
        <v>227.58</v>
      </c>
      <c r="K2290" s="251">
        <f ca="1">SUMIF($O2278:$O2291,1,K2278:K2289)</f>
        <v>16.920000000000002</v>
      </c>
      <c r="L2290" s="251">
        <f t="shared" ca="1" si="1030"/>
        <v>354.52000000000004</v>
      </c>
      <c r="M2290" s="251">
        <f ca="1">SUMIF($O2278:$O2291,1,M2278:M2289)</f>
        <v>141.82</v>
      </c>
      <c r="N2290" s="252">
        <f t="shared" ca="1" si="1031"/>
        <v>496.34000000000003</v>
      </c>
      <c r="AP2290" s="242"/>
      <c r="AQ2290" s="253"/>
    </row>
    <row r="2291" spans="2:43" x14ac:dyDescent="0.2">
      <c r="B2291" s="249"/>
      <c r="C2291" s="249"/>
      <c r="D2291" s="249"/>
      <c r="E2291" s="249"/>
      <c r="F2291" s="249"/>
      <c r="G2291" s="249"/>
      <c r="H2291" s="254" t="s">
        <v>491</v>
      </c>
      <c r="I2291" s="251">
        <f ca="1">SUMIF(H2278:H2289,"стоимость",I2278:I2289)</f>
        <v>2511.7600000000002</v>
      </c>
      <c r="J2291" s="251">
        <f ca="1">SUMIF(H2278:H2289,"стоимость",J2278:J2289)</f>
        <v>3962.17</v>
      </c>
      <c r="K2291" s="251">
        <f ca="1">SUMIF(H2278:H2289,"стоимость",K2278:K2289)</f>
        <v>149.74</v>
      </c>
      <c r="L2291" s="251">
        <f ca="1">IFERROR(SUM(I2291:K2291),"")</f>
        <v>6623.67</v>
      </c>
      <c r="M2291" s="251">
        <f ca="1">SUMIF(H2278:H2289,"стоимость",M2278:M2289)</f>
        <v>80.84</v>
      </c>
      <c r="N2291" s="252">
        <f ca="1">IFERROR(SUM(L2291:M2291),"")</f>
        <v>6704.51</v>
      </c>
      <c r="AP2291" s="242">
        <f ca="1">SUMIFS('Ведомость расчета мин. платы'!$S$10:$S$209,'Ведомость расчета мин. платы'!$J$10:$J$209,"Итого",'Ведомость расчета мин. платы'!$AC$10:$AC$209,CONCATENATE(B2278,"/",D2278,"/",E2278,"/",F2278))</f>
        <v>6704.51</v>
      </c>
      <c r="AQ2291" s="253">
        <f ca="1">AP2291-N2291</f>
        <v>0</v>
      </c>
    </row>
    <row r="2292" spans="2:43" x14ac:dyDescent="0.2">
      <c r="B2292" s="255"/>
      <c r="C2292" s="255"/>
      <c r="D2292" s="255"/>
      <c r="E2292" s="255"/>
      <c r="F2292" s="255"/>
      <c r="G2292" s="256"/>
      <c r="H2292" s="257"/>
      <c r="I2292" s="258"/>
      <c r="J2292" s="258"/>
      <c r="K2292" s="258"/>
      <c r="L2292" s="258"/>
      <c r="M2292" s="258"/>
      <c r="N2292" s="258"/>
      <c r="P2292" s="230">
        <f t="shared" ref="P2292:P2310" si="1054">IF(A2292&gt;0,1,0)</f>
        <v>0</v>
      </c>
    </row>
    <row r="2293" spans="2:43" x14ac:dyDescent="0.2">
      <c r="B2293" s="282" t="s">
        <v>477</v>
      </c>
      <c r="C2293" s="282"/>
      <c r="D2293" s="282"/>
      <c r="E2293" s="282"/>
      <c r="F2293" s="259"/>
      <c r="G2293" s="225"/>
      <c r="H2293" s="201"/>
      <c r="I2293" s="226"/>
      <c r="J2293" s="258"/>
      <c r="K2293" s="258"/>
      <c r="L2293" s="258"/>
      <c r="M2293" s="258"/>
      <c r="N2293" s="258"/>
      <c r="P2293" s="230">
        <f t="shared" si="1054"/>
        <v>0</v>
      </c>
    </row>
    <row r="2294" spans="2:43" x14ac:dyDescent="0.2">
      <c r="B2294" s="283" t="s">
        <v>525</v>
      </c>
      <c r="C2294" s="283"/>
      <c r="D2294" s="283"/>
      <c r="E2294" s="283"/>
      <c r="F2294" s="283"/>
      <c r="G2294" s="283"/>
      <c r="H2294" s="283"/>
      <c r="I2294" s="283"/>
      <c r="J2294" s="261"/>
      <c r="K2294" s="261"/>
      <c r="L2294" s="261"/>
      <c r="M2294" s="261"/>
      <c r="N2294" s="261"/>
      <c r="P2294" s="230">
        <f t="shared" si="1054"/>
        <v>0</v>
      </c>
    </row>
    <row r="2295" spans="2:43" x14ac:dyDescent="0.2">
      <c r="B2295" s="284" t="s">
        <v>478</v>
      </c>
      <c r="C2295" s="284"/>
      <c r="D2295" s="284"/>
      <c r="E2295" s="284"/>
      <c r="F2295" s="284"/>
      <c r="G2295" s="284"/>
      <c r="H2295" s="284"/>
      <c r="I2295" s="284"/>
      <c r="J2295" s="258"/>
      <c r="K2295" s="258"/>
      <c r="L2295" s="258"/>
      <c r="M2295" s="258"/>
      <c r="N2295" s="258"/>
      <c r="P2295" s="230">
        <f t="shared" si="1054"/>
        <v>0</v>
      </c>
    </row>
    <row r="2296" spans="2:43" x14ac:dyDescent="0.2">
      <c r="B2296" s="284" t="s">
        <v>479</v>
      </c>
      <c r="C2296" s="284"/>
      <c r="D2296" s="284"/>
      <c r="E2296" s="284"/>
      <c r="F2296" s="284"/>
      <c r="G2296" s="284"/>
      <c r="H2296" s="284"/>
      <c r="I2296" s="284"/>
      <c r="J2296" s="258"/>
      <c r="K2296" s="258"/>
      <c r="L2296" s="258"/>
      <c r="M2296" s="258"/>
      <c r="N2296" s="258"/>
      <c r="P2296" s="230">
        <f t="shared" si="1054"/>
        <v>0</v>
      </c>
    </row>
    <row r="2297" spans="2:43" x14ac:dyDescent="0.2">
      <c r="B2297" s="284" t="s">
        <v>480</v>
      </c>
      <c r="C2297" s="284"/>
      <c r="D2297" s="284"/>
      <c r="E2297" s="284"/>
      <c r="F2297" s="284"/>
      <c r="G2297" s="284"/>
      <c r="H2297" s="284"/>
      <c r="I2297" s="284"/>
      <c r="J2297" s="258"/>
      <c r="K2297" s="258"/>
      <c r="L2297" s="258"/>
      <c r="M2297" s="258"/>
      <c r="N2297" s="258"/>
      <c r="P2297" s="230">
        <f t="shared" si="1054"/>
        <v>0</v>
      </c>
    </row>
    <row r="2298" spans="2:43" x14ac:dyDescent="0.2">
      <c r="B2298" s="284" t="s">
        <v>481</v>
      </c>
      <c r="C2298" s="284"/>
      <c r="D2298" s="284"/>
      <c r="E2298" s="284"/>
      <c r="F2298" s="284"/>
      <c r="G2298" s="284"/>
      <c r="H2298" s="284"/>
      <c r="I2298" s="284"/>
      <c r="J2298" s="226"/>
      <c r="K2298" s="226"/>
      <c r="L2298" s="226"/>
      <c r="M2298" s="226"/>
      <c r="N2298" s="226"/>
      <c r="P2298" s="230">
        <f t="shared" si="1054"/>
        <v>0</v>
      </c>
    </row>
    <row r="2299" spans="2:43" x14ac:dyDescent="0.2">
      <c r="B2299" s="284" t="s">
        <v>482</v>
      </c>
      <c r="C2299" s="284"/>
      <c r="D2299" s="284"/>
      <c r="E2299" s="284"/>
      <c r="F2299" s="284"/>
      <c r="G2299" s="284"/>
      <c r="H2299" s="284"/>
      <c r="I2299" s="284"/>
      <c r="J2299" s="226"/>
      <c r="K2299" s="226"/>
      <c r="L2299" s="226"/>
      <c r="M2299" s="226"/>
      <c r="N2299" s="226"/>
      <c r="P2299" s="230">
        <f t="shared" si="1054"/>
        <v>0</v>
      </c>
    </row>
    <row r="2300" spans="2:43" x14ac:dyDescent="0.2">
      <c r="B2300" s="284" t="s">
        <v>483</v>
      </c>
      <c r="C2300" s="284"/>
      <c r="D2300" s="284"/>
      <c r="E2300" s="284"/>
      <c r="F2300" s="284"/>
      <c r="G2300" s="284"/>
      <c r="H2300" s="284"/>
      <c r="I2300" s="284"/>
      <c r="J2300" s="226"/>
      <c r="K2300" s="226"/>
      <c r="L2300" s="226"/>
      <c r="M2300" s="226"/>
      <c r="N2300" s="226"/>
      <c r="P2300" s="230">
        <f t="shared" si="1054"/>
        <v>0</v>
      </c>
    </row>
    <row r="2301" spans="2:43" x14ac:dyDescent="0.2">
      <c r="B2301" s="284" t="s">
        <v>484</v>
      </c>
      <c r="C2301" s="284"/>
      <c r="D2301" s="284"/>
      <c r="E2301" s="284"/>
      <c r="F2301" s="284"/>
      <c r="G2301" s="284"/>
      <c r="H2301" s="284"/>
      <c r="I2301" s="284"/>
      <c r="J2301" s="226"/>
      <c r="K2301" s="226"/>
      <c r="L2301" s="226"/>
      <c r="M2301" s="226"/>
      <c r="N2301" s="226"/>
      <c r="P2301" s="230">
        <f t="shared" si="1054"/>
        <v>0</v>
      </c>
    </row>
    <row r="2302" spans="2:43" x14ac:dyDescent="0.2">
      <c r="B2302" s="264"/>
      <c r="C2302" s="264"/>
      <c r="D2302" s="264"/>
      <c r="E2302" s="264"/>
      <c r="F2302" s="264"/>
      <c r="G2302" s="264"/>
      <c r="H2302" s="264"/>
      <c r="I2302" s="265"/>
      <c r="J2302" s="226"/>
      <c r="K2302" s="226"/>
      <c r="L2302" s="226"/>
      <c r="M2302" s="226"/>
      <c r="N2302" s="226"/>
      <c r="P2302" s="230">
        <f t="shared" si="1054"/>
        <v>0</v>
      </c>
    </row>
    <row r="2303" spans="2:43" x14ac:dyDescent="0.2">
      <c r="B2303" s="225" t="s">
        <v>485</v>
      </c>
      <c r="C2303" s="225"/>
      <c r="D2303" s="225"/>
      <c r="E2303" s="225"/>
      <c r="F2303" s="225"/>
      <c r="G2303" s="225"/>
      <c r="H2303" s="201"/>
      <c r="I2303" s="226"/>
      <c r="J2303" s="226" t="s">
        <v>486</v>
      </c>
      <c r="K2303" s="226"/>
      <c r="L2303" s="226"/>
      <c r="M2303" s="226"/>
      <c r="N2303" s="226"/>
      <c r="P2303" s="230">
        <f t="shared" si="1054"/>
        <v>0</v>
      </c>
    </row>
    <row r="2304" spans="2:43" x14ac:dyDescent="0.2">
      <c r="B2304" s="266" t="s">
        <v>524</v>
      </c>
      <c r="C2304" s="266"/>
      <c r="D2304" s="225"/>
      <c r="E2304" s="225"/>
      <c r="F2304" s="225"/>
      <c r="G2304" s="225"/>
      <c r="H2304" s="201"/>
      <c r="I2304" s="226"/>
      <c r="J2304" s="267"/>
      <c r="K2304" s="267"/>
      <c r="L2304" s="267"/>
      <c r="M2304" s="226"/>
      <c r="N2304" s="226"/>
      <c r="P2304" s="230">
        <f t="shared" si="1054"/>
        <v>0</v>
      </c>
    </row>
    <row r="2305" spans="1:16" x14ac:dyDescent="0.2">
      <c r="B2305" s="268" t="s">
        <v>487</v>
      </c>
      <c r="C2305" s="225"/>
      <c r="D2305" s="225"/>
      <c r="E2305" s="225"/>
      <c r="F2305" s="225"/>
      <c r="G2305" s="225"/>
      <c r="H2305" s="201"/>
      <c r="I2305" s="226"/>
      <c r="J2305" s="226" t="s">
        <v>487</v>
      </c>
      <c r="K2305" s="226"/>
      <c r="L2305" s="226"/>
      <c r="M2305" s="226"/>
      <c r="N2305" s="226"/>
      <c r="P2305" s="230">
        <f t="shared" si="1054"/>
        <v>0</v>
      </c>
    </row>
    <row r="2306" spans="1:16" x14ac:dyDescent="0.2">
      <c r="B2306" s="225"/>
      <c r="C2306" s="225"/>
      <c r="D2306" s="225"/>
      <c r="E2306" s="225"/>
      <c r="F2306" s="225"/>
      <c r="G2306" s="225"/>
      <c r="H2306" s="201"/>
      <c r="I2306" s="226"/>
      <c r="J2306" s="226"/>
      <c r="K2306" s="226"/>
      <c r="L2306" s="226"/>
      <c r="M2306" s="226"/>
      <c r="N2306" s="226"/>
      <c r="P2306" s="230">
        <f t="shared" si="1054"/>
        <v>0</v>
      </c>
    </row>
    <row r="2307" spans="1:16" x14ac:dyDescent="0.2">
      <c r="B2307" s="266"/>
      <c r="C2307" s="266"/>
      <c r="D2307" s="225"/>
      <c r="E2307" s="225"/>
      <c r="F2307" s="225"/>
      <c r="G2307" s="225"/>
      <c r="H2307" s="201"/>
      <c r="I2307" s="226"/>
      <c r="J2307" s="267"/>
      <c r="K2307" s="267"/>
      <c r="L2307" s="267"/>
      <c r="M2307" s="226"/>
      <c r="N2307" s="226"/>
      <c r="P2307" s="230">
        <f t="shared" si="1054"/>
        <v>0</v>
      </c>
    </row>
    <row r="2308" spans="1:16" x14ac:dyDescent="0.2">
      <c r="B2308" s="269" t="s">
        <v>488</v>
      </c>
      <c r="C2308" s="225"/>
      <c r="D2308" s="225"/>
      <c r="E2308" s="225"/>
      <c r="F2308" s="225"/>
      <c r="G2308" s="225"/>
      <c r="H2308" s="201"/>
      <c r="I2308" s="226"/>
      <c r="J2308" s="285" t="s">
        <v>488</v>
      </c>
      <c r="K2308" s="285"/>
      <c r="L2308" s="285"/>
      <c r="M2308" s="226"/>
      <c r="N2308" s="226"/>
      <c r="P2308" s="230">
        <f t="shared" si="1054"/>
        <v>0</v>
      </c>
    </row>
    <row r="2309" spans="1:16" x14ac:dyDescent="0.2">
      <c r="B2309" s="225"/>
      <c r="C2309" s="225"/>
      <c r="D2309" s="225"/>
      <c r="E2309" s="225"/>
      <c r="F2309" s="225"/>
      <c r="G2309" s="225"/>
      <c r="H2309" s="201"/>
      <c r="I2309" s="226"/>
      <c r="J2309" s="226"/>
      <c r="K2309" s="226"/>
      <c r="L2309" s="226"/>
      <c r="M2309" s="226"/>
      <c r="N2309" s="226"/>
      <c r="P2309" s="230">
        <f t="shared" si="1054"/>
        <v>0</v>
      </c>
    </row>
    <row r="2310" spans="1:16" x14ac:dyDescent="0.2">
      <c r="B2310" s="264" t="s">
        <v>489</v>
      </c>
      <c r="C2310" s="225"/>
      <c r="D2310" s="225"/>
      <c r="E2310" s="225"/>
      <c r="F2310" s="225"/>
      <c r="G2310" s="225"/>
      <c r="H2310" s="201"/>
      <c r="I2310" s="226"/>
      <c r="J2310" s="226" t="s">
        <v>489</v>
      </c>
      <c r="K2310" s="226"/>
      <c r="L2310" s="226"/>
      <c r="M2310" s="226"/>
      <c r="N2310" s="226"/>
      <c r="P2310" s="230">
        <f t="shared" si="1054"/>
        <v>0</v>
      </c>
    </row>
    <row r="2311" spans="1:16" x14ac:dyDescent="0.2">
      <c r="A2311" s="272"/>
      <c r="B2311" s="225"/>
      <c r="C2311" s="225"/>
      <c r="D2311" s="225"/>
      <c r="E2311" s="225"/>
      <c r="F2311" s="225"/>
      <c r="G2311" s="225"/>
      <c r="H2311" s="201"/>
      <c r="I2311" s="226"/>
      <c r="J2311" s="226"/>
      <c r="K2311" s="226"/>
      <c r="M2311" s="226"/>
      <c r="N2311" s="228"/>
    </row>
    <row r="2312" spans="1:16" x14ac:dyDescent="0.2">
      <c r="A2312" s="260"/>
      <c r="B2312" s="225"/>
      <c r="C2312" s="225"/>
      <c r="D2312" s="225"/>
      <c r="E2312" s="225"/>
      <c r="F2312" s="225"/>
      <c r="G2312" s="225"/>
      <c r="H2312" s="201"/>
      <c r="I2312" s="226"/>
      <c r="J2312" s="226"/>
      <c r="K2312" s="226"/>
      <c r="M2312" s="226"/>
      <c r="N2312" s="228" t="s">
        <v>455</v>
      </c>
      <c r="P2312" s="230">
        <f t="shared" ref="P2312:P2329" si="1055">IF(A2312&gt;0,1,0)</f>
        <v>0</v>
      </c>
    </row>
    <row r="2313" spans="1:16" x14ac:dyDescent="0.2">
      <c r="B2313" s="225"/>
      <c r="C2313" s="225"/>
      <c r="D2313" s="225"/>
      <c r="E2313" s="225"/>
      <c r="F2313" s="225"/>
      <c r="G2313" s="225"/>
      <c r="H2313" s="201"/>
      <c r="I2313" s="226"/>
      <c r="J2313" s="226"/>
      <c r="K2313" s="226"/>
      <c r="M2313" s="226"/>
      <c r="N2313" s="228" t="s">
        <v>456</v>
      </c>
      <c r="P2313" s="230">
        <f t="shared" si="1055"/>
        <v>0</v>
      </c>
    </row>
    <row r="2314" spans="1:16" x14ac:dyDescent="0.2">
      <c r="B2314" s="225"/>
      <c r="C2314" s="225"/>
      <c r="D2314" s="225"/>
      <c r="E2314" s="225"/>
      <c r="F2314" s="225"/>
      <c r="G2314" s="225"/>
      <c r="H2314" s="201"/>
      <c r="I2314" s="226"/>
      <c r="J2314" s="226"/>
      <c r="K2314" s="226"/>
      <c r="M2314" s="226"/>
      <c r="N2314" s="228" t="s">
        <v>457</v>
      </c>
      <c r="P2314" s="230">
        <f t="shared" si="1055"/>
        <v>0</v>
      </c>
    </row>
    <row r="2315" spans="1:16" x14ac:dyDescent="0.2">
      <c r="B2315" s="225"/>
      <c r="C2315" s="225"/>
      <c r="D2315" s="225"/>
      <c r="E2315" s="225"/>
      <c r="F2315" s="225"/>
      <c r="G2315" s="225"/>
      <c r="H2315" s="201"/>
      <c r="I2315" s="226"/>
      <c r="J2315" s="226"/>
      <c r="K2315" s="226"/>
      <c r="L2315" s="226"/>
      <c r="M2315" s="226"/>
      <c r="N2315" s="226"/>
      <c r="P2315" s="230">
        <f t="shared" si="1055"/>
        <v>0</v>
      </c>
    </row>
    <row r="2316" spans="1:16" x14ac:dyDescent="0.2">
      <c r="B2316" s="225"/>
      <c r="C2316" s="286" t="s">
        <v>458</v>
      </c>
      <c r="D2316" s="286"/>
      <c r="E2316" s="286"/>
      <c r="F2316" s="286"/>
      <c r="G2316" s="286"/>
      <c r="H2316" s="286"/>
      <c r="I2316" s="286"/>
      <c r="J2316" s="286"/>
      <c r="K2316" s="286"/>
      <c r="L2316" s="286"/>
      <c r="M2316" s="226"/>
      <c r="N2316" s="226"/>
      <c r="P2316" s="230">
        <f t="shared" si="1055"/>
        <v>0</v>
      </c>
    </row>
    <row r="2317" spans="1:16" x14ac:dyDescent="0.2">
      <c r="B2317" s="225"/>
      <c r="C2317" s="286" t="s">
        <v>459</v>
      </c>
      <c r="D2317" s="286"/>
      <c r="E2317" s="286"/>
      <c r="F2317" s="286"/>
      <c r="G2317" s="286"/>
      <c r="H2317" s="286"/>
      <c r="I2317" s="286"/>
      <c r="J2317" s="286"/>
      <c r="K2317" s="286"/>
      <c r="L2317" s="286"/>
      <c r="M2317" s="226"/>
      <c r="N2317" s="226"/>
      <c r="P2317" s="230">
        <f t="shared" si="1055"/>
        <v>0</v>
      </c>
    </row>
    <row r="2318" spans="1:16" x14ac:dyDescent="0.2">
      <c r="B2318" s="225" t="s">
        <v>460</v>
      </c>
      <c r="C2318" s="234"/>
      <c r="D2318" s="234"/>
      <c r="E2318" s="234"/>
      <c r="F2318" s="234"/>
      <c r="G2318" s="234"/>
      <c r="H2318" s="234"/>
      <c r="I2318" s="235"/>
      <c r="J2318" s="235"/>
      <c r="K2318" s="235"/>
      <c r="L2318" s="287" t="s">
        <v>461</v>
      </c>
      <c r="M2318" s="287"/>
      <c r="N2318" s="287"/>
      <c r="P2318" s="230">
        <f t="shared" si="1055"/>
        <v>0</v>
      </c>
    </row>
    <row r="2319" spans="1:16" x14ac:dyDescent="0.2">
      <c r="B2319" s="225"/>
      <c r="C2319" s="234"/>
      <c r="D2319" s="234"/>
      <c r="E2319" s="234"/>
      <c r="F2319" s="234"/>
      <c r="G2319" s="234"/>
      <c r="H2319" s="234"/>
      <c r="I2319" s="235"/>
      <c r="J2319" s="235"/>
      <c r="K2319" s="235"/>
      <c r="L2319" s="235"/>
      <c r="M2319" s="235"/>
      <c r="N2319" s="235"/>
      <c r="P2319" s="230">
        <f t="shared" si="1055"/>
        <v>0</v>
      </c>
    </row>
    <row r="2320" spans="1:16" x14ac:dyDescent="0.2">
      <c r="B2320" s="225" t="s">
        <v>2038</v>
      </c>
      <c r="C2320" s="234"/>
      <c r="D2320" s="234"/>
      <c r="E2320" s="234"/>
      <c r="F2320" s="234"/>
      <c r="G2320" s="234"/>
      <c r="H2320" s="234"/>
      <c r="I2320" s="235"/>
      <c r="J2320" s="235"/>
      <c r="K2320" s="235"/>
      <c r="L2320" s="235"/>
      <c r="M2320" s="235"/>
      <c r="N2320" s="235"/>
      <c r="P2320" s="230">
        <f t="shared" si="1055"/>
        <v>0</v>
      </c>
    </row>
    <row r="2321" spans="1:43" x14ac:dyDescent="0.2">
      <c r="B2321" s="225" t="s">
        <v>462</v>
      </c>
      <c r="C2321" s="234"/>
      <c r="D2321" s="234"/>
      <c r="E2321" s="234"/>
      <c r="F2321" s="234"/>
      <c r="G2321" s="234"/>
      <c r="H2321" s="234"/>
      <c r="I2321" s="235"/>
      <c r="J2321" s="235"/>
      <c r="K2321" s="235"/>
      <c r="L2321" s="235"/>
      <c r="M2321" s="235"/>
      <c r="N2321" s="235"/>
      <c r="P2321" s="230">
        <f t="shared" si="1055"/>
        <v>0</v>
      </c>
    </row>
    <row r="2322" spans="1:43" x14ac:dyDescent="0.2">
      <c r="B2322" s="225" t="s">
        <v>2037</v>
      </c>
      <c r="C2322" s="234"/>
      <c r="D2322" s="234"/>
      <c r="E2322" s="234"/>
      <c r="F2322" s="234"/>
      <c r="G2322" s="234"/>
      <c r="H2322" s="234"/>
      <c r="I2322" s="235"/>
      <c r="J2322" s="235"/>
      <c r="K2322" s="235"/>
      <c r="L2322" s="235"/>
      <c r="M2322" s="235"/>
      <c r="N2322" s="235"/>
      <c r="P2322" s="230">
        <f t="shared" si="1055"/>
        <v>0</v>
      </c>
    </row>
    <row r="2323" spans="1:43" x14ac:dyDescent="0.2">
      <c r="B2323" s="225" t="s">
        <v>2052</v>
      </c>
      <c r="C2323" s="234"/>
      <c r="D2323" s="234"/>
      <c r="E2323" s="234"/>
      <c r="F2323" s="234"/>
      <c r="G2323" s="234"/>
      <c r="H2323" s="234"/>
      <c r="I2323" s="235"/>
      <c r="J2323" s="235"/>
      <c r="K2323" s="235"/>
      <c r="L2323" s="235"/>
      <c r="M2323" s="235"/>
      <c r="N2323" s="235"/>
      <c r="P2323" s="230">
        <f t="shared" si="1055"/>
        <v>0</v>
      </c>
    </row>
    <row r="2324" spans="1:43" x14ac:dyDescent="0.2">
      <c r="B2324" s="225"/>
      <c r="C2324" s="225"/>
      <c r="D2324" s="225"/>
      <c r="E2324" s="225"/>
      <c r="F2324" s="225"/>
      <c r="G2324" s="225"/>
      <c r="H2324" s="201"/>
      <c r="I2324" s="226"/>
      <c r="J2324" s="226"/>
      <c r="K2324" s="226"/>
      <c r="L2324" s="226"/>
      <c r="M2324" s="226"/>
      <c r="N2324" s="226"/>
      <c r="P2324" s="230">
        <f t="shared" si="1055"/>
        <v>0</v>
      </c>
    </row>
    <row r="2325" spans="1:43" x14ac:dyDescent="0.2">
      <c r="B2325" s="288" t="s">
        <v>106</v>
      </c>
      <c r="C2325" s="290" t="s">
        <v>463</v>
      </c>
      <c r="D2325" s="288" t="s">
        <v>464</v>
      </c>
      <c r="E2325" s="288" t="s">
        <v>465</v>
      </c>
      <c r="F2325" s="288" t="s">
        <v>490</v>
      </c>
      <c r="G2325" s="288" t="s">
        <v>466</v>
      </c>
      <c r="H2325" s="292" t="s">
        <v>8</v>
      </c>
      <c r="I2325" s="294" t="s">
        <v>467</v>
      </c>
      <c r="J2325" s="295"/>
      <c r="K2325" s="295"/>
      <c r="L2325" s="296"/>
      <c r="M2325" s="297" t="s">
        <v>468</v>
      </c>
      <c r="N2325" s="299" t="s">
        <v>469</v>
      </c>
      <c r="P2325" s="230">
        <f t="shared" si="1055"/>
        <v>0</v>
      </c>
    </row>
    <row r="2326" spans="1:43" x14ac:dyDescent="0.2">
      <c r="B2326" s="289"/>
      <c r="C2326" s="291"/>
      <c r="D2326" s="289"/>
      <c r="E2326" s="289"/>
      <c r="F2326" s="289"/>
      <c r="G2326" s="289"/>
      <c r="H2326" s="293"/>
      <c r="I2326" s="236" t="s">
        <v>470</v>
      </c>
      <c r="J2326" s="236" t="s">
        <v>471</v>
      </c>
      <c r="K2326" s="236" t="s">
        <v>472</v>
      </c>
      <c r="L2326" s="236" t="s">
        <v>473</v>
      </c>
      <c r="M2326" s="298"/>
      <c r="N2326" s="300"/>
      <c r="P2326" s="230">
        <f t="shared" si="1055"/>
        <v>0</v>
      </c>
    </row>
    <row r="2327" spans="1:43" x14ac:dyDescent="0.2">
      <c r="A2327" s="224" t="str">
        <f>CONCATENATE("Лот"," ",A2328)</f>
        <v>Лот 43</v>
      </c>
      <c r="B2327" s="273" t="s">
        <v>2087</v>
      </c>
      <c r="C2327" s="274"/>
      <c r="D2327" s="274"/>
      <c r="E2327" s="274"/>
      <c r="F2327" s="274"/>
      <c r="G2327" s="275"/>
      <c r="H2327" s="238" t="s">
        <v>17</v>
      </c>
      <c r="I2327" s="270">
        <f ca="1">ROUND(VLOOKUP($H2327,$AJ$4:$AN$13,2,0)*$Q2329*1.51,2)</f>
        <v>120.15</v>
      </c>
      <c r="J2327" s="270">
        <f ca="1">ROUND(VLOOKUP($H2327,$AJ$4:$AN$13,3,0)*$Q2329*1.51,2)</f>
        <v>85.62</v>
      </c>
      <c r="K2327" s="270">
        <f ca="1">ROUND(VLOOKUP($H2327,$AJ$4:$AN$13,4,0)*$Q2329*1.51,2)</f>
        <v>43.38</v>
      </c>
      <c r="L2327" s="270"/>
      <c r="M2327" s="270">
        <f ca="1">ROUND(VLOOKUP($H2327,$AJ$4:$AN$13,5,0)*$Q2329*1.51,2)</f>
        <v>6.85</v>
      </c>
      <c r="N2327" s="270"/>
      <c r="P2327" s="230">
        <f t="shared" si="1055"/>
        <v>1</v>
      </c>
    </row>
    <row r="2328" spans="1:43" x14ac:dyDescent="0.2">
      <c r="A2328" s="224">
        <f>A2273+1</f>
        <v>43</v>
      </c>
      <c r="B2328" s="276"/>
      <c r="C2328" s="277"/>
      <c r="D2328" s="277"/>
      <c r="E2328" s="277"/>
      <c r="F2328" s="277"/>
      <c r="G2328" s="278"/>
      <c r="H2328" s="238" t="s">
        <v>25</v>
      </c>
      <c r="I2328" s="270">
        <f ca="1">ROUND(VLOOKUP($H2328,$AJ$4:$AN$13,2,0)*$Q2329*1.51,2)</f>
        <v>898.69</v>
      </c>
      <c r="J2328" s="270">
        <f ca="1">ROUND(VLOOKUP($H2328,$AJ$4:$AN$13,3,0)*$Q2329*1.51,2)</f>
        <v>642.13</v>
      </c>
      <c r="K2328" s="270">
        <f ca="1">ROUND(VLOOKUP($H2328,$AJ$4:$AN$13,4,0)*$Q2329*1.51,2)</f>
        <v>323.06</v>
      </c>
      <c r="L2328" s="270"/>
      <c r="M2328" s="270">
        <f ca="1">ROUND(VLOOKUP($H2328,$AJ$4:$AN$13,5,0)*$Q2329*1.51,2)</f>
        <v>27.97</v>
      </c>
      <c r="N2328" s="270"/>
      <c r="P2328" s="230">
        <f t="shared" si="1055"/>
        <v>1</v>
      </c>
      <c r="Q2328" s="240" t="s">
        <v>2045</v>
      </c>
      <c r="R2328" s="240" t="s">
        <v>2046</v>
      </c>
    </row>
    <row r="2329" spans="1:43" x14ac:dyDescent="0.2">
      <c r="B2329" s="276"/>
      <c r="C2329" s="277"/>
      <c r="D2329" s="277"/>
      <c r="E2329" s="277"/>
      <c r="F2329" s="277"/>
      <c r="G2329" s="278"/>
      <c r="H2329" s="238" t="s">
        <v>19</v>
      </c>
      <c r="I2329" s="270">
        <f ca="1">ROUND(VLOOKUP($H2329,$AJ$4:$AN$13,2,0)*$Q2329*1.51,2)</f>
        <v>71.349999999999994</v>
      </c>
      <c r="J2329" s="270">
        <f ca="1">ROUND(VLOOKUP($H2329,$AJ$4:$AN$13,3,0)*$Q2329*1.51,2)</f>
        <v>51.94</v>
      </c>
      <c r="K2329" s="270">
        <f ca="1">ROUND(VLOOKUP($H2329,$AJ$4:$AN$13,4,0)*$Q2329*1.51,2)</f>
        <v>26.54</v>
      </c>
      <c r="L2329" s="270"/>
      <c r="M2329" s="270">
        <f ca="1">ROUND(VLOOKUP($H2329,$AJ$4:$AN$13,5,0)*$Q2329*1.51,2)</f>
        <v>1.43</v>
      </c>
      <c r="N2329" s="270"/>
      <c r="P2329" s="230">
        <f t="shared" si="1055"/>
        <v>0</v>
      </c>
      <c r="Q2329" s="123">
        <f ca="1">IFERROR(IF(R2329="","",IF(OR(R2329&lt;100,R2329=100),0.9,IF(OR(AND(R2329&gt;100,R2329&lt;150),R2329=150),1,IF(R2329&gt;150,1.05,"")))),"0")</f>
        <v>1.05</v>
      </c>
      <c r="R2329" s="123">
        <f ca="1">N2345/G2333</f>
        <v>160.749</v>
      </c>
    </row>
    <row r="2330" spans="1:43" x14ac:dyDescent="0.2">
      <c r="B2330" s="276"/>
      <c r="C2330" s="277"/>
      <c r="D2330" s="277"/>
      <c r="E2330" s="277"/>
      <c r="F2330" s="277"/>
      <c r="G2330" s="278"/>
      <c r="H2330" s="238" t="s">
        <v>268</v>
      </c>
      <c r="I2330" s="270">
        <f ca="1">ROUND(VLOOKUP($H2330,$AJ$4:$AN$13,2,0)*$Q2329*1.51,2)</f>
        <v>898.69</v>
      </c>
      <c r="J2330" s="270">
        <f ca="1">ROUND(VLOOKUP($H2330,$AJ$4:$AN$13,3,0)*$Q2329*1.51,2)</f>
        <v>642.13</v>
      </c>
      <c r="K2330" s="270">
        <f ca="1">ROUND(VLOOKUP($H2330,$AJ$4:$AN$13,4,0)*$Q2329*1.51,2)</f>
        <v>323.06</v>
      </c>
      <c r="L2330" s="270"/>
      <c r="M2330" s="270">
        <f ca="1">ROUND(VLOOKUP($H2330,$AJ$4:$AN$13,5,0)*$Q2329*1.51,2)</f>
        <v>27.97</v>
      </c>
      <c r="N2330" s="270"/>
    </row>
    <row r="2331" spans="1:43" x14ac:dyDescent="0.2">
      <c r="B2331" s="276"/>
      <c r="C2331" s="277"/>
      <c r="D2331" s="277"/>
      <c r="E2331" s="277"/>
      <c r="F2331" s="277"/>
      <c r="G2331" s="278"/>
      <c r="H2331" s="238" t="s">
        <v>40</v>
      </c>
      <c r="I2331" s="270">
        <f ca="1">ROUND(VLOOKUP($H2331,$AJ$4:$AN$13,2,0)*$Q2329*1.51,2)</f>
        <v>71.349999999999994</v>
      </c>
      <c r="J2331" s="270">
        <f ca="1">ROUND(VLOOKUP($H2331,$AJ$4:$AN$13,3,0)*$Q2329*1.51,2)</f>
        <v>51.94</v>
      </c>
      <c r="K2331" s="270">
        <f ca="1">ROUND(VLOOKUP($H2331,$AJ$4:$AN$13,4,0)*$Q2329*1.51,2)</f>
        <v>26.54</v>
      </c>
      <c r="L2331" s="270"/>
      <c r="M2331" s="270">
        <f ca="1">ROUND(VLOOKUP($H2331,$AJ$4:$AN$13,5,0)*$Q2329*1.51,2)</f>
        <v>1.43</v>
      </c>
      <c r="N2331" s="270"/>
      <c r="P2331" s="230">
        <f t="shared" ref="P2331:P2344" si="1056">IF(A2331&gt;0,1,0)</f>
        <v>0</v>
      </c>
    </row>
    <row r="2332" spans="1:43" x14ac:dyDescent="0.2">
      <c r="B2332" s="279"/>
      <c r="C2332" s="280"/>
      <c r="D2332" s="280"/>
      <c r="E2332" s="280"/>
      <c r="F2332" s="280"/>
      <c r="G2332" s="281"/>
      <c r="H2332" s="238" t="s">
        <v>18</v>
      </c>
      <c r="I2332" s="270">
        <f ca="1">ROUND(VLOOKUP($H2332,$AJ$4:$AN$13,2,0)*$Q2329*1.51,2)</f>
        <v>22.83</v>
      </c>
      <c r="J2332" s="270">
        <f ca="1">ROUND(VLOOKUP($H2332,$AJ$4:$AN$13,3,0)*$Q2329*1.51,2)</f>
        <v>17.41</v>
      </c>
      <c r="K2332" s="270">
        <f ca="1">ROUND(VLOOKUP($H2332,$AJ$4:$AN$13,4,0)*$Q2329*1.51,2)</f>
        <v>8.85</v>
      </c>
      <c r="L2332" s="270"/>
      <c r="M2332" s="270">
        <f ca="1">ROUND(VLOOKUP($H2332,$AJ$4:$AN$13,5,0)*$Q2329*1.51*1,2)</f>
        <v>0.56999999999999995</v>
      </c>
      <c r="N2332" s="270"/>
      <c r="P2332" s="230">
        <f t="shared" si="1056"/>
        <v>0</v>
      </c>
      <c r="AP2332" s="241" t="s">
        <v>2053</v>
      </c>
      <c r="AQ2332" s="242"/>
    </row>
    <row r="2333" spans="1:43" x14ac:dyDescent="0.2">
      <c r="A2333" s="224">
        <f>A2278+37</f>
        <v>1554</v>
      </c>
      <c r="B2333" s="243" t="str">
        <f ca="1">OFFSET(ЛОТЫ!$L$5,A2333,0,1,1)</f>
        <v>Тумбинское</v>
      </c>
      <c r="C2333" s="244" t="s">
        <v>474</v>
      </c>
      <c r="D2333" s="243">
        <f ca="1">OFFSET(ЛОТЫ!$M$5,A2333,0,1,1)</f>
        <v>3</v>
      </c>
      <c r="E2333" s="243">
        <f ca="1">OFFSET(ЛОТЫ!$N$5,A2333,0,1,1)</f>
        <v>3</v>
      </c>
      <c r="F2333" s="243">
        <f ca="1">OFFSET(ЛОТЫ!$O$5,A2333,0,1,1)</f>
        <v>1</v>
      </c>
      <c r="G2333" s="271">
        <f ca="1">IFERROR(INDEX('Ведомость расчета мин. платы'!$G$10:$AC$214,MATCH(CONCATENATE(B2333,"/",D2333,"/",E2333,"/",F2333),'Ведомость расчета мин. платы'!$AC$10:$AC$214,0),1),"")</f>
        <v>10</v>
      </c>
      <c r="H2333" s="246" t="s">
        <v>17</v>
      </c>
      <c r="I2333" s="247" t="str">
        <f ca="1">IFERROR(INDEX('Ведомость расчета мин. платы'!$J$10:$AE$214,MATCH(CONCATENATE(РАСЧЕТ!B2333,"/",РАСЧЕТ!D2333,"/",РАСЧЕТ!E2333,"/",F2333,"/",H2333),'Ведомость расчета мин. платы'!$AE$10:$AE$214,0),2),"")</f>
        <v/>
      </c>
      <c r="J2333" s="247" t="str">
        <f ca="1">IFERROR(INDEX('Ведомость расчета мин. платы'!$J$10:$AE$214,MATCH(CONCATENATE(РАСЧЕТ!B2333,"/",РАСЧЕТ!D2333,"/",РАСЧЕТ!E2333,"/",F2333,"/",H2333),'Ведомость расчета мин. платы'!$AE$10:$AE$214,0),3),"")</f>
        <v/>
      </c>
      <c r="K2333" s="247" t="str">
        <f ca="1">IFERROR(INDEX('Ведомость расчета мин. платы'!$J$10:$AE$214,MATCH(CONCATENATE(РАСЧЕТ!B2333,"/",РАСЧЕТ!D2333,"/",РАСЧЕТ!E2333,"/",F2333,"/",H2333),'Ведомость расчета мин. платы'!$AE$10:$AE$214,0),4),"")</f>
        <v/>
      </c>
      <c r="L2333" s="248">
        <f t="shared" ref="L2333:L2345" ca="1" si="1057">IFERROR(SUM(I2333:K2333),"")</f>
        <v>0</v>
      </c>
      <c r="M2333" s="214" t="str">
        <f ca="1">IFERROR(INDEX('Ведомость расчета мин. платы'!$J$10:$AE$214,MATCH(CONCATENATE(РАСЧЕТ!B2333,"/",РАСЧЕТ!D2333,"/",РАСЧЕТ!E2333,"/",F2333,"/",H2333),'Ведомость расчета мин. платы'!$AE$10:$AE$214,0),6),"")</f>
        <v/>
      </c>
      <c r="N2333" s="214">
        <f t="shared" ref="N2333:N2345" ca="1" si="1058">IFERROR(SUM(L2333:M2333),"")</f>
        <v>0</v>
      </c>
      <c r="O2333" s="229">
        <f>IF(H2333="стоимость","",1)</f>
        <v>1</v>
      </c>
      <c r="P2333" s="230">
        <f t="shared" si="1056"/>
        <v>1</v>
      </c>
      <c r="AP2333" s="242"/>
      <c r="AQ2333" s="242"/>
    </row>
    <row r="2334" spans="1:43" x14ac:dyDescent="0.2">
      <c r="B2334" s="249"/>
      <c r="C2334" s="249"/>
      <c r="D2334" s="249"/>
      <c r="E2334" s="249"/>
      <c r="F2334" s="249"/>
      <c r="G2334" s="249"/>
      <c r="H2334" s="250" t="s">
        <v>475</v>
      </c>
      <c r="I2334" s="251" t="str">
        <f ca="1">IFERROR(ROUND(I2333*I2327,2),"")</f>
        <v/>
      </c>
      <c r="J2334" s="251" t="str">
        <f t="shared" ref="J2334" ca="1" si="1059">IFERROR(ROUND(J2333*J2327,2),"")</f>
        <v/>
      </c>
      <c r="K2334" s="251" t="str">
        <f t="shared" ref="K2334" ca="1" si="1060">IFERROR(ROUND(K2333*K2327,2),"")</f>
        <v/>
      </c>
      <c r="L2334" s="251">
        <f t="shared" ca="1" si="1057"/>
        <v>0</v>
      </c>
      <c r="M2334" s="251" t="str">
        <f t="shared" ref="M2334" ca="1" si="1061">IFERROR(ROUND(M2333*M2327,2),"")</f>
        <v/>
      </c>
      <c r="N2334" s="252">
        <f t="shared" ca="1" si="1058"/>
        <v>0</v>
      </c>
      <c r="O2334" s="229" t="str">
        <f t="shared" ref="O2334:O2344" si="1062">IF(H2334="стоимость","",1)</f>
        <v/>
      </c>
      <c r="P2334" s="230">
        <f t="shared" si="1056"/>
        <v>0</v>
      </c>
      <c r="AP2334" s="242">
        <f ca="1">SUMIFS('Ведомость расчета мин. платы'!$S$10:$S$209,'Ведомость расчета мин. платы'!$AE$10:$AE$209,CONCATENATE(B2333,"/",D2333,"/",E2333,"/",F2333,"/",H2333))</f>
        <v>0</v>
      </c>
      <c r="AQ2334" s="253">
        <f t="shared" ref="AQ2334" ca="1" si="1063">AP2334-N2334</f>
        <v>0</v>
      </c>
    </row>
    <row r="2335" spans="1:43" x14ac:dyDescent="0.2">
      <c r="B2335" s="249"/>
      <c r="C2335" s="249"/>
      <c r="D2335" s="249"/>
      <c r="E2335" s="249"/>
      <c r="F2335" s="249"/>
      <c r="G2335" s="249"/>
      <c r="H2335" s="246" t="s">
        <v>25</v>
      </c>
      <c r="I2335" s="247" t="str">
        <f ca="1">IFERROR(INDEX('Ведомость расчета мин. платы'!$J$10:$AE$214,MATCH(CONCATENATE(РАСЧЕТ!B2333,"/",РАСЧЕТ!D2333,"/",РАСЧЕТ!E2333,"/",F2333,"/",H2335),'Ведомость расчета мин. платы'!$AE$10:$AE$214,0),2),"")</f>
        <v/>
      </c>
      <c r="J2335" s="247" t="str">
        <f ca="1">IFERROR(INDEX('Ведомость расчета мин. платы'!$J$10:$AE$214,MATCH(CONCATENATE(РАСЧЕТ!B2333,"/",РАСЧЕТ!D2333,"/",РАСЧЕТ!E2333,"/",F2333,"/",H2335),'Ведомость расчета мин. платы'!$AE$10:$AE$214,0),3),"")</f>
        <v/>
      </c>
      <c r="K2335" s="247" t="str">
        <f ca="1">IFERROR(INDEX('Ведомость расчета мин. платы'!$J$10:$AE$214,MATCH(CONCATENATE(РАСЧЕТ!B2333,"/",РАСЧЕТ!D2333,"/",РАСЧЕТ!E2333,"/",F2333,"/",H2335),'Ведомость расчета мин. платы'!$AE$10:$AE$214,0),4),"")</f>
        <v/>
      </c>
      <c r="L2335" s="248">
        <f t="shared" ca="1" si="1057"/>
        <v>0</v>
      </c>
      <c r="M2335" s="214" t="str">
        <f ca="1">IFERROR(INDEX('Ведомость расчета мин. платы'!$J$10:$AE$214,MATCH(CONCATENATE(РАСЧЕТ!B2333,"/",РАСЧЕТ!D2333,"/",РАСЧЕТ!E2333,"/",F2333,"/",H2335),'Ведомость расчета мин. платы'!$AE$10:$AE$214,0),6),"")</f>
        <v/>
      </c>
      <c r="N2335" s="214">
        <f t="shared" ca="1" si="1058"/>
        <v>0</v>
      </c>
      <c r="O2335" s="229">
        <f t="shared" si="1062"/>
        <v>1</v>
      </c>
      <c r="P2335" s="230">
        <f t="shared" si="1056"/>
        <v>0</v>
      </c>
      <c r="AP2335" s="242"/>
      <c r="AQ2335" s="253"/>
    </row>
    <row r="2336" spans="1:43" x14ac:dyDescent="0.2">
      <c r="B2336" s="249"/>
      <c r="C2336" s="249"/>
      <c r="D2336" s="249"/>
      <c r="E2336" s="249"/>
      <c r="F2336" s="249"/>
      <c r="G2336" s="249"/>
      <c r="H2336" s="250" t="s">
        <v>475</v>
      </c>
      <c r="I2336" s="251" t="str">
        <f ca="1">IFERROR(ROUND(I2335*I2328,2),"")</f>
        <v/>
      </c>
      <c r="J2336" s="251" t="str">
        <f t="shared" ref="J2336" ca="1" si="1064">IFERROR(ROUND(J2335*J2328,2),"")</f>
        <v/>
      </c>
      <c r="K2336" s="251" t="str">
        <f t="shared" ref="K2336" ca="1" si="1065">IFERROR(ROUND(K2335*K2328,2),"")</f>
        <v/>
      </c>
      <c r="L2336" s="251">
        <f t="shared" ca="1" si="1057"/>
        <v>0</v>
      </c>
      <c r="M2336" s="251" t="str">
        <f t="shared" ref="M2336" ca="1" si="1066">IFERROR(ROUND(M2335*M2328,2),"")</f>
        <v/>
      </c>
      <c r="N2336" s="252">
        <f t="shared" ca="1" si="1058"/>
        <v>0</v>
      </c>
      <c r="O2336" s="229" t="str">
        <f t="shared" si="1062"/>
        <v/>
      </c>
      <c r="P2336" s="230">
        <f t="shared" si="1056"/>
        <v>0</v>
      </c>
      <c r="AP2336" s="242">
        <f ca="1">SUMIFS('Ведомость расчета мин. платы'!$S$10:$S$209,'Ведомость расчета мин. платы'!$AE$10:$AE$209,CONCATENATE(B2333,"/",D2333,"/",E2333,"/",F2333,"/",H2335))</f>
        <v>0</v>
      </c>
      <c r="AQ2336" s="253">
        <f t="shared" ref="AQ2336" ca="1" si="1067">AP2336-N2336</f>
        <v>0</v>
      </c>
    </row>
    <row r="2337" spans="2:43" x14ac:dyDescent="0.2">
      <c r="B2337" s="249"/>
      <c r="C2337" s="249"/>
      <c r="D2337" s="249"/>
      <c r="E2337" s="249"/>
      <c r="F2337" s="249"/>
      <c r="G2337" s="249"/>
      <c r="H2337" s="205" t="s">
        <v>19</v>
      </c>
      <c r="I2337" s="248">
        <f ca="1">IFERROR(INDEX('Ведомость расчета мин. платы'!$J$10:$AE$214,MATCH(CONCATENATE(РАСЧЕТ!B2333,"/",РАСЧЕТ!D2333,"/",РАСЧЕТ!E2333,"/",F2333,"/",H2337),'Ведомость расчета мин. платы'!$AE$10:$AE$214,0),2),"")</f>
        <v>29.37</v>
      </c>
      <c r="J2337" s="248">
        <f ca="1">IFERROR(INDEX('Ведомость расчета мин. платы'!$J$10:$AE$214,MATCH(CONCATENATE(РАСЧЕТ!B2333,"/",РАСЧЕТ!D2333,"/",РАСЧЕТ!E2333,"/",F2333,"/",H2337),'Ведомость расчета мин. платы'!$AE$10:$AE$214,0),3),"")</f>
        <v>200.19</v>
      </c>
      <c r="K2337" s="248">
        <f ca="1">IFERROR(INDEX('Ведомость расчета мин. платы'!$J$10:$AE$214,MATCH(CONCATENATE(РАСЧЕТ!B2333,"/",РАСЧЕТ!D2333,"/",РАСЧЕТ!E2333,"/",F2333,"/",H2337),'Ведомость расчета мин. платы'!$AE$10:$AE$214,0),4),"")</f>
        <v>22.7</v>
      </c>
      <c r="L2337" s="248">
        <f t="shared" ca="1" si="1057"/>
        <v>252.26</v>
      </c>
      <c r="M2337" s="248">
        <f ca="1">IFERROR(INDEX('Ведомость расчета мин. платы'!$J$10:$AE$214,MATCH(CONCATENATE(РАСЧЕТ!B2333,"/",РАСЧЕТ!D2333,"/",РАСЧЕТ!E2333,"/",F2333,"/",H2337),'Ведомость расчета мин. платы'!$AE$10:$AE$214,0),6),"")</f>
        <v>884.23</v>
      </c>
      <c r="N2337" s="214">
        <f t="shared" ca="1" si="1058"/>
        <v>1136.49</v>
      </c>
      <c r="O2337" s="229">
        <f t="shared" si="1062"/>
        <v>1</v>
      </c>
      <c r="P2337" s="230">
        <f t="shared" si="1056"/>
        <v>0</v>
      </c>
      <c r="AP2337" s="242"/>
      <c r="AQ2337" s="253"/>
    </row>
    <row r="2338" spans="2:43" x14ac:dyDescent="0.2">
      <c r="B2338" s="249"/>
      <c r="C2338" s="249"/>
      <c r="D2338" s="249"/>
      <c r="E2338" s="249"/>
      <c r="F2338" s="249"/>
      <c r="G2338" s="249"/>
      <c r="H2338" s="250" t="s">
        <v>475</v>
      </c>
      <c r="I2338" s="251">
        <f ca="1">IFERROR(ROUND(I2337*I2329,2),"")</f>
        <v>2095.5500000000002</v>
      </c>
      <c r="J2338" s="251">
        <f t="shared" ref="J2338" ca="1" si="1068">IFERROR(ROUND(J2337*J2329,2),"")</f>
        <v>10397.870000000001</v>
      </c>
      <c r="K2338" s="251">
        <f t="shared" ref="K2338" ca="1" si="1069">IFERROR(ROUND(K2337*K2329,2),"")</f>
        <v>602.46</v>
      </c>
      <c r="L2338" s="251">
        <f t="shared" ca="1" si="1057"/>
        <v>13095.880000000001</v>
      </c>
      <c r="M2338" s="251">
        <f t="shared" ref="M2338" ca="1" si="1070">IFERROR(ROUND(M2337*M2329,2),"")</f>
        <v>1264.45</v>
      </c>
      <c r="N2338" s="252">
        <f t="shared" ca="1" si="1058"/>
        <v>14360.330000000002</v>
      </c>
      <c r="O2338" s="229" t="str">
        <f t="shared" si="1062"/>
        <v/>
      </c>
      <c r="P2338" s="230">
        <f t="shared" si="1056"/>
        <v>0</v>
      </c>
      <c r="AP2338" s="242">
        <f ca="1">SUMIFS('Ведомость расчета мин. платы'!$S$10:$S$209,'Ведомость расчета мин. платы'!$AE$10:$AE$209,CONCATENATE(B2333,"/",D2333,"/",E2333,"/",F2333,"/",H2337))</f>
        <v>14360.33</v>
      </c>
      <c r="AQ2338" s="253">
        <f t="shared" ref="AQ2338" ca="1" si="1071">AP2338-N2338</f>
        <v>0</v>
      </c>
    </row>
    <row r="2339" spans="2:43" x14ac:dyDescent="0.2">
      <c r="B2339" s="249"/>
      <c r="C2339" s="249"/>
      <c r="D2339" s="249"/>
      <c r="E2339" s="249"/>
      <c r="F2339" s="249"/>
      <c r="G2339" s="249"/>
      <c r="H2339" s="205" t="s">
        <v>268</v>
      </c>
      <c r="I2339" s="248" t="str">
        <f ca="1">IFERROR(INDEX('Ведомость расчета мин. платы'!$J$10:$AE$214,MATCH(CONCATENATE(РАСЧЕТ!B2333,"/",РАСЧЕТ!D2333,"/",РАСЧЕТ!E2333,"/",F2333,"/",H2339),'Ведомость расчета мин. платы'!$AE$10:$AE$214,0),2),"")</f>
        <v/>
      </c>
      <c r="J2339" s="248" t="str">
        <f ca="1">IFERROR(INDEX('Ведомость расчета мин. платы'!$J$10:$AE$214,MATCH(CONCATENATE(РАСЧЕТ!B2333,"/",РАСЧЕТ!D2333,"/",РАСЧЕТ!E2333,"/",F2333,"/",H2339),'Ведомость расчета мин. платы'!$AE$10:$AE$214,0),3),"")</f>
        <v/>
      </c>
      <c r="K2339" s="248" t="str">
        <f ca="1">IFERROR(INDEX('Ведомость расчета мин. платы'!$J$10:$AE$214,MATCH(CONCATENATE(РАСЧЕТ!B2333,"/",РАСЧЕТ!D2333,"/",РАСЧЕТ!E2333,"/",F2333,"/",H2339),'Ведомость расчета мин. платы'!$AE$10:$AE$214,0),4),"")</f>
        <v/>
      </c>
      <c r="L2339" s="248">
        <f t="shared" ca="1" si="1057"/>
        <v>0</v>
      </c>
      <c r="M2339" s="248" t="str">
        <f ca="1">IFERROR(INDEX('Ведомость расчета мин. платы'!$J$10:$AE$214,MATCH(CONCATENATE(РАСЧЕТ!B2333,"/",РАСЧЕТ!D2333,"/",РАСЧЕТ!E2333,"/",F2333,"/",H2339),'Ведомость расчета мин. платы'!$AE$10:$AE$214,0),6),"")</f>
        <v/>
      </c>
      <c r="N2339" s="214">
        <f t="shared" ca="1" si="1058"/>
        <v>0</v>
      </c>
      <c r="O2339" s="229">
        <f t="shared" si="1062"/>
        <v>1</v>
      </c>
      <c r="P2339" s="230">
        <f t="shared" si="1056"/>
        <v>0</v>
      </c>
      <c r="AP2339" s="242"/>
      <c r="AQ2339" s="253"/>
    </row>
    <row r="2340" spans="2:43" x14ac:dyDescent="0.2">
      <c r="B2340" s="249"/>
      <c r="C2340" s="249"/>
      <c r="D2340" s="249"/>
      <c r="E2340" s="249"/>
      <c r="F2340" s="249"/>
      <c r="G2340" s="249"/>
      <c r="H2340" s="250" t="s">
        <v>475</v>
      </c>
      <c r="I2340" s="251" t="str">
        <f ca="1">IFERROR(ROUND(I2339*I2332,2),"")</f>
        <v/>
      </c>
      <c r="J2340" s="251" t="str">
        <f ca="1">IFERROR(ROUND(J2339*J2330,2),"")</f>
        <v/>
      </c>
      <c r="K2340" s="251" t="str">
        <f ca="1">IFERROR(ROUND(K2339*K2330,2),"")</f>
        <v/>
      </c>
      <c r="L2340" s="251">
        <f t="shared" ca="1" si="1057"/>
        <v>0</v>
      </c>
      <c r="M2340" s="251" t="str">
        <f ca="1">IFERROR(ROUND(M2339*M2330,2),"")</f>
        <v/>
      </c>
      <c r="N2340" s="252">
        <f t="shared" ca="1" si="1058"/>
        <v>0</v>
      </c>
      <c r="O2340" s="229" t="str">
        <f t="shared" si="1062"/>
        <v/>
      </c>
      <c r="P2340" s="230">
        <f t="shared" si="1056"/>
        <v>0</v>
      </c>
      <c r="AP2340" s="242">
        <f ca="1">SUMIFS('Ведомость расчета мин. платы'!$S$10:$S$209,'Ведомость расчета мин. платы'!$AE$10:$AE$209,CONCATENATE(B2333,"/",D2333,"/",E2333,"/",F2333,"/",H2339))</f>
        <v>0</v>
      </c>
      <c r="AQ2340" s="253">
        <f t="shared" ref="AQ2340" ca="1" si="1072">AP2340-N2340</f>
        <v>0</v>
      </c>
    </row>
    <row r="2341" spans="2:43" x14ac:dyDescent="0.2">
      <c r="B2341" s="249"/>
      <c r="C2341" s="249"/>
      <c r="D2341" s="249"/>
      <c r="E2341" s="249"/>
      <c r="F2341" s="249"/>
      <c r="G2341" s="249"/>
      <c r="H2341" s="205" t="s">
        <v>40</v>
      </c>
      <c r="I2341" s="248" t="str">
        <f ca="1">IFERROR(INDEX('Ведомость расчета мин. платы'!$J$10:$AE$214,MATCH(CONCATENATE(РАСЧЕТ!B2333,"/",РАСЧЕТ!D2333,"/",РАСЧЕТ!E2333,"/",F2333,"/",H2341),'Ведомость расчета мин. платы'!$AE$10:$AE$214,0),2),"")</f>
        <v/>
      </c>
      <c r="J2341" s="248" t="str">
        <f ca="1">IFERROR(INDEX('Ведомость расчета мин. платы'!$J$10:$AE$214,MATCH(CONCATENATE(РАСЧЕТ!B2333,"/",РАСЧЕТ!D2333,"/",РАСЧЕТ!E2333,"/",F2333,"/",H2341),'Ведомость расчета мин. платы'!$AE$10:$AE$214,0),3),"")</f>
        <v/>
      </c>
      <c r="K2341" s="248" t="str">
        <f ca="1">IFERROR(INDEX('Ведомость расчета мин. платы'!$J$10:$AE$214,MATCH(CONCATENATE(РАСЧЕТ!B2333,"/",РАСЧЕТ!D2333,"/",РАСЧЕТ!E2333,"/",F2333,"/",H2341),'Ведомость расчета мин. платы'!$AE$10:$AE$214,0),4),"")</f>
        <v/>
      </c>
      <c r="L2341" s="248">
        <f t="shared" ca="1" si="1057"/>
        <v>0</v>
      </c>
      <c r="M2341" s="248" t="str">
        <f ca="1">IFERROR(INDEX('Ведомость расчета мин. платы'!$J$10:$AE$214,MATCH(CONCATENATE(РАСЧЕТ!B2333,"/",РАСЧЕТ!D2333,"/",РАСЧЕТ!E2333,"/",F2333,"/",H2341),'Ведомость расчета мин. платы'!$AE$10:$AE$214,0),6),"")</f>
        <v/>
      </c>
      <c r="N2341" s="214">
        <f t="shared" ca="1" si="1058"/>
        <v>0</v>
      </c>
      <c r="O2341" s="229">
        <f t="shared" si="1062"/>
        <v>1</v>
      </c>
      <c r="P2341" s="230">
        <f t="shared" si="1056"/>
        <v>0</v>
      </c>
      <c r="AP2341" s="242"/>
      <c r="AQ2341" s="253"/>
    </row>
    <row r="2342" spans="2:43" x14ac:dyDescent="0.2">
      <c r="B2342" s="249"/>
      <c r="C2342" s="249"/>
      <c r="D2342" s="249"/>
      <c r="E2342" s="249"/>
      <c r="F2342" s="249"/>
      <c r="G2342" s="249"/>
      <c r="H2342" s="250" t="s">
        <v>475</v>
      </c>
      <c r="I2342" s="251" t="str">
        <f ca="1">IFERROR(ROUND(I2341*I2331,2),"")</f>
        <v/>
      </c>
      <c r="J2342" s="251" t="str">
        <f t="shared" ref="J2342" ca="1" si="1073">IFERROR(ROUND(J2341*J2331,2),"")</f>
        <v/>
      </c>
      <c r="K2342" s="251" t="str">
        <f t="shared" ref="K2342" ca="1" si="1074">IFERROR(ROUND(K2341*K2331,2),"")</f>
        <v/>
      </c>
      <c r="L2342" s="251">
        <f t="shared" ca="1" si="1057"/>
        <v>0</v>
      </c>
      <c r="M2342" s="251" t="str">
        <f t="shared" ref="M2342" ca="1" si="1075">IFERROR(ROUND(M2341*M2331,2),"")</f>
        <v/>
      </c>
      <c r="N2342" s="252">
        <f t="shared" ca="1" si="1058"/>
        <v>0</v>
      </c>
      <c r="O2342" s="229" t="str">
        <f t="shared" si="1062"/>
        <v/>
      </c>
      <c r="P2342" s="230">
        <f t="shared" si="1056"/>
        <v>0</v>
      </c>
      <c r="AP2342" s="242">
        <f ca="1">SUMIFS('Ведомость расчета мин. платы'!$S$10:$S$209,'Ведомость расчета мин. платы'!$AE$10:$AE$209,CONCATENATE(B2333,"/",D2333,"/",E2333,"/",F2333,"/",H2341))</f>
        <v>0</v>
      </c>
      <c r="AQ2342" s="253">
        <f t="shared" ref="AQ2342" ca="1" si="1076">AP2342-N2342</f>
        <v>0</v>
      </c>
    </row>
    <row r="2343" spans="2:43" x14ac:dyDescent="0.2">
      <c r="B2343" s="249"/>
      <c r="C2343" s="249"/>
      <c r="D2343" s="249"/>
      <c r="E2343" s="249"/>
      <c r="F2343" s="249"/>
      <c r="G2343" s="249"/>
      <c r="H2343" s="205" t="s">
        <v>18</v>
      </c>
      <c r="I2343" s="248">
        <f ca="1">IFERROR(INDEX('Ведомость расчета мин. платы'!$J$10:$AE$214,MATCH(CONCATENATE(РАСЧЕТ!B2333,"/",РАСЧЕТ!D2333,"/",РАСЧЕТ!E2333,"/",F2333,"/",H2343),'Ведомость расчета мин. платы'!$AE$10:$AE$214,0),2),"")</f>
        <v>114.6</v>
      </c>
      <c r="J2343" s="248">
        <f ca="1">IFERROR(INDEX('Ведомость расчета мин. платы'!$J$10:$AE$214,MATCH(CONCATENATE(РАСЧЕТ!B2333,"/",РАСЧЕТ!D2333,"/",РАСЧЕТ!E2333,"/",F2333,"/",H2343),'Ведомость расчета мин. платы'!$AE$10:$AE$214,0),3),"")</f>
        <v>98.6</v>
      </c>
      <c r="K2343" s="248">
        <f ca="1">IFERROR(INDEX('Ведомость расчета мин. платы'!$J$10:$AE$214,MATCH(CONCATENATE(РАСЧЕТ!B2333,"/",РАСЧЕТ!D2333,"/",РАСЧЕТ!E2333,"/",F2333,"/",H2343),'Ведомость расчета мин. платы'!$AE$10:$AE$214,0),4),"")</f>
        <v>0</v>
      </c>
      <c r="L2343" s="248">
        <f t="shared" ca="1" si="1057"/>
        <v>213.2</v>
      </c>
      <c r="M2343" s="248">
        <f ca="1">IFERROR(INDEX('Ведомость расчета мин. платы'!$J$10:$AE$214,MATCH(CONCATENATE(РАСЧЕТ!B2333,"/",РАСЧЕТ!D2333,"/",РАСЧЕТ!E2333,"/",F2333,"/",H2343),'Ведомость расчета мин. платы'!$AE$10:$AE$214,0),6),"")</f>
        <v>257.8</v>
      </c>
      <c r="N2343" s="214">
        <f t="shared" ca="1" si="1058"/>
        <v>471</v>
      </c>
      <c r="O2343" s="229">
        <f t="shared" si="1062"/>
        <v>1</v>
      </c>
      <c r="P2343" s="230">
        <f t="shared" si="1056"/>
        <v>0</v>
      </c>
      <c r="AP2343" s="242"/>
      <c r="AQ2343" s="253"/>
    </row>
    <row r="2344" spans="2:43" x14ac:dyDescent="0.2">
      <c r="B2344" s="249"/>
      <c r="C2344" s="249"/>
      <c r="D2344" s="249"/>
      <c r="E2344" s="249"/>
      <c r="F2344" s="249"/>
      <c r="G2344" s="249"/>
      <c r="H2344" s="250" t="s">
        <v>475</v>
      </c>
      <c r="I2344" s="251">
        <f ca="1">IFERROR(ROUND(I2343*I2332,2),"")</f>
        <v>2616.3200000000002</v>
      </c>
      <c r="J2344" s="251">
        <f t="shared" ref="J2344" ca="1" si="1077">IFERROR(ROUND(J2343*J2332,2),"")</f>
        <v>1716.63</v>
      </c>
      <c r="K2344" s="251">
        <f t="shared" ref="K2344" ca="1" si="1078">IFERROR(ROUND(K2343*K2332,2),"")</f>
        <v>0</v>
      </c>
      <c r="L2344" s="251">
        <f t="shared" ca="1" si="1057"/>
        <v>4332.9500000000007</v>
      </c>
      <c r="M2344" s="251">
        <v>146.93999999999977</v>
      </c>
      <c r="N2344" s="252">
        <f t="shared" ca="1" si="1058"/>
        <v>4479.8900000000003</v>
      </c>
      <c r="O2344" s="229" t="str">
        <f t="shared" si="1062"/>
        <v/>
      </c>
      <c r="P2344" s="230">
        <f t="shared" si="1056"/>
        <v>0</v>
      </c>
      <c r="AP2344" s="242">
        <f ca="1">SUMIFS('Ведомость расчета мин. платы'!$S$10:$S$209,'Ведомость расчета мин. платы'!$AE$10:$AE$209,CONCATENATE(B2333,"/",D2333,"/",E2333,"/",F2333,"/",H2343))</f>
        <v>4479.8900000000003</v>
      </c>
      <c r="AQ2344" s="253">
        <f t="shared" ref="AQ2344" ca="1" si="1079">AP2344-N2344</f>
        <v>0</v>
      </c>
    </row>
    <row r="2345" spans="2:43" x14ac:dyDescent="0.2">
      <c r="B2345" s="249"/>
      <c r="C2345" s="249"/>
      <c r="D2345" s="249"/>
      <c r="E2345" s="249"/>
      <c r="F2345" s="249"/>
      <c r="G2345" s="249"/>
      <c r="H2345" s="254" t="s">
        <v>476</v>
      </c>
      <c r="I2345" s="251">
        <f ca="1">SUMIF($O2333:$O2346,1,I2333:I2344)</f>
        <v>143.97</v>
      </c>
      <c r="J2345" s="251">
        <f ca="1">SUMIF($O2333:$O2346,1,J2333:J2344)</f>
        <v>298.78999999999996</v>
      </c>
      <c r="K2345" s="251">
        <f ca="1">SUMIF($O2333:$O2346,1,K2333:K2344)</f>
        <v>22.7</v>
      </c>
      <c r="L2345" s="251">
        <f t="shared" ca="1" si="1057"/>
        <v>465.46</v>
      </c>
      <c r="M2345" s="251">
        <f ca="1">SUMIF($O2333:$O2346,1,M2333:M2344)</f>
        <v>1142.03</v>
      </c>
      <c r="N2345" s="252">
        <f t="shared" ca="1" si="1058"/>
        <v>1607.49</v>
      </c>
      <c r="AP2345" s="242"/>
      <c r="AQ2345" s="253"/>
    </row>
    <row r="2346" spans="2:43" x14ac:dyDescent="0.2">
      <c r="B2346" s="249"/>
      <c r="C2346" s="249"/>
      <c r="D2346" s="249"/>
      <c r="E2346" s="249"/>
      <c r="F2346" s="249"/>
      <c r="G2346" s="249"/>
      <c r="H2346" s="254" t="s">
        <v>491</v>
      </c>
      <c r="I2346" s="251">
        <f ca="1">SUMIF(H2333:H2344,"стоимость",I2333:I2344)</f>
        <v>4711.8700000000008</v>
      </c>
      <c r="J2346" s="251">
        <f ca="1">SUMIF(H2333:H2344,"стоимость",J2333:J2344)</f>
        <v>12114.5</v>
      </c>
      <c r="K2346" s="251">
        <f ca="1">SUMIF(H2333:H2344,"стоимость",K2333:K2344)</f>
        <v>602.46</v>
      </c>
      <c r="L2346" s="251">
        <f ca="1">IFERROR(SUM(I2346:K2346),"")</f>
        <v>17428.830000000002</v>
      </c>
      <c r="M2346" s="251">
        <f ca="1">SUMIF(H2333:H2344,"стоимость",M2333:M2344)</f>
        <v>1411.3899999999999</v>
      </c>
      <c r="N2346" s="252">
        <f ca="1">IFERROR(SUM(L2346:M2346),"")</f>
        <v>18840.22</v>
      </c>
      <c r="AP2346" s="242">
        <f ca="1">SUMIFS('Ведомость расчета мин. платы'!$S$10:$S$209,'Ведомость расчета мин. платы'!$J$10:$J$209,"Итого",'Ведомость расчета мин. платы'!$AC$10:$AC$209,CONCATENATE(B2333,"/",D2333,"/",E2333,"/",F2333))</f>
        <v>18840.22</v>
      </c>
      <c r="AQ2346" s="253">
        <f ca="1">AP2346-N2346</f>
        <v>0</v>
      </c>
    </row>
    <row r="2347" spans="2:43" x14ac:dyDescent="0.2">
      <c r="B2347" s="255"/>
      <c r="C2347" s="255"/>
      <c r="D2347" s="255"/>
      <c r="E2347" s="255"/>
      <c r="F2347" s="255"/>
      <c r="G2347" s="256"/>
      <c r="H2347" s="257"/>
      <c r="I2347" s="258"/>
      <c r="J2347" s="258"/>
      <c r="K2347" s="258"/>
      <c r="L2347" s="258"/>
      <c r="M2347" s="258"/>
      <c r="N2347" s="258"/>
      <c r="P2347" s="230">
        <f t="shared" ref="P2347:P2365" si="1080">IF(A2347&gt;0,1,0)</f>
        <v>0</v>
      </c>
    </row>
    <row r="2348" spans="2:43" x14ac:dyDescent="0.2">
      <c r="B2348" s="282" t="s">
        <v>477</v>
      </c>
      <c r="C2348" s="282"/>
      <c r="D2348" s="282"/>
      <c r="E2348" s="282"/>
      <c r="F2348" s="259"/>
      <c r="G2348" s="225"/>
      <c r="H2348" s="201"/>
      <c r="I2348" s="226"/>
      <c r="J2348" s="258"/>
      <c r="K2348" s="258"/>
      <c r="L2348" s="258"/>
      <c r="M2348" s="258"/>
      <c r="N2348" s="258"/>
      <c r="P2348" s="230">
        <f t="shared" si="1080"/>
        <v>0</v>
      </c>
    </row>
    <row r="2349" spans="2:43" x14ac:dyDescent="0.2">
      <c r="B2349" s="283" t="s">
        <v>525</v>
      </c>
      <c r="C2349" s="283"/>
      <c r="D2349" s="283"/>
      <c r="E2349" s="283"/>
      <c r="F2349" s="283"/>
      <c r="G2349" s="283"/>
      <c r="H2349" s="283"/>
      <c r="I2349" s="283"/>
      <c r="J2349" s="261"/>
      <c r="K2349" s="261"/>
      <c r="L2349" s="261"/>
      <c r="M2349" s="261"/>
      <c r="N2349" s="261"/>
      <c r="P2349" s="230">
        <f t="shared" si="1080"/>
        <v>0</v>
      </c>
    </row>
    <row r="2350" spans="2:43" x14ac:dyDescent="0.2">
      <c r="B2350" s="284" t="s">
        <v>478</v>
      </c>
      <c r="C2350" s="284"/>
      <c r="D2350" s="284"/>
      <c r="E2350" s="284"/>
      <c r="F2350" s="284"/>
      <c r="G2350" s="284"/>
      <c r="H2350" s="284"/>
      <c r="I2350" s="284"/>
      <c r="J2350" s="258"/>
      <c r="K2350" s="258"/>
      <c r="L2350" s="258"/>
      <c r="M2350" s="258"/>
      <c r="N2350" s="258"/>
      <c r="P2350" s="230">
        <f t="shared" si="1080"/>
        <v>0</v>
      </c>
    </row>
    <row r="2351" spans="2:43" x14ac:dyDescent="0.2">
      <c r="B2351" s="284" t="s">
        <v>479</v>
      </c>
      <c r="C2351" s="284"/>
      <c r="D2351" s="284"/>
      <c r="E2351" s="284"/>
      <c r="F2351" s="284"/>
      <c r="G2351" s="284"/>
      <c r="H2351" s="284"/>
      <c r="I2351" s="284"/>
      <c r="J2351" s="258"/>
      <c r="K2351" s="258"/>
      <c r="L2351" s="258"/>
      <c r="M2351" s="258"/>
      <c r="N2351" s="258"/>
      <c r="P2351" s="230">
        <f t="shared" si="1080"/>
        <v>0</v>
      </c>
    </row>
    <row r="2352" spans="2:43" x14ac:dyDescent="0.2">
      <c r="B2352" s="284" t="s">
        <v>480</v>
      </c>
      <c r="C2352" s="284"/>
      <c r="D2352" s="284"/>
      <c r="E2352" s="284"/>
      <c r="F2352" s="284"/>
      <c r="G2352" s="284"/>
      <c r="H2352" s="284"/>
      <c r="I2352" s="284"/>
      <c r="J2352" s="258"/>
      <c r="K2352" s="258"/>
      <c r="L2352" s="258"/>
      <c r="M2352" s="258"/>
      <c r="N2352" s="258"/>
      <c r="P2352" s="230">
        <f t="shared" si="1080"/>
        <v>0</v>
      </c>
    </row>
    <row r="2353" spans="1:16" x14ac:dyDescent="0.2">
      <c r="B2353" s="284" t="s">
        <v>481</v>
      </c>
      <c r="C2353" s="284"/>
      <c r="D2353" s="284"/>
      <c r="E2353" s="284"/>
      <c r="F2353" s="284"/>
      <c r="G2353" s="284"/>
      <c r="H2353" s="284"/>
      <c r="I2353" s="284"/>
      <c r="J2353" s="226"/>
      <c r="K2353" s="226"/>
      <c r="L2353" s="226"/>
      <c r="M2353" s="226"/>
      <c r="N2353" s="226"/>
      <c r="P2353" s="230">
        <f t="shared" si="1080"/>
        <v>0</v>
      </c>
    </row>
    <row r="2354" spans="1:16" x14ac:dyDescent="0.2">
      <c r="B2354" s="284" t="s">
        <v>482</v>
      </c>
      <c r="C2354" s="284"/>
      <c r="D2354" s="284"/>
      <c r="E2354" s="284"/>
      <c r="F2354" s="284"/>
      <c r="G2354" s="284"/>
      <c r="H2354" s="284"/>
      <c r="I2354" s="284"/>
      <c r="J2354" s="226"/>
      <c r="K2354" s="226"/>
      <c r="L2354" s="226"/>
      <c r="M2354" s="226"/>
      <c r="N2354" s="226"/>
      <c r="P2354" s="230">
        <f t="shared" si="1080"/>
        <v>0</v>
      </c>
    </row>
    <row r="2355" spans="1:16" x14ac:dyDescent="0.2">
      <c r="B2355" s="284" t="s">
        <v>483</v>
      </c>
      <c r="C2355" s="284"/>
      <c r="D2355" s="284"/>
      <c r="E2355" s="284"/>
      <c r="F2355" s="284"/>
      <c r="G2355" s="284"/>
      <c r="H2355" s="284"/>
      <c r="I2355" s="284"/>
      <c r="J2355" s="226"/>
      <c r="K2355" s="226"/>
      <c r="L2355" s="226"/>
      <c r="M2355" s="226"/>
      <c r="N2355" s="226"/>
      <c r="P2355" s="230">
        <f t="shared" si="1080"/>
        <v>0</v>
      </c>
    </row>
    <row r="2356" spans="1:16" x14ac:dyDescent="0.2">
      <c r="B2356" s="284" t="s">
        <v>484</v>
      </c>
      <c r="C2356" s="284"/>
      <c r="D2356" s="284"/>
      <c r="E2356" s="284"/>
      <c r="F2356" s="284"/>
      <c r="G2356" s="284"/>
      <c r="H2356" s="284"/>
      <c r="I2356" s="284"/>
      <c r="J2356" s="226"/>
      <c r="K2356" s="226"/>
      <c r="L2356" s="226"/>
      <c r="M2356" s="226"/>
      <c r="N2356" s="226"/>
      <c r="P2356" s="230">
        <f t="shared" si="1080"/>
        <v>0</v>
      </c>
    </row>
    <row r="2357" spans="1:16" x14ac:dyDescent="0.2">
      <c r="B2357" s="264"/>
      <c r="C2357" s="264"/>
      <c r="D2357" s="264"/>
      <c r="E2357" s="264"/>
      <c r="F2357" s="264"/>
      <c r="G2357" s="264"/>
      <c r="H2357" s="264"/>
      <c r="I2357" s="265"/>
      <c r="J2357" s="226"/>
      <c r="K2357" s="226"/>
      <c r="L2357" s="226"/>
      <c r="M2357" s="226"/>
      <c r="N2357" s="226"/>
      <c r="P2357" s="230">
        <f t="shared" si="1080"/>
        <v>0</v>
      </c>
    </row>
    <row r="2358" spans="1:16" x14ac:dyDescent="0.2">
      <c r="B2358" s="225" t="s">
        <v>485</v>
      </c>
      <c r="C2358" s="225"/>
      <c r="D2358" s="225"/>
      <c r="E2358" s="225"/>
      <c r="F2358" s="225"/>
      <c r="G2358" s="225"/>
      <c r="H2358" s="201"/>
      <c r="I2358" s="226"/>
      <c r="J2358" s="226" t="s">
        <v>486</v>
      </c>
      <c r="K2358" s="226"/>
      <c r="L2358" s="226"/>
      <c r="M2358" s="226"/>
      <c r="N2358" s="226"/>
      <c r="P2358" s="230">
        <f t="shared" si="1080"/>
        <v>0</v>
      </c>
    </row>
    <row r="2359" spans="1:16" x14ac:dyDescent="0.2">
      <c r="B2359" s="266" t="s">
        <v>524</v>
      </c>
      <c r="C2359" s="266"/>
      <c r="D2359" s="225"/>
      <c r="E2359" s="225"/>
      <c r="F2359" s="225"/>
      <c r="G2359" s="225"/>
      <c r="H2359" s="201"/>
      <c r="I2359" s="226"/>
      <c r="J2359" s="267"/>
      <c r="K2359" s="267"/>
      <c r="L2359" s="267"/>
      <c r="M2359" s="226"/>
      <c r="N2359" s="226"/>
      <c r="P2359" s="230">
        <f t="shared" si="1080"/>
        <v>0</v>
      </c>
    </row>
    <row r="2360" spans="1:16" x14ac:dyDescent="0.2">
      <c r="B2360" s="268" t="s">
        <v>487</v>
      </c>
      <c r="C2360" s="225"/>
      <c r="D2360" s="225"/>
      <c r="E2360" s="225"/>
      <c r="F2360" s="225"/>
      <c r="G2360" s="225"/>
      <c r="H2360" s="201"/>
      <c r="I2360" s="226"/>
      <c r="J2360" s="226" t="s">
        <v>487</v>
      </c>
      <c r="K2360" s="226"/>
      <c r="L2360" s="226"/>
      <c r="M2360" s="226"/>
      <c r="N2360" s="226"/>
      <c r="P2360" s="230">
        <f t="shared" si="1080"/>
        <v>0</v>
      </c>
    </row>
    <row r="2361" spans="1:16" x14ac:dyDescent="0.2">
      <c r="B2361" s="225"/>
      <c r="C2361" s="225"/>
      <c r="D2361" s="225"/>
      <c r="E2361" s="225"/>
      <c r="F2361" s="225"/>
      <c r="G2361" s="225"/>
      <c r="H2361" s="201"/>
      <c r="I2361" s="226"/>
      <c r="J2361" s="226"/>
      <c r="K2361" s="226"/>
      <c r="L2361" s="226"/>
      <c r="M2361" s="226"/>
      <c r="N2361" s="226"/>
      <c r="P2361" s="230">
        <f t="shared" si="1080"/>
        <v>0</v>
      </c>
    </row>
    <row r="2362" spans="1:16" x14ac:dyDescent="0.2">
      <c r="B2362" s="266"/>
      <c r="C2362" s="266"/>
      <c r="D2362" s="225"/>
      <c r="E2362" s="225"/>
      <c r="F2362" s="225"/>
      <c r="G2362" s="225"/>
      <c r="H2362" s="201"/>
      <c r="I2362" s="226"/>
      <c r="J2362" s="267"/>
      <c r="K2362" s="267"/>
      <c r="L2362" s="267"/>
      <c r="M2362" s="226"/>
      <c r="N2362" s="226"/>
      <c r="P2362" s="230">
        <f t="shared" si="1080"/>
        <v>0</v>
      </c>
    </row>
    <row r="2363" spans="1:16" x14ac:dyDescent="0.2">
      <c r="B2363" s="269" t="s">
        <v>488</v>
      </c>
      <c r="C2363" s="225"/>
      <c r="D2363" s="225"/>
      <c r="E2363" s="225"/>
      <c r="F2363" s="225"/>
      <c r="G2363" s="225"/>
      <c r="H2363" s="201"/>
      <c r="I2363" s="226"/>
      <c r="J2363" s="285" t="s">
        <v>488</v>
      </c>
      <c r="K2363" s="285"/>
      <c r="L2363" s="285"/>
      <c r="M2363" s="226"/>
      <c r="N2363" s="226"/>
      <c r="P2363" s="230">
        <f t="shared" si="1080"/>
        <v>0</v>
      </c>
    </row>
    <row r="2364" spans="1:16" x14ac:dyDescent="0.2">
      <c r="B2364" s="225"/>
      <c r="C2364" s="225"/>
      <c r="D2364" s="225"/>
      <c r="E2364" s="225"/>
      <c r="F2364" s="225"/>
      <c r="G2364" s="225"/>
      <c r="H2364" s="201"/>
      <c r="I2364" s="226"/>
      <c r="J2364" s="226"/>
      <c r="K2364" s="226"/>
      <c r="L2364" s="226"/>
      <c r="M2364" s="226"/>
      <c r="N2364" s="226"/>
      <c r="P2364" s="230">
        <f t="shared" si="1080"/>
        <v>0</v>
      </c>
    </row>
    <row r="2365" spans="1:16" x14ac:dyDescent="0.2">
      <c r="B2365" s="264" t="s">
        <v>489</v>
      </c>
      <c r="C2365" s="225"/>
      <c r="D2365" s="225"/>
      <c r="E2365" s="225"/>
      <c r="F2365" s="225"/>
      <c r="G2365" s="225"/>
      <c r="H2365" s="201"/>
      <c r="I2365" s="226"/>
      <c r="J2365" s="226" t="s">
        <v>489</v>
      </c>
      <c r="K2365" s="226"/>
      <c r="L2365" s="226"/>
      <c r="M2365" s="226"/>
      <c r="N2365" s="226"/>
      <c r="P2365" s="230">
        <f t="shared" si="1080"/>
        <v>0</v>
      </c>
    </row>
    <row r="2366" spans="1:16" x14ac:dyDescent="0.2">
      <c r="A2366" s="272"/>
      <c r="B2366" s="225"/>
      <c r="C2366" s="225"/>
      <c r="D2366" s="225"/>
      <c r="E2366" s="225"/>
      <c r="F2366" s="225"/>
      <c r="G2366" s="225"/>
      <c r="H2366" s="201"/>
      <c r="I2366" s="226"/>
      <c r="J2366" s="226"/>
      <c r="K2366" s="226"/>
      <c r="M2366" s="226"/>
      <c r="N2366" s="228"/>
    </row>
    <row r="2367" spans="1:16" x14ac:dyDescent="0.2">
      <c r="A2367" s="260"/>
      <c r="B2367" s="225"/>
      <c r="C2367" s="225"/>
      <c r="D2367" s="225"/>
      <c r="E2367" s="225"/>
      <c r="F2367" s="225"/>
      <c r="G2367" s="225"/>
      <c r="H2367" s="201"/>
      <c r="I2367" s="226"/>
      <c r="J2367" s="226"/>
      <c r="K2367" s="226"/>
      <c r="M2367" s="226"/>
      <c r="N2367" s="228" t="s">
        <v>455</v>
      </c>
      <c r="P2367" s="230">
        <f t="shared" ref="P2367:P2384" si="1081">IF(A2367&gt;0,1,0)</f>
        <v>0</v>
      </c>
    </row>
    <row r="2368" spans="1:16" x14ac:dyDescent="0.2">
      <c r="B2368" s="225"/>
      <c r="C2368" s="225"/>
      <c r="D2368" s="225"/>
      <c r="E2368" s="225"/>
      <c r="F2368" s="225"/>
      <c r="G2368" s="225"/>
      <c r="H2368" s="201"/>
      <c r="I2368" s="226"/>
      <c r="J2368" s="226"/>
      <c r="K2368" s="226"/>
      <c r="M2368" s="226"/>
      <c r="N2368" s="228" t="s">
        <v>456</v>
      </c>
      <c r="P2368" s="230">
        <f t="shared" si="1081"/>
        <v>0</v>
      </c>
    </row>
    <row r="2369" spans="1:18" x14ac:dyDescent="0.2">
      <c r="B2369" s="225"/>
      <c r="C2369" s="225"/>
      <c r="D2369" s="225"/>
      <c r="E2369" s="225"/>
      <c r="F2369" s="225"/>
      <c r="G2369" s="225"/>
      <c r="H2369" s="201"/>
      <c r="I2369" s="226"/>
      <c r="J2369" s="226"/>
      <c r="K2369" s="226"/>
      <c r="M2369" s="226"/>
      <c r="N2369" s="228" t="s">
        <v>457</v>
      </c>
      <c r="P2369" s="230">
        <f t="shared" si="1081"/>
        <v>0</v>
      </c>
    </row>
    <row r="2370" spans="1:18" x14ac:dyDescent="0.2">
      <c r="B2370" s="225"/>
      <c r="C2370" s="225"/>
      <c r="D2370" s="225"/>
      <c r="E2370" s="225"/>
      <c r="F2370" s="225"/>
      <c r="G2370" s="225"/>
      <c r="H2370" s="201"/>
      <c r="I2370" s="226"/>
      <c r="J2370" s="226"/>
      <c r="K2370" s="226"/>
      <c r="L2370" s="226"/>
      <c r="M2370" s="226"/>
      <c r="N2370" s="226"/>
      <c r="P2370" s="230">
        <f t="shared" si="1081"/>
        <v>0</v>
      </c>
    </row>
    <row r="2371" spans="1:18" x14ac:dyDescent="0.2">
      <c r="B2371" s="225"/>
      <c r="C2371" s="286" t="s">
        <v>458</v>
      </c>
      <c r="D2371" s="286"/>
      <c r="E2371" s="286"/>
      <c r="F2371" s="286"/>
      <c r="G2371" s="286"/>
      <c r="H2371" s="286"/>
      <c r="I2371" s="286"/>
      <c r="J2371" s="286"/>
      <c r="K2371" s="286"/>
      <c r="L2371" s="286"/>
      <c r="M2371" s="226"/>
      <c r="N2371" s="226"/>
      <c r="P2371" s="230">
        <f t="shared" si="1081"/>
        <v>0</v>
      </c>
    </row>
    <row r="2372" spans="1:18" x14ac:dyDescent="0.2">
      <c r="B2372" s="225"/>
      <c r="C2372" s="286" t="s">
        <v>459</v>
      </c>
      <c r="D2372" s="286"/>
      <c r="E2372" s="286"/>
      <c r="F2372" s="286"/>
      <c r="G2372" s="286"/>
      <c r="H2372" s="286"/>
      <c r="I2372" s="286"/>
      <c r="J2372" s="286"/>
      <c r="K2372" s="286"/>
      <c r="L2372" s="286"/>
      <c r="M2372" s="226"/>
      <c r="N2372" s="226"/>
      <c r="P2372" s="230">
        <f t="shared" si="1081"/>
        <v>0</v>
      </c>
    </row>
    <row r="2373" spans="1:18" x14ac:dyDescent="0.2">
      <c r="B2373" s="225" t="s">
        <v>460</v>
      </c>
      <c r="C2373" s="234"/>
      <c r="D2373" s="234"/>
      <c r="E2373" s="234"/>
      <c r="F2373" s="234"/>
      <c r="G2373" s="234"/>
      <c r="H2373" s="234"/>
      <c r="I2373" s="235"/>
      <c r="J2373" s="235"/>
      <c r="K2373" s="235"/>
      <c r="L2373" s="287" t="s">
        <v>461</v>
      </c>
      <c r="M2373" s="287"/>
      <c r="N2373" s="287"/>
      <c r="P2373" s="230">
        <f t="shared" si="1081"/>
        <v>0</v>
      </c>
    </row>
    <row r="2374" spans="1:18" x14ac:dyDescent="0.2">
      <c r="B2374" s="225"/>
      <c r="C2374" s="234"/>
      <c r="D2374" s="234"/>
      <c r="E2374" s="234"/>
      <c r="F2374" s="234"/>
      <c r="G2374" s="234"/>
      <c r="H2374" s="234"/>
      <c r="I2374" s="235"/>
      <c r="J2374" s="235"/>
      <c r="K2374" s="235"/>
      <c r="L2374" s="235"/>
      <c r="M2374" s="235"/>
      <c r="N2374" s="235"/>
      <c r="P2374" s="230">
        <f t="shared" si="1081"/>
        <v>0</v>
      </c>
    </row>
    <row r="2375" spans="1:18" x14ac:dyDescent="0.2">
      <c r="B2375" s="225" t="s">
        <v>2038</v>
      </c>
      <c r="C2375" s="234"/>
      <c r="D2375" s="234"/>
      <c r="E2375" s="234"/>
      <c r="F2375" s="234"/>
      <c r="G2375" s="234"/>
      <c r="H2375" s="234"/>
      <c r="I2375" s="235"/>
      <c r="J2375" s="235"/>
      <c r="K2375" s="235"/>
      <c r="L2375" s="235"/>
      <c r="M2375" s="235"/>
      <c r="N2375" s="235"/>
      <c r="P2375" s="230">
        <f t="shared" si="1081"/>
        <v>0</v>
      </c>
    </row>
    <row r="2376" spans="1:18" x14ac:dyDescent="0.2">
      <c r="B2376" s="225" t="s">
        <v>462</v>
      </c>
      <c r="C2376" s="234"/>
      <c r="D2376" s="234"/>
      <c r="E2376" s="234"/>
      <c r="F2376" s="234"/>
      <c r="G2376" s="234"/>
      <c r="H2376" s="234"/>
      <c r="I2376" s="235"/>
      <c r="J2376" s="235"/>
      <c r="K2376" s="235"/>
      <c r="L2376" s="235"/>
      <c r="M2376" s="235"/>
      <c r="N2376" s="235"/>
      <c r="P2376" s="230">
        <f t="shared" si="1081"/>
        <v>0</v>
      </c>
    </row>
    <row r="2377" spans="1:18" x14ac:dyDescent="0.2">
      <c r="B2377" s="225" t="s">
        <v>2037</v>
      </c>
      <c r="C2377" s="234"/>
      <c r="D2377" s="234"/>
      <c r="E2377" s="234"/>
      <c r="F2377" s="234"/>
      <c r="G2377" s="234"/>
      <c r="H2377" s="234"/>
      <c r="I2377" s="235"/>
      <c r="J2377" s="235"/>
      <c r="K2377" s="235"/>
      <c r="L2377" s="235"/>
      <c r="M2377" s="235"/>
      <c r="N2377" s="235"/>
      <c r="P2377" s="230">
        <f t="shared" si="1081"/>
        <v>0</v>
      </c>
    </row>
    <row r="2378" spans="1:18" x14ac:dyDescent="0.2">
      <c r="B2378" s="225" t="s">
        <v>2052</v>
      </c>
      <c r="C2378" s="234"/>
      <c r="D2378" s="234"/>
      <c r="E2378" s="234"/>
      <c r="F2378" s="234"/>
      <c r="G2378" s="234"/>
      <c r="H2378" s="234"/>
      <c r="I2378" s="235"/>
      <c r="J2378" s="235"/>
      <c r="K2378" s="235"/>
      <c r="L2378" s="235"/>
      <c r="M2378" s="235"/>
      <c r="N2378" s="235"/>
      <c r="P2378" s="230">
        <f t="shared" si="1081"/>
        <v>0</v>
      </c>
    </row>
    <row r="2379" spans="1:18" x14ac:dyDescent="0.2">
      <c r="B2379" s="225"/>
      <c r="C2379" s="225"/>
      <c r="D2379" s="225"/>
      <c r="E2379" s="225"/>
      <c r="F2379" s="225"/>
      <c r="G2379" s="225"/>
      <c r="H2379" s="201"/>
      <c r="I2379" s="226"/>
      <c r="J2379" s="226"/>
      <c r="K2379" s="226"/>
      <c r="L2379" s="226"/>
      <c r="M2379" s="226"/>
      <c r="N2379" s="226"/>
      <c r="P2379" s="230">
        <f t="shared" si="1081"/>
        <v>0</v>
      </c>
    </row>
    <row r="2380" spans="1:18" x14ac:dyDescent="0.2">
      <c r="B2380" s="288" t="s">
        <v>106</v>
      </c>
      <c r="C2380" s="290" t="s">
        <v>463</v>
      </c>
      <c r="D2380" s="288" t="s">
        <v>464</v>
      </c>
      <c r="E2380" s="288" t="s">
        <v>465</v>
      </c>
      <c r="F2380" s="288" t="s">
        <v>490</v>
      </c>
      <c r="G2380" s="288" t="s">
        <v>466</v>
      </c>
      <c r="H2380" s="292" t="s">
        <v>8</v>
      </c>
      <c r="I2380" s="294" t="s">
        <v>467</v>
      </c>
      <c r="J2380" s="295"/>
      <c r="K2380" s="295"/>
      <c r="L2380" s="296"/>
      <c r="M2380" s="297" t="s">
        <v>468</v>
      </c>
      <c r="N2380" s="299" t="s">
        <v>469</v>
      </c>
      <c r="P2380" s="230">
        <f t="shared" si="1081"/>
        <v>0</v>
      </c>
    </row>
    <row r="2381" spans="1:18" x14ac:dyDescent="0.2">
      <c r="B2381" s="289"/>
      <c r="C2381" s="291"/>
      <c r="D2381" s="289"/>
      <c r="E2381" s="289"/>
      <c r="F2381" s="289"/>
      <c r="G2381" s="289"/>
      <c r="H2381" s="293"/>
      <c r="I2381" s="236" t="s">
        <v>470</v>
      </c>
      <c r="J2381" s="236" t="s">
        <v>471</v>
      </c>
      <c r="K2381" s="236" t="s">
        <v>472</v>
      </c>
      <c r="L2381" s="236" t="s">
        <v>473</v>
      </c>
      <c r="M2381" s="298"/>
      <c r="N2381" s="300"/>
      <c r="P2381" s="230">
        <f t="shared" si="1081"/>
        <v>0</v>
      </c>
    </row>
    <row r="2382" spans="1:18" x14ac:dyDescent="0.2">
      <c r="A2382" s="224" t="str">
        <f>CONCATENATE("Лот"," ",A2383)</f>
        <v>Лот 44</v>
      </c>
      <c r="B2382" s="273" t="s">
        <v>2087</v>
      </c>
      <c r="C2382" s="274"/>
      <c r="D2382" s="274"/>
      <c r="E2382" s="274"/>
      <c r="F2382" s="274"/>
      <c r="G2382" s="275"/>
      <c r="H2382" s="238" t="s">
        <v>17</v>
      </c>
      <c r="I2382" s="270">
        <f ca="1">ROUND(VLOOKUP($H2382,$AJ$4:$AN$13,2,0)*$Q2384*1.51,2)</f>
        <v>114.43</v>
      </c>
      <c r="J2382" s="270">
        <f ca="1">ROUND(VLOOKUP($H2382,$AJ$4:$AN$13,3,0)*$Q2384*1.51,2)</f>
        <v>81.540000000000006</v>
      </c>
      <c r="K2382" s="270">
        <f ca="1">ROUND(VLOOKUP($H2382,$AJ$4:$AN$13,4,0)*$Q2384*1.51,2)</f>
        <v>41.31</v>
      </c>
      <c r="L2382" s="270"/>
      <c r="M2382" s="270">
        <f ca="1">ROUND(VLOOKUP($H2382,$AJ$4:$AN$13,5,0)*$Q2384*1.51,2)</f>
        <v>6.52</v>
      </c>
      <c r="N2382" s="270"/>
      <c r="P2382" s="230">
        <f t="shared" si="1081"/>
        <v>1</v>
      </c>
    </row>
    <row r="2383" spans="1:18" x14ac:dyDescent="0.2">
      <c r="A2383" s="224">
        <f>A2328+1</f>
        <v>44</v>
      </c>
      <c r="B2383" s="276"/>
      <c r="C2383" s="277"/>
      <c r="D2383" s="277"/>
      <c r="E2383" s="277"/>
      <c r="F2383" s="277"/>
      <c r="G2383" s="278"/>
      <c r="H2383" s="238" t="s">
        <v>25</v>
      </c>
      <c r="I2383" s="270">
        <f ca="1">ROUND(VLOOKUP($H2383,$AJ$4:$AN$13,2,0)*$Q2384*1.51,2)</f>
        <v>855.9</v>
      </c>
      <c r="J2383" s="270">
        <f ca="1">ROUND(VLOOKUP($H2383,$AJ$4:$AN$13,3,0)*$Q2384*1.51,2)</f>
        <v>611.54999999999995</v>
      </c>
      <c r="K2383" s="270">
        <f ca="1">ROUND(VLOOKUP($H2383,$AJ$4:$AN$13,4,0)*$Q2384*1.51,2)</f>
        <v>307.68</v>
      </c>
      <c r="L2383" s="270"/>
      <c r="M2383" s="270">
        <f ca="1">ROUND(VLOOKUP($H2383,$AJ$4:$AN$13,5,0)*$Q2384*1.51,2)</f>
        <v>26.64</v>
      </c>
      <c r="N2383" s="270"/>
      <c r="P2383" s="230">
        <f t="shared" si="1081"/>
        <v>1</v>
      </c>
      <c r="Q2383" s="240" t="s">
        <v>2045</v>
      </c>
      <c r="R2383" s="240" t="s">
        <v>2046</v>
      </c>
    </row>
    <row r="2384" spans="1:18" x14ac:dyDescent="0.2">
      <c r="B2384" s="276"/>
      <c r="C2384" s="277"/>
      <c r="D2384" s="277"/>
      <c r="E2384" s="277"/>
      <c r="F2384" s="277"/>
      <c r="G2384" s="278"/>
      <c r="H2384" s="238" t="s">
        <v>19</v>
      </c>
      <c r="I2384" s="270">
        <f ca="1">ROUND(VLOOKUP($H2384,$AJ$4:$AN$13,2,0)*$Q2384*1.51,2)</f>
        <v>67.95</v>
      </c>
      <c r="J2384" s="270">
        <f ca="1">ROUND(VLOOKUP($H2384,$AJ$4:$AN$13,3,0)*$Q2384*1.51,2)</f>
        <v>49.47</v>
      </c>
      <c r="K2384" s="270">
        <f ca="1">ROUND(VLOOKUP($H2384,$AJ$4:$AN$13,4,0)*$Q2384*1.51,2)</f>
        <v>25.28</v>
      </c>
      <c r="L2384" s="270"/>
      <c r="M2384" s="270">
        <f ca="1">ROUND(VLOOKUP($H2384,$AJ$4:$AN$13,5,0)*$Q2384*1.51,2)</f>
        <v>1.36</v>
      </c>
      <c r="N2384" s="270"/>
      <c r="P2384" s="230">
        <f t="shared" si="1081"/>
        <v>0</v>
      </c>
      <c r="Q2384" s="123">
        <f ca="1">IFERROR(IF(R2384="","",IF(OR(R2384&lt;100,R2384=100),0.9,IF(OR(AND(R2384&gt;100,R2384&lt;150),R2384=150),1,IF(R2384&gt;150,1.05,"")))),"0")</f>
        <v>1</v>
      </c>
      <c r="R2384" s="123">
        <f ca="1">N2400/G2388</f>
        <v>142.82499999999999</v>
      </c>
    </row>
    <row r="2385" spans="1:43" x14ac:dyDescent="0.2">
      <c r="B2385" s="276"/>
      <c r="C2385" s="277"/>
      <c r="D2385" s="277"/>
      <c r="E2385" s="277"/>
      <c r="F2385" s="277"/>
      <c r="G2385" s="278"/>
      <c r="H2385" s="238" t="s">
        <v>268</v>
      </c>
      <c r="I2385" s="270">
        <f ca="1">ROUND(VLOOKUP($H2385,$AJ$4:$AN$13,2,0)*$Q2384*1.51,2)</f>
        <v>855.9</v>
      </c>
      <c r="J2385" s="270">
        <f ca="1">ROUND(VLOOKUP($H2385,$AJ$4:$AN$13,3,0)*$Q2384*1.51,2)</f>
        <v>611.54999999999995</v>
      </c>
      <c r="K2385" s="270">
        <f ca="1">ROUND(VLOOKUP($H2385,$AJ$4:$AN$13,4,0)*$Q2384*1.51,2)</f>
        <v>307.68</v>
      </c>
      <c r="L2385" s="270"/>
      <c r="M2385" s="270">
        <f ca="1">ROUND(VLOOKUP($H2385,$AJ$4:$AN$13,5,0)*$Q2384*1.51,2)</f>
        <v>26.64</v>
      </c>
      <c r="N2385" s="270"/>
    </row>
    <row r="2386" spans="1:43" x14ac:dyDescent="0.2">
      <c r="B2386" s="276"/>
      <c r="C2386" s="277"/>
      <c r="D2386" s="277"/>
      <c r="E2386" s="277"/>
      <c r="F2386" s="277"/>
      <c r="G2386" s="278"/>
      <c r="H2386" s="238" t="s">
        <v>40</v>
      </c>
      <c r="I2386" s="270">
        <f ca="1">ROUND(VLOOKUP($H2386,$AJ$4:$AN$13,2,0)*$Q2384*1.51,2)</f>
        <v>67.95</v>
      </c>
      <c r="J2386" s="270">
        <f ca="1">ROUND(VLOOKUP($H2386,$AJ$4:$AN$13,3,0)*$Q2384*1.51,2)</f>
        <v>49.47</v>
      </c>
      <c r="K2386" s="270">
        <f ca="1">ROUND(VLOOKUP($H2386,$AJ$4:$AN$13,4,0)*$Q2384*1.51,2)</f>
        <v>25.28</v>
      </c>
      <c r="L2386" s="270"/>
      <c r="M2386" s="270">
        <f ca="1">ROUND(VLOOKUP($H2386,$AJ$4:$AN$13,5,0)*$Q2384*1.51,2)</f>
        <v>1.36</v>
      </c>
      <c r="N2386" s="270"/>
      <c r="P2386" s="230">
        <f t="shared" ref="P2386:P2399" si="1082">IF(A2386&gt;0,1,0)</f>
        <v>0</v>
      </c>
    </row>
    <row r="2387" spans="1:43" x14ac:dyDescent="0.2">
      <c r="B2387" s="279"/>
      <c r="C2387" s="280"/>
      <c r="D2387" s="280"/>
      <c r="E2387" s="280"/>
      <c r="F2387" s="280"/>
      <c r="G2387" s="281"/>
      <c r="H2387" s="238" t="s">
        <v>18</v>
      </c>
      <c r="I2387" s="270">
        <f ca="1">ROUND(VLOOKUP($H2387,$AJ$4:$AN$13,2,0)*$Q2384*1.51,2)</f>
        <v>21.74</v>
      </c>
      <c r="J2387" s="270">
        <f ca="1">ROUND(VLOOKUP($H2387,$AJ$4:$AN$13,3,0)*$Q2384*1.51,2)</f>
        <v>16.579999999999998</v>
      </c>
      <c r="K2387" s="270">
        <f ca="1">ROUND(VLOOKUP($H2387,$AJ$4:$AN$13,4,0)*$Q2384*1.51,2)</f>
        <v>8.43</v>
      </c>
      <c r="L2387" s="270"/>
      <c r="M2387" s="270">
        <f ca="1">ROUND(VLOOKUP($H2387,$AJ$4:$AN$13,5,0)*$Q2384*1.51*1,2)</f>
        <v>0.54</v>
      </c>
      <c r="N2387" s="270"/>
      <c r="P2387" s="230">
        <f t="shared" si="1082"/>
        <v>0</v>
      </c>
      <c r="AP2387" s="241" t="s">
        <v>2053</v>
      </c>
      <c r="AQ2387" s="242"/>
    </row>
    <row r="2388" spans="1:43" x14ac:dyDescent="0.2">
      <c r="A2388" s="224">
        <f>A2333+37</f>
        <v>1591</v>
      </c>
      <c r="B2388" s="243" t="str">
        <f ca="1">OFFSET(ЛОТЫ!$L$5,A2388,0,1,1)</f>
        <v>Тумбинское</v>
      </c>
      <c r="C2388" s="244" t="s">
        <v>474</v>
      </c>
      <c r="D2388" s="243">
        <f ca="1">OFFSET(ЛОТЫ!$M$5,A2388,0,1,1)</f>
        <v>4</v>
      </c>
      <c r="E2388" s="243">
        <f ca="1">OFFSET(ЛОТЫ!$N$5,A2388,0,1,1)</f>
        <v>1</v>
      </c>
      <c r="F2388" s="243">
        <f ca="1">OFFSET(ЛОТЫ!$O$5,A2388,0,1,1)</f>
        <v>1</v>
      </c>
      <c r="G2388" s="271">
        <f ca="1">IFERROR(INDEX('Ведомость расчета мин. платы'!$G$10:$AC$214,MATCH(CONCATENATE(B2388,"/",D2388,"/",E2388,"/",F2388),'Ведомость расчета мин. платы'!$AC$10:$AC$214,0),1),"")</f>
        <v>10</v>
      </c>
      <c r="H2388" s="246" t="s">
        <v>17</v>
      </c>
      <c r="I2388" s="247" t="str">
        <f ca="1">IFERROR(INDEX('Ведомость расчета мин. платы'!$J$10:$AE$214,MATCH(CONCATENATE(РАСЧЕТ!B2388,"/",РАСЧЕТ!D2388,"/",РАСЧЕТ!E2388,"/",F2388,"/",H2388),'Ведомость расчета мин. платы'!$AE$10:$AE$214,0),2),"")</f>
        <v/>
      </c>
      <c r="J2388" s="247" t="str">
        <f ca="1">IFERROR(INDEX('Ведомость расчета мин. платы'!$J$10:$AE$214,MATCH(CONCATENATE(РАСЧЕТ!B2388,"/",РАСЧЕТ!D2388,"/",РАСЧЕТ!E2388,"/",F2388,"/",H2388),'Ведомость расчета мин. платы'!$AE$10:$AE$214,0),3),"")</f>
        <v/>
      </c>
      <c r="K2388" s="247" t="str">
        <f ca="1">IFERROR(INDEX('Ведомость расчета мин. платы'!$J$10:$AE$214,MATCH(CONCATENATE(РАСЧЕТ!B2388,"/",РАСЧЕТ!D2388,"/",РАСЧЕТ!E2388,"/",F2388,"/",H2388),'Ведомость расчета мин. платы'!$AE$10:$AE$214,0),4),"")</f>
        <v/>
      </c>
      <c r="L2388" s="248">
        <f t="shared" ref="L2388:L2400" ca="1" si="1083">IFERROR(SUM(I2388:K2388),"")</f>
        <v>0</v>
      </c>
      <c r="M2388" s="214" t="str">
        <f ca="1">IFERROR(INDEX('Ведомость расчета мин. платы'!$J$10:$AE$214,MATCH(CONCATENATE(РАСЧЕТ!B2388,"/",РАСЧЕТ!D2388,"/",РАСЧЕТ!E2388,"/",F2388,"/",H2388),'Ведомость расчета мин. платы'!$AE$10:$AE$214,0),6),"")</f>
        <v/>
      </c>
      <c r="N2388" s="214">
        <f t="shared" ref="N2388:N2400" ca="1" si="1084">IFERROR(SUM(L2388:M2388),"")</f>
        <v>0</v>
      </c>
      <c r="O2388" s="229">
        <f>IF(H2388="стоимость","",1)</f>
        <v>1</v>
      </c>
      <c r="P2388" s="230">
        <f t="shared" si="1082"/>
        <v>1</v>
      </c>
      <c r="AP2388" s="242"/>
      <c r="AQ2388" s="242"/>
    </row>
    <row r="2389" spans="1:43" x14ac:dyDescent="0.2">
      <c r="B2389" s="249"/>
      <c r="C2389" s="249"/>
      <c r="D2389" s="249"/>
      <c r="E2389" s="249"/>
      <c r="F2389" s="249"/>
      <c r="G2389" s="249"/>
      <c r="H2389" s="250" t="s">
        <v>475</v>
      </c>
      <c r="I2389" s="251" t="str">
        <f ca="1">IFERROR(ROUND(I2388*I2382,2),"")</f>
        <v/>
      </c>
      <c r="J2389" s="251" t="str">
        <f t="shared" ref="J2389" ca="1" si="1085">IFERROR(ROUND(J2388*J2382,2),"")</f>
        <v/>
      </c>
      <c r="K2389" s="251" t="str">
        <f t="shared" ref="K2389" ca="1" si="1086">IFERROR(ROUND(K2388*K2382,2),"")</f>
        <v/>
      </c>
      <c r="L2389" s="251">
        <f t="shared" ca="1" si="1083"/>
        <v>0</v>
      </c>
      <c r="M2389" s="251" t="str">
        <f t="shared" ref="M2389" ca="1" si="1087">IFERROR(ROUND(M2388*M2382,2),"")</f>
        <v/>
      </c>
      <c r="N2389" s="252">
        <f t="shared" ca="1" si="1084"/>
        <v>0</v>
      </c>
      <c r="O2389" s="229" t="str">
        <f t="shared" ref="O2389:O2399" si="1088">IF(H2389="стоимость","",1)</f>
        <v/>
      </c>
      <c r="P2389" s="230">
        <f t="shared" si="1082"/>
        <v>0</v>
      </c>
      <c r="AP2389" s="242">
        <f ca="1">SUMIFS('Ведомость расчета мин. платы'!$S$10:$S$209,'Ведомость расчета мин. платы'!$AE$10:$AE$209,CONCATENATE(B2388,"/",D2388,"/",E2388,"/",F2388,"/",H2388))</f>
        <v>0</v>
      </c>
      <c r="AQ2389" s="253">
        <f t="shared" ref="AQ2389" ca="1" si="1089">AP2389-N2389</f>
        <v>0</v>
      </c>
    </row>
    <row r="2390" spans="1:43" x14ac:dyDescent="0.2">
      <c r="B2390" s="249"/>
      <c r="C2390" s="249"/>
      <c r="D2390" s="249"/>
      <c r="E2390" s="249"/>
      <c r="F2390" s="249"/>
      <c r="G2390" s="249"/>
      <c r="H2390" s="246" t="s">
        <v>25</v>
      </c>
      <c r="I2390" s="247" t="str">
        <f ca="1">IFERROR(INDEX('Ведомость расчета мин. платы'!$J$10:$AE$214,MATCH(CONCATENATE(РАСЧЕТ!B2388,"/",РАСЧЕТ!D2388,"/",РАСЧЕТ!E2388,"/",F2388,"/",H2390),'Ведомость расчета мин. платы'!$AE$10:$AE$214,0),2),"")</f>
        <v/>
      </c>
      <c r="J2390" s="247" t="str">
        <f ca="1">IFERROR(INDEX('Ведомость расчета мин. платы'!$J$10:$AE$214,MATCH(CONCATENATE(РАСЧЕТ!B2388,"/",РАСЧЕТ!D2388,"/",РАСЧЕТ!E2388,"/",F2388,"/",H2390),'Ведомость расчета мин. платы'!$AE$10:$AE$214,0),3),"")</f>
        <v/>
      </c>
      <c r="K2390" s="247" t="str">
        <f ca="1">IFERROR(INDEX('Ведомость расчета мин. платы'!$J$10:$AE$214,MATCH(CONCATENATE(РАСЧЕТ!B2388,"/",РАСЧЕТ!D2388,"/",РАСЧЕТ!E2388,"/",F2388,"/",H2390),'Ведомость расчета мин. платы'!$AE$10:$AE$214,0),4),"")</f>
        <v/>
      </c>
      <c r="L2390" s="248">
        <f t="shared" ca="1" si="1083"/>
        <v>0</v>
      </c>
      <c r="M2390" s="214" t="str">
        <f ca="1">IFERROR(INDEX('Ведомость расчета мин. платы'!$J$10:$AE$214,MATCH(CONCATENATE(РАСЧЕТ!B2388,"/",РАСЧЕТ!D2388,"/",РАСЧЕТ!E2388,"/",F2388,"/",H2390),'Ведомость расчета мин. платы'!$AE$10:$AE$214,0),6),"")</f>
        <v/>
      </c>
      <c r="N2390" s="214">
        <f t="shared" ca="1" si="1084"/>
        <v>0</v>
      </c>
      <c r="O2390" s="229">
        <f t="shared" si="1088"/>
        <v>1</v>
      </c>
      <c r="P2390" s="230">
        <f t="shared" si="1082"/>
        <v>0</v>
      </c>
      <c r="AP2390" s="242"/>
      <c r="AQ2390" s="253"/>
    </row>
    <row r="2391" spans="1:43" x14ac:dyDescent="0.2">
      <c r="B2391" s="249"/>
      <c r="C2391" s="249"/>
      <c r="D2391" s="249"/>
      <c r="E2391" s="249"/>
      <c r="F2391" s="249"/>
      <c r="G2391" s="249"/>
      <c r="H2391" s="250" t="s">
        <v>475</v>
      </c>
      <c r="I2391" s="251" t="str">
        <f ca="1">IFERROR(ROUND(I2390*I2383,2),"")</f>
        <v/>
      </c>
      <c r="J2391" s="251" t="str">
        <f t="shared" ref="J2391" ca="1" si="1090">IFERROR(ROUND(J2390*J2383,2),"")</f>
        <v/>
      </c>
      <c r="K2391" s="251" t="str">
        <f t="shared" ref="K2391" ca="1" si="1091">IFERROR(ROUND(K2390*K2383,2),"")</f>
        <v/>
      </c>
      <c r="L2391" s="251">
        <f t="shared" ca="1" si="1083"/>
        <v>0</v>
      </c>
      <c r="M2391" s="251" t="str">
        <f t="shared" ref="M2391" ca="1" si="1092">IFERROR(ROUND(M2390*M2383,2),"")</f>
        <v/>
      </c>
      <c r="N2391" s="252">
        <f t="shared" ca="1" si="1084"/>
        <v>0</v>
      </c>
      <c r="O2391" s="229" t="str">
        <f t="shared" si="1088"/>
        <v/>
      </c>
      <c r="P2391" s="230">
        <f t="shared" si="1082"/>
        <v>0</v>
      </c>
      <c r="AP2391" s="242">
        <f ca="1">SUMIFS('Ведомость расчета мин. платы'!$S$10:$S$209,'Ведомость расчета мин. платы'!$AE$10:$AE$209,CONCATENATE(B2388,"/",D2388,"/",E2388,"/",F2388,"/",H2390))</f>
        <v>0</v>
      </c>
      <c r="AQ2391" s="253">
        <f t="shared" ref="AQ2391" ca="1" si="1093">AP2391-N2391</f>
        <v>0</v>
      </c>
    </row>
    <row r="2392" spans="1:43" x14ac:dyDescent="0.2">
      <c r="B2392" s="249"/>
      <c r="C2392" s="249"/>
      <c r="D2392" s="249"/>
      <c r="E2392" s="249"/>
      <c r="F2392" s="249"/>
      <c r="G2392" s="249"/>
      <c r="H2392" s="205" t="s">
        <v>19</v>
      </c>
      <c r="I2392" s="248">
        <f ca="1">IFERROR(INDEX('Ведомость расчета мин. платы'!$J$10:$AE$214,MATCH(CONCATENATE(РАСЧЕТ!B2388,"/",РАСЧЕТ!D2388,"/",РАСЧЕТ!E2388,"/",F2388,"/",H2392),'Ведомость расчета мин. платы'!$AE$10:$AE$214,0),2),"")</f>
        <v>44.66</v>
      </c>
      <c r="J2392" s="248">
        <f ca="1">IFERROR(INDEX('Ведомость расчета мин. платы'!$J$10:$AE$214,MATCH(CONCATENATE(РАСЧЕТ!B2388,"/",РАСЧЕТ!D2388,"/",РАСЧЕТ!E2388,"/",F2388,"/",H2392),'Ведомость расчета мин. платы'!$AE$10:$AE$214,0),3),"")</f>
        <v>235.73</v>
      </c>
      <c r="K2392" s="248">
        <f ca="1">IFERROR(INDEX('Ведомость расчета мин. платы'!$J$10:$AE$214,MATCH(CONCATENATE(РАСЧЕТ!B2388,"/",РАСЧЕТ!D2388,"/",РАСЧЕТ!E2388,"/",F2388,"/",H2392),'Ведомость расчета мин. платы'!$AE$10:$AE$214,0),4),"")</f>
        <v>27.43</v>
      </c>
      <c r="L2392" s="248">
        <f t="shared" ca="1" si="1083"/>
        <v>307.82</v>
      </c>
      <c r="M2392" s="248">
        <f ca="1">IFERROR(INDEX('Ведомость расчета мин. платы'!$J$10:$AE$214,MATCH(CONCATENATE(РАСЧЕТ!B2388,"/",РАСЧЕТ!D2388,"/",РАСЧЕТ!E2388,"/",F2388,"/",H2392),'Ведомость расчета мин. платы'!$AE$10:$AE$214,0),6),"")</f>
        <v>809.53</v>
      </c>
      <c r="N2392" s="214">
        <f t="shared" ca="1" si="1084"/>
        <v>1117.3499999999999</v>
      </c>
      <c r="O2392" s="229">
        <f t="shared" si="1088"/>
        <v>1</v>
      </c>
      <c r="P2392" s="230">
        <f t="shared" si="1082"/>
        <v>0</v>
      </c>
      <c r="AP2392" s="242"/>
      <c r="AQ2392" s="253"/>
    </row>
    <row r="2393" spans="1:43" x14ac:dyDescent="0.2">
      <c r="B2393" s="249"/>
      <c r="C2393" s="249"/>
      <c r="D2393" s="249"/>
      <c r="E2393" s="249"/>
      <c r="F2393" s="249"/>
      <c r="G2393" s="249"/>
      <c r="H2393" s="250" t="s">
        <v>475</v>
      </c>
      <c r="I2393" s="251">
        <f ca="1">IFERROR(ROUND(I2392*I2384,2),"")</f>
        <v>3034.65</v>
      </c>
      <c r="J2393" s="251">
        <f t="shared" ref="J2393" ca="1" si="1094">IFERROR(ROUND(J2392*J2384,2),"")</f>
        <v>11661.56</v>
      </c>
      <c r="K2393" s="251">
        <f t="shared" ref="K2393" ca="1" si="1095">IFERROR(ROUND(K2392*K2384,2),"")</f>
        <v>693.43</v>
      </c>
      <c r="L2393" s="251">
        <f t="shared" ca="1" si="1083"/>
        <v>15389.64</v>
      </c>
      <c r="M2393" s="251">
        <f t="shared" ref="M2393" ca="1" si="1096">IFERROR(ROUND(M2392*M2384,2),"")</f>
        <v>1100.96</v>
      </c>
      <c r="N2393" s="252">
        <f t="shared" ca="1" si="1084"/>
        <v>16490.599999999999</v>
      </c>
      <c r="O2393" s="229" t="str">
        <f t="shared" si="1088"/>
        <v/>
      </c>
      <c r="P2393" s="230">
        <f t="shared" si="1082"/>
        <v>0</v>
      </c>
      <c r="AP2393" s="242">
        <f ca="1">SUMIFS('Ведомость расчета мин. платы'!$S$10:$S$209,'Ведомость расчета мин. платы'!$AE$10:$AE$209,CONCATENATE(B2388,"/",D2388,"/",E2388,"/",F2388,"/",H2392))</f>
        <v>16490.599999999999</v>
      </c>
      <c r="AQ2393" s="253">
        <f t="shared" ref="AQ2393" ca="1" si="1097">AP2393-N2393</f>
        <v>0</v>
      </c>
    </row>
    <row r="2394" spans="1:43" x14ac:dyDescent="0.2">
      <c r="B2394" s="249"/>
      <c r="C2394" s="249"/>
      <c r="D2394" s="249"/>
      <c r="E2394" s="249"/>
      <c r="F2394" s="249"/>
      <c r="G2394" s="249"/>
      <c r="H2394" s="205" t="s">
        <v>268</v>
      </c>
      <c r="I2394" s="248" t="str">
        <f ca="1">IFERROR(INDEX('Ведомость расчета мин. платы'!$J$10:$AE$214,MATCH(CONCATENATE(РАСЧЕТ!B2388,"/",РАСЧЕТ!D2388,"/",РАСЧЕТ!E2388,"/",F2388,"/",H2394),'Ведомость расчета мин. платы'!$AE$10:$AE$214,0),2),"")</f>
        <v/>
      </c>
      <c r="J2394" s="248" t="str">
        <f ca="1">IFERROR(INDEX('Ведомость расчета мин. платы'!$J$10:$AE$214,MATCH(CONCATENATE(РАСЧЕТ!B2388,"/",РАСЧЕТ!D2388,"/",РАСЧЕТ!E2388,"/",F2388,"/",H2394),'Ведомость расчета мин. платы'!$AE$10:$AE$214,0),3),"")</f>
        <v/>
      </c>
      <c r="K2394" s="248" t="str">
        <f ca="1">IFERROR(INDEX('Ведомость расчета мин. платы'!$J$10:$AE$214,MATCH(CONCATENATE(РАСЧЕТ!B2388,"/",РАСЧЕТ!D2388,"/",РАСЧЕТ!E2388,"/",F2388,"/",H2394),'Ведомость расчета мин. платы'!$AE$10:$AE$214,0),4),"")</f>
        <v/>
      </c>
      <c r="L2394" s="248">
        <f t="shared" ca="1" si="1083"/>
        <v>0</v>
      </c>
      <c r="M2394" s="248" t="str">
        <f ca="1">IFERROR(INDEX('Ведомость расчета мин. платы'!$J$10:$AE$214,MATCH(CONCATENATE(РАСЧЕТ!B2388,"/",РАСЧЕТ!D2388,"/",РАСЧЕТ!E2388,"/",F2388,"/",H2394),'Ведомость расчета мин. платы'!$AE$10:$AE$214,0),6),"")</f>
        <v/>
      </c>
      <c r="N2394" s="214">
        <f t="shared" ca="1" si="1084"/>
        <v>0</v>
      </c>
      <c r="O2394" s="229">
        <f t="shared" si="1088"/>
        <v>1</v>
      </c>
      <c r="P2394" s="230">
        <f t="shared" si="1082"/>
        <v>0</v>
      </c>
      <c r="AP2394" s="242"/>
      <c r="AQ2394" s="253"/>
    </row>
    <row r="2395" spans="1:43" x14ac:dyDescent="0.2">
      <c r="B2395" s="249"/>
      <c r="C2395" s="249"/>
      <c r="D2395" s="249"/>
      <c r="E2395" s="249"/>
      <c r="F2395" s="249"/>
      <c r="G2395" s="249"/>
      <c r="H2395" s="250" t="s">
        <v>475</v>
      </c>
      <c r="I2395" s="251" t="str">
        <f ca="1">IFERROR(ROUND(I2394*I2387,2),"")</f>
        <v/>
      </c>
      <c r="J2395" s="251" t="str">
        <f ca="1">IFERROR(ROUND(J2394*J2385,2),"")</f>
        <v/>
      </c>
      <c r="K2395" s="251" t="str">
        <f ca="1">IFERROR(ROUND(K2394*K2385,2),"")</f>
        <v/>
      </c>
      <c r="L2395" s="251">
        <f t="shared" ca="1" si="1083"/>
        <v>0</v>
      </c>
      <c r="M2395" s="251" t="str">
        <f ca="1">IFERROR(ROUND(M2394*M2385,2),"")</f>
        <v/>
      </c>
      <c r="N2395" s="252">
        <f t="shared" ca="1" si="1084"/>
        <v>0</v>
      </c>
      <c r="O2395" s="229" t="str">
        <f t="shared" si="1088"/>
        <v/>
      </c>
      <c r="P2395" s="230">
        <f t="shared" si="1082"/>
        <v>0</v>
      </c>
      <c r="AP2395" s="242">
        <f ca="1">SUMIFS('Ведомость расчета мин. платы'!$S$10:$S$209,'Ведомость расчета мин. платы'!$AE$10:$AE$209,CONCATENATE(B2388,"/",D2388,"/",E2388,"/",F2388,"/",H2394))</f>
        <v>0</v>
      </c>
      <c r="AQ2395" s="253">
        <f t="shared" ref="AQ2395" ca="1" si="1098">AP2395-N2395</f>
        <v>0</v>
      </c>
    </row>
    <row r="2396" spans="1:43" x14ac:dyDescent="0.2">
      <c r="B2396" s="249"/>
      <c r="C2396" s="249"/>
      <c r="D2396" s="249"/>
      <c r="E2396" s="249"/>
      <c r="F2396" s="249"/>
      <c r="G2396" s="249"/>
      <c r="H2396" s="205" t="s">
        <v>40</v>
      </c>
      <c r="I2396" s="248" t="str">
        <f ca="1">IFERROR(INDEX('Ведомость расчета мин. платы'!$J$10:$AE$214,MATCH(CONCATENATE(РАСЧЕТ!B2388,"/",РАСЧЕТ!D2388,"/",РАСЧЕТ!E2388,"/",F2388,"/",H2396),'Ведомость расчета мин. платы'!$AE$10:$AE$214,0),2),"")</f>
        <v/>
      </c>
      <c r="J2396" s="248" t="str">
        <f ca="1">IFERROR(INDEX('Ведомость расчета мин. платы'!$J$10:$AE$214,MATCH(CONCATENATE(РАСЧЕТ!B2388,"/",РАСЧЕТ!D2388,"/",РАСЧЕТ!E2388,"/",F2388,"/",H2396),'Ведомость расчета мин. платы'!$AE$10:$AE$214,0),3),"")</f>
        <v/>
      </c>
      <c r="K2396" s="248" t="str">
        <f ca="1">IFERROR(INDEX('Ведомость расчета мин. платы'!$J$10:$AE$214,MATCH(CONCATENATE(РАСЧЕТ!B2388,"/",РАСЧЕТ!D2388,"/",РАСЧЕТ!E2388,"/",F2388,"/",H2396),'Ведомость расчета мин. платы'!$AE$10:$AE$214,0),4),"")</f>
        <v/>
      </c>
      <c r="L2396" s="248">
        <f t="shared" ca="1" si="1083"/>
        <v>0</v>
      </c>
      <c r="M2396" s="248" t="str">
        <f ca="1">IFERROR(INDEX('Ведомость расчета мин. платы'!$J$10:$AE$214,MATCH(CONCATENATE(РАСЧЕТ!B2388,"/",РАСЧЕТ!D2388,"/",РАСЧЕТ!E2388,"/",F2388,"/",H2396),'Ведомость расчета мин. платы'!$AE$10:$AE$214,0),6),"")</f>
        <v/>
      </c>
      <c r="N2396" s="214">
        <f t="shared" ca="1" si="1084"/>
        <v>0</v>
      </c>
      <c r="O2396" s="229">
        <f t="shared" si="1088"/>
        <v>1</v>
      </c>
      <c r="P2396" s="230">
        <f t="shared" si="1082"/>
        <v>0</v>
      </c>
      <c r="AP2396" s="242"/>
      <c r="AQ2396" s="253"/>
    </row>
    <row r="2397" spans="1:43" x14ac:dyDescent="0.2">
      <c r="B2397" s="249"/>
      <c r="C2397" s="249"/>
      <c r="D2397" s="249"/>
      <c r="E2397" s="249"/>
      <c r="F2397" s="249"/>
      <c r="G2397" s="249"/>
      <c r="H2397" s="250" t="s">
        <v>475</v>
      </c>
      <c r="I2397" s="251" t="str">
        <f ca="1">IFERROR(ROUND(I2396*I2386,2),"")</f>
        <v/>
      </c>
      <c r="J2397" s="251" t="str">
        <f t="shared" ref="J2397" ca="1" si="1099">IFERROR(ROUND(J2396*J2386,2),"")</f>
        <v/>
      </c>
      <c r="K2397" s="251" t="str">
        <f t="shared" ref="K2397" ca="1" si="1100">IFERROR(ROUND(K2396*K2386,2),"")</f>
        <v/>
      </c>
      <c r="L2397" s="251">
        <f t="shared" ca="1" si="1083"/>
        <v>0</v>
      </c>
      <c r="M2397" s="251" t="str">
        <f t="shared" ref="M2397" ca="1" si="1101">IFERROR(ROUND(M2396*M2386,2),"")</f>
        <v/>
      </c>
      <c r="N2397" s="252">
        <f t="shared" ca="1" si="1084"/>
        <v>0</v>
      </c>
      <c r="O2397" s="229" t="str">
        <f t="shared" si="1088"/>
        <v/>
      </c>
      <c r="P2397" s="230">
        <f t="shared" si="1082"/>
        <v>0</v>
      </c>
      <c r="AP2397" s="242">
        <f ca="1">SUMIFS('Ведомость расчета мин. платы'!$S$10:$S$209,'Ведомость расчета мин. платы'!$AE$10:$AE$209,CONCATENATE(B2388,"/",D2388,"/",E2388,"/",F2388,"/",H2396))</f>
        <v>0</v>
      </c>
      <c r="AQ2397" s="253">
        <f t="shared" ref="AQ2397" ca="1" si="1102">AP2397-N2397</f>
        <v>0</v>
      </c>
    </row>
    <row r="2398" spans="1:43" x14ac:dyDescent="0.2">
      <c r="B2398" s="249"/>
      <c r="C2398" s="249"/>
      <c r="D2398" s="249"/>
      <c r="E2398" s="249"/>
      <c r="F2398" s="249"/>
      <c r="G2398" s="249"/>
      <c r="H2398" s="205" t="s">
        <v>18</v>
      </c>
      <c r="I2398" s="248">
        <f ca="1">IFERROR(INDEX('Ведомость расчета мин. платы'!$J$10:$AE$214,MATCH(CONCATENATE(РАСЧЕТ!B2388,"/",РАСЧЕТ!D2388,"/",РАСЧЕТ!E2388,"/",F2388,"/",H2398),'Ведомость расчета мин. платы'!$AE$10:$AE$214,0),2),"")</f>
        <v>83.9</v>
      </c>
      <c r="J2398" s="248">
        <f ca="1">IFERROR(INDEX('Ведомость расчета мин. платы'!$J$10:$AE$214,MATCH(CONCATENATE(РАСЧЕТ!B2388,"/",РАСЧЕТ!D2388,"/",РАСЧЕТ!E2388,"/",F2388,"/",H2398),'Ведомость расчета мин. платы'!$AE$10:$AE$214,0),3),"")</f>
        <v>64.900000000000006</v>
      </c>
      <c r="K2398" s="248">
        <f ca="1">IFERROR(INDEX('Ведомость расчета мин. платы'!$J$10:$AE$214,MATCH(CONCATENATE(РАСЧЕТ!B2388,"/",РАСЧЕТ!D2388,"/",РАСЧЕТ!E2388,"/",F2388,"/",H2398),'Ведомость расчета мин. платы'!$AE$10:$AE$214,0),4),"")</f>
        <v>0</v>
      </c>
      <c r="L2398" s="248">
        <f t="shared" ca="1" si="1083"/>
        <v>148.80000000000001</v>
      </c>
      <c r="M2398" s="248">
        <f ca="1">IFERROR(INDEX('Ведомость расчета мин. платы'!$J$10:$AE$214,MATCH(CONCATENATE(РАСЧЕТ!B2388,"/",РАСЧЕТ!D2388,"/",РАСЧЕТ!E2388,"/",F2388,"/",H2398),'Ведомость расчета мин. платы'!$AE$10:$AE$214,0),6),"")</f>
        <v>162.1</v>
      </c>
      <c r="N2398" s="214">
        <f t="shared" ca="1" si="1084"/>
        <v>310.89999999999998</v>
      </c>
      <c r="O2398" s="229">
        <f t="shared" si="1088"/>
        <v>1</v>
      </c>
      <c r="P2398" s="230">
        <f t="shared" si="1082"/>
        <v>0</v>
      </c>
      <c r="AP2398" s="242"/>
      <c r="AQ2398" s="253"/>
    </row>
    <row r="2399" spans="1:43" x14ac:dyDescent="0.2">
      <c r="B2399" s="249"/>
      <c r="C2399" s="249"/>
      <c r="D2399" s="249"/>
      <c r="E2399" s="249"/>
      <c r="F2399" s="249"/>
      <c r="G2399" s="249"/>
      <c r="H2399" s="250" t="s">
        <v>475</v>
      </c>
      <c r="I2399" s="251">
        <f ca="1">IFERROR(ROUND(I2398*I2387,2),"")</f>
        <v>1823.99</v>
      </c>
      <c r="J2399" s="251">
        <f t="shared" ref="J2399" ca="1" si="1103">IFERROR(ROUND(J2398*J2387,2),"")</f>
        <v>1076.04</v>
      </c>
      <c r="K2399" s="251">
        <f t="shared" ref="K2399" ca="1" si="1104">IFERROR(ROUND(K2398*K2387,2),"")</f>
        <v>0</v>
      </c>
      <c r="L2399" s="251">
        <f t="shared" ca="1" si="1083"/>
        <v>2900.0299999999997</v>
      </c>
      <c r="M2399" s="251">
        <f t="shared" ref="M2399" ca="1" si="1105">IFERROR(ROUND(M2398*M2387,2),"")</f>
        <v>87.53</v>
      </c>
      <c r="N2399" s="252">
        <f t="shared" ca="1" si="1084"/>
        <v>2987.56</v>
      </c>
      <c r="O2399" s="229" t="str">
        <f t="shared" si="1088"/>
        <v/>
      </c>
      <c r="P2399" s="230">
        <f t="shared" si="1082"/>
        <v>0</v>
      </c>
      <c r="AP2399" s="242">
        <f ca="1">SUMIFS('Ведомость расчета мин. платы'!$S$10:$S$209,'Ведомость расчета мин. платы'!$AE$10:$AE$209,CONCATENATE(B2388,"/",D2388,"/",E2388,"/",F2388,"/",H2398))</f>
        <v>2987.56</v>
      </c>
      <c r="AQ2399" s="253">
        <f t="shared" ref="AQ2399" ca="1" si="1106">AP2399-N2399</f>
        <v>0</v>
      </c>
    </row>
    <row r="2400" spans="1:43" x14ac:dyDescent="0.2">
      <c r="B2400" s="249"/>
      <c r="C2400" s="249"/>
      <c r="D2400" s="249"/>
      <c r="E2400" s="249"/>
      <c r="F2400" s="249"/>
      <c r="G2400" s="249"/>
      <c r="H2400" s="254" t="s">
        <v>476</v>
      </c>
      <c r="I2400" s="251">
        <f ca="1">SUMIF($O2388:$O2401,1,I2388:I2399)</f>
        <v>128.56</v>
      </c>
      <c r="J2400" s="251">
        <f ca="1">SUMIF($O2388:$O2401,1,J2388:J2399)</f>
        <v>300.63</v>
      </c>
      <c r="K2400" s="251">
        <f ca="1">SUMIF($O2388:$O2401,1,K2388:K2399)</f>
        <v>27.43</v>
      </c>
      <c r="L2400" s="251">
        <f t="shared" ca="1" si="1083"/>
        <v>456.62</v>
      </c>
      <c r="M2400" s="251">
        <f ca="1">SUMIF($O2388:$O2401,1,M2388:M2399)</f>
        <v>971.63</v>
      </c>
      <c r="N2400" s="252">
        <f t="shared" ca="1" si="1084"/>
        <v>1428.25</v>
      </c>
      <c r="AP2400" s="242"/>
      <c r="AQ2400" s="253"/>
    </row>
    <row r="2401" spans="2:43" x14ac:dyDescent="0.2">
      <c r="B2401" s="249"/>
      <c r="C2401" s="249"/>
      <c r="D2401" s="249"/>
      <c r="E2401" s="249"/>
      <c r="F2401" s="249"/>
      <c r="G2401" s="249"/>
      <c r="H2401" s="254" t="s">
        <v>491</v>
      </c>
      <c r="I2401" s="251">
        <f ca="1">SUMIF(H2388:H2399,"стоимость",I2388:I2399)</f>
        <v>4858.6400000000003</v>
      </c>
      <c r="J2401" s="251">
        <f ca="1">SUMIF(H2388:H2399,"стоимость",J2388:J2399)</f>
        <v>12737.599999999999</v>
      </c>
      <c r="K2401" s="251">
        <f ca="1">SUMIF(H2388:H2399,"стоимость",K2388:K2399)</f>
        <v>693.43</v>
      </c>
      <c r="L2401" s="251">
        <f ca="1">IFERROR(SUM(I2401:K2401),"")</f>
        <v>18289.669999999998</v>
      </c>
      <c r="M2401" s="251">
        <f ca="1">SUMIF(H2388:H2399,"стоимость",M2388:M2399)</f>
        <v>1188.49</v>
      </c>
      <c r="N2401" s="252">
        <f ca="1">IFERROR(SUM(L2401:M2401),"")</f>
        <v>19478.16</v>
      </c>
      <c r="AP2401" s="242">
        <f ca="1">SUMIFS('Ведомость расчета мин. платы'!$S$10:$S$209,'Ведомость расчета мин. платы'!$J$10:$J$209,"Итого",'Ведомость расчета мин. платы'!$AC$10:$AC$209,CONCATENATE(B2388,"/",D2388,"/",E2388,"/",F2388))</f>
        <v>19478.16</v>
      </c>
      <c r="AQ2401" s="253">
        <f ca="1">AP2401-N2401</f>
        <v>0</v>
      </c>
    </row>
    <row r="2402" spans="2:43" x14ac:dyDescent="0.2">
      <c r="B2402" s="255"/>
      <c r="C2402" s="255"/>
      <c r="D2402" s="255"/>
      <c r="E2402" s="255"/>
      <c r="F2402" s="255"/>
      <c r="G2402" s="256"/>
      <c r="H2402" s="257"/>
      <c r="I2402" s="258"/>
      <c r="J2402" s="258"/>
      <c r="K2402" s="258"/>
      <c r="L2402" s="258"/>
      <c r="M2402" s="258"/>
      <c r="N2402" s="258"/>
      <c r="P2402" s="230">
        <f t="shared" ref="P2402:P2420" si="1107">IF(A2402&gt;0,1,0)</f>
        <v>0</v>
      </c>
    </row>
    <row r="2403" spans="2:43" x14ac:dyDescent="0.2">
      <c r="B2403" s="282" t="s">
        <v>477</v>
      </c>
      <c r="C2403" s="282"/>
      <c r="D2403" s="282"/>
      <c r="E2403" s="282"/>
      <c r="F2403" s="259"/>
      <c r="G2403" s="225"/>
      <c r="H2403" s="201"/>
      <c r="I2403" s="226"/>
      <c r="J2403" s="258"/>
      <c r="K2403" s="258"/>
      <c r="L2403" s="258"/>
      <c r="M2403" s="258"/>
      <c r="N2403" s="258"/>
      <c r="P2403" s="230">
        <f t="shared" si="1107"/>
        <v>0</v>
      </c>
    </row>
    <row r="2404" spans="2:43" x14ac:dyDescent="0.2">
      <c r="B2404" s="283" t="s">
        <v>525</v>
      </c>
      <c r="C2404" s="283"/>
      <c r="D2404" s="283"/>
      <c r="E2404" s="283"/>
      <c r="F2404" s="283"/>
      <c r="G2404" s="283"/>
      <c r="H2404" s="283"/>
      <c r="I2404" s="283"/>
      <c r="J2404" s="261"/>
      <c r="K2404" s="261"/>
      <c r="L2404" s="261"/>
      <c r="M2404" s="261"/>
      <c r="N2404" s="261"/>
      <c r="P2404" s="230">
        <f t="shared" si="1107"/>
        <v>0</v>
      </c>
    </row>
    <row r="2405" spans="2:43" x14ac:dyDescent="0.2">
      <c r="B2405" s="284" t="s">
        <v>478</v>
      </c>
      <c r="C2405" s="284"/>
      <c r="D2405" s="284"/>
      <c r="E2405" s="284"/>
      <c r="F2405" s="284"/>
      <c r="G2405" s="284"/>
      <c r="H2405" s="284"/>
      <c r="I2405" s="284"/>
      <c r="J2405" s="258"/>
      <c r="K2405" s="258"/>
      <c r="L2405" s="258"/>
      <c r="M2405" s="258"/>
      <c r="N2405" s="258"/>
      <c r="P2405" s="230">
        <f t="shared" si="1107"/>
        <v>0</v>
      </c>
    </row>
    <row r="2406" spans="2:43" x14ac:dyDescent="0.2">
      <c r="B2406" s="284" t="s">
        <v>479</v>
      </c>
      <c r="C2406" s="284"/>
      <c r="D2406" s="284"/>
      <c r="E2406" s="284"/>
      <c r="F2406" s="284"/>
      <c r="G2406" s="284"/>
      <c r="H2406" s="284"/>
      <c r="I2406" s="284"/>
      <c r="J2406" s="258"/>
      <c r="K2406" s="258"/>
      <c r="L2406" s="258"/>
      <c r="M2406" s="258"/>
      <c r="N2406" s="258"/>
      <c r="P2406" s="230">
        <f t="shared" si="1107"/>
        <v>0</v>
      </c>
    </row>
    <row r="2407" spans="2:43" x14ac:dyDescent="0.2">
      <c r="B2407" s="284" t="s">
        <v>480</v>
      </c>
      <c r="C2407" s="284"/>
      <c r="D2407" s="284"/>
      <c r="E2407" s="284"/>
      <c r="F2407" s="284"/>
      <c r="G2407" s="284"/>
      <c r="H2407" s="284"/>
      <c r="I2407" s="284"/>
      <c r="J2407" s="258"/>
      <c r="K2407" s="258"/>
      <c r="L2407" s="258"/>
      <c r="M2407" s="258"/>
      <c r="N2407" s="258"/>
      <c r="P2407" s="230">
        <f t="shared" si="1107"/>
        <v>0</v>
      </c>
    </row>
    <row r="2408" spans="2:43" x14ac:dyDescent="0.2">
      <c r="B2408" s="284" t="s">
        <v>481</v>
      </c>
      <c r="C2408" s="284"/>
      <c r="D2408" s="284"/>
      <c r="E2408" s="284"/>
      <c r="F2408" s="284"/>
      <c r="G2408" s="284"/>
      <c r="H2408" s="284"/>
      <c r="I2408" s="284"/>
      <c r="J2408" s="226"/>
      <c r="K2408" s="226"/>
      <c r="L2408" s="226"/>
      <c r="M2408" s="226"/>
      <c r="N2408" s="226"/>
      <c r="P2408" s="230">
        <f t="shared" si="1107"/>
        <v>0</v>
      </c>
    </row>
    <row r="2409" spans="2:43" x14ac:dyDescent="0.2">
      <c r="B2409" s="284" t="s">
        <v>482</v>
      </c>
      <c r="C2409" s="284"/>
      <c r="D2409" s="284"/>
      <c r="E2409" s="284"/>
      <c r="F2409" s="284"/>
      <c r="G2409" s="284"/>
      <c r="H2409" s="284"/>
      <c r="I2409" s="284"/>
      <c r="J2409" s="226"/>
      <c r="K2409" s="226"/>
      <c r="L2409" s="226"/>
      <c r="M2409" s="226"/>
      <c r="N2409" s="226"/>
      <c r="P2409" s="230">
        <f t="shared" si="1107"/>
        <v>0</v>
      </c>
    </row>
    <row r="2410" spans="2:43" x14ac:dyDescent="0.2">
      <c r="B2410" s="284" t="s">
        <v>483</v>
      </c>
      <c r="C2410" s="284"/>
      <c r="D2410" s="284"/>
      <c r="E2410" s="284"/>
      <c r="F2410" s="284"/>
      <c r="G2410" s="284"/>
      <c r="H2410" s="284"/>
      <c r="I2410" s="284"/>
      <c r="J2410" s="226"/>
      <c r="K2410" s="226"/>
      <c r="L2410" s="226"/>
      <c r="M2410" s="226"/>
      <c r="N2410" s="226"/>
      <c r="P2410" s="230">
        <f t="shared" si="1107"/>
        <v>0</v>
      </c>
    </row>
    <row r="2411" spans="2:43" x14ac:dyDescent="0.2">
      <c r="B2411" s="284" t="s">
        <v>484</v>
      </c>
      <c r="C2411" s="284"/>
      <c r="D2411" s="284"/>
      <c r="E2411" s="284"/>
      <c r="F2411" s="284"/>
      <c r="G2411" s="284"/>
      <c r="H2411" s="284"/>
      <c r="I2411" s="284"/>
      <c r="J2411" s="226"/>
      <c r="K2411" s="226"/>
      <c r="L2411" s="226"/>
      <c r="M2411" s="226"/>
      <c r="N2411" s="226"/>
      <c r="P2411" s="230">
        <f t="shared" si="1107"/>
        <v>0</v>
      </c>
    </row>
    <row r="2412" spans="2:43" x14ac:dyDescent="0.2">
      <c r="B2412" s="264"/>
      <c r="C2412" s="264"/>
      <c r="D2412" s="264"/>
      <c r="E2412" s="264"/>
      <c r="F2412" s="264"/>
      <c r="G2412" s="264"/>
      <c r="H2412" s="264"/>
      <c r="I2412" s="265"/>
      <c r="J2412" s="226"/>
      <c r="K2412" s="226"/>
      <c r="L2412" s="226"/>
      <c r="M2412" s="226"/>
      <c r="N2412" s="226"/>
      <c r="P2412" s="230">
        <f t="shared" si="1107"/>
        <v>0</v>
      </c>
    </row>
    <row r="2413" spans="2:43" x14ac:dyDescent="0.2">
      <c r="B2413" s="225" t="s">
        <v>485</v>
      </c>
      <c r="C2413" s="225"/>
      <c r="D2413" s="225"/>
      <c r="E2413" s="225"/>
      <c r="F2413" s="225"/>
      <c r="G2413" s="225"/>
      <c r="H2413" s="201"/>
      <c r="I2413" s="226"/>
      <c r="J2413" s="226" t="s">
        <v>486</v>
      </c>
      <c r="K2413" s="226"/>
      <c r="L2413" s="226"/>
      <c r="M2413" s="226"/>
      <c r="N2413" s="226"/>
      <c r="P2413" s="230">
        <f t="shared" si="1107"/>
        <v>0</v>
      </c>
    </row>
    <row r="2414" spans="2:43" x14ac:dyDescent="0.2">
      <c r="B2414" s="266" t="s">
        <v>524</v>
      </c>
      <c r="C2414" s="266"/>
      <c r="D2414" s="225"/>
      <c r="E2414" s="225"/>
      <c r="F2414" s="225"/>
      <c r="G2414" s="225"/>
      <c r="H2414" s="201"/>
      <c r="I2414" s="226"/>
      <c r="J2414" s="267"/>
      <c r="K2414" s="267"/>
      <c r="L2414" s="267"/>
      <c r="M2414" s="226"/>
      <c r="N2414" s="226"/>
      <c r="P2414" s="230">
        <f t="shared" si="1107"/>
        <v>0</v>
      </c>
    </row>
    <row r="2415" spans="2:43" x14ac:dyDescent="0.2">
      <c r="B2415" s="268" t="s">
        <v>487</v>
      </c>
      <c r="C2415" s="225"/>
      <c r="D2415" s="225"/>
      <c r="E2415" s="225"/>
      <c r="F2415" s="225"/>
      <c r="G2415" s="225"/>
      <c r="H2415" s="201"/>
      <c r="I2415" s="226"/>
      <c r="J2415" s="226" t="s">
        <v>487</v>
      </c>
      <c r="K2415" s="226"/>
      <c r="L2415" s="226"/>
      <c r="M2415" s="226"/>
      <c r="N2415" s="226"/>
      <c r="P2415" s="230">
        <f t="shared" si="1107"/>
        <v>0</v>
      </c>
    </row>
    <row r="2416" spans="2:43" x14ac:dyDescent="0.2">
      <c r="B2416" s="225"/>
      <c r="C2416" s="225"/>
      <c r="D2416" s="225"/>
      <c r="E2416" s="225"/>
      <c r="F2416" s="225"/>
      <c r="G2416" s="225"/>
      <c r="H2416" s="201"/>
      <c r="I2416" s="226"/>
      <c r="J2416" s="226"/>
      <c r="K2416" s="226"/>
      <c r="L2416" s="226"/>
      <c r="M2416" s="226"/>
      <c r="N2416" s="226"/>
      <c r="P2416" s="230">
        <f t="shared" si="1107"/>
        <v>0</v>
      </c>
    </row>
    <row r="2417" spans="1:16" x14ac:dyDescent="0.2">
      <c r="B2417" s="266"/>
      <c r="C2417" s="266"/>
      <c r="D2417" s="225"/>
      <c r="E2417" s="225"/>
      <c r="F2417" s="225"/>
      <c r="G2417" s="225"/>
      <c r="H2417" s="201"/>
      <c r="I2417" s="226"/>
      <c r="J2417" s="267"/>
      <c r="K2417" s="267"/>
      <c r="L2417" s="267"/>
      <c r="M2417" s="226"/>
      <c r="N2417" s="226"/>
      <c r="P2417" s="230">
        <f t="shared" si="1107"/>
        <v>0</v>
      </c>
    </row>
    <row r="2418" spans="1:16" x14ac:dyDescent="0.2">
      <c r="B2418" s="269" t="s">
        <v>488</v>
      </c>
      <c r="C2418" s="225"/>
      <c r="D2418" s="225"/>
      <c r="E2418" s="225"/>
      <c r="F2418" s="225"/>
      <c r="G2418" s="225"/>
      <c r="H2418" s="201"/>
      <c r="I2418" s="226"/>
      <c r="J2418" s="285" t="s">
        <v>488</v>
      </c>
      <c r="K2418" s="285"/>
      <c r="L2418" s="285"/>
      <c r="M2418" s="226"/>
      <c r="N2418" s="226"/>
      <c r="P2418" s="230">
        <f t="shared" si="1107"/>
        <v>0</v>
      </c>
    </row>
    <row r="2419" spans="1:16" x14ac:dyDescent="0.2">
      <c r="B2419" s="225"/>
      <c r="C2419" s="225"/>
      <c r="D2419" s="225"/>
      <c r="E2419" s="225"/>
      <c r="F2419" s="225"/>
      <c r="G2419" s="225"/>
      <c r="H2419" s="201"/>
      <c r="I2419" s="226"/>
      <c r="J2419" s="226"/>
      <c r="K2419" s="226"/>
      <c r="L2419" s="226"/>
      <c r="M2419" s="226"/>
      <c r="N2419" s="226"/>
      <c r="P2419" s="230">
        <f t="shared" si="1107"/>
        <v>0</v>
      </c>
    </row>
    <row r="2420" spans="1:16" x14ac:dyDescent="0.2">
      <c r="B2420" s="264" t="s">
        <v>489</v>
      </c>
      <c r="C2420" s="225"/>
      <c r="D2420" s="225"/>
      <c r="E2420" s="225"/>
      <c r="F2420" s="225"/>
      <c r="G2420" s="225"/>
      <c r="H2420" s="201"/>
      <c r="I2420" s="226"/>
      <c r="J2420" s="226" t="s">
        <v>489</v>
      </c>
      <c r="K2420" s="226"/>
      <c r="L2420" s="226"/>
      <c r="M2420" s="226"/>
      <c r="N2420" s="226"/>
      <c r="P2420" s="230">
        <f t="shared" si="1107"/>
        <v>0</v>
      </c>
    </row>
    <row r="2421" spans="1:16" x14ac:dyDescent="0.2">
      <c r="A2421" s="272"/>
      <c r="B2421" s="225"/>
      <c r="C2421" s="225"/>
      <c r="D2421" s="225"/>
      <c r="E2421" s="225"/>
      <c r="F2421" s="225"/>
      <c r="G2421" s="225"/>
      <c r="H2421" s="201"/>
      <c r="I2421" s="226"/>
      <c r="J2421" s="226"/>
      <c r="K2421" s="226"/>
      <c r="M2421" s="226"/>
      <c r="N2421" s="228"/>
    </row>
    <row r="2422" spans="1:16" x14ac:dyDescent="0.2">
      <c r="A2422" s="260"/>
      <c r="B2422" s="225"/>
      <c r="C2422" s="225"/>
      <c r="D2422" s="225"/>
      <c r="E2422" s="225"/>
      <c r="F2422" s="225"/>
      <c r="G2422" s="225"/>
      <c r="H2422" s="201"/>
      <c r="I2422" s="226"/>
      <c r="J2422" s="226"/>
      <c r="K2422" s="226"/>
      <c r="M2422" s="226"/>
      <c r="N2422" s="228" t="s">
        <v>455</v>
      </c>
      <c r="P2422" s="230">
        <f t="shared" ref="P2422:P2439" si="1108">IF(A2422&gt;0,1,0)</f>
        <v>0</v>
      </c>
    </row>
    <row r="2423" spans="1:16" x14ac:dyDescent="0.2">
      <c r="B2423" s="225"/>
      <c r="C2423" s="225"/>
      <c r="D2423" s="225"/>
      <c r="E2423" s="225"/>
      <c r="F2423" s="225"/>
      <c r="G2423" s="225"/>
      <c r="H2423" s="201"/>
      <c r="I2423" s="226"/>
      <c r="J2423" s="226"/>
      <c r="K2423" s="226"/>
      <c r="M2423" s="226"/>
      <c r="N2423" s="228" t="s">
        <v>456</v>
      </c>
      <c r="P2423" s="230">
        <f t="shared" si="1108"/>
        <v>0</v>
      </c>
    </row>
    <row r="2424" spans="1:16" x14ac:dyDescent="0.2">
      <c r="B2424" s="225"/>
      <c r="C2424" s="225"/>
      <c r="D2424" s="225"/>
      <c r="E2424" s="225"/>
      <c r="F2424" s="225"/>
      <c r="G2424" s="225"/>
      <c r="H2424" s="201"/>
      <c r="I2424" s="226"/>
      <c r="J2424" s="226"/>
      <c r="K2424" s="226"/>
      <c r="M2424" s="226"/>
      <c r="N2424" s="228" t="s">
        <v>457</v>
      </c>
      <c r="P2424" s="230">
        <f t="shared" si="1108"/>
        <v>0</v>
      </c>
    </row>
    <row r="2425" spans="1:16" x14ac:dyDescent="0.2">
      <c r="B2425" s="225"/>
      <c r="C2425" s="225"/>
      <c r="D2425" s="225"/>
      <c r="E2425" s="225"/>
      <c r="F2425" s="225"/>
      <c r="G2425" s="225"/>
      <c r="H2425" s="201"/>
      <c r="I2425" s="226"/>
      <c r="J2425" s="226"/>
      <c r="K2425" s="226"/>
      <c r="L2425" s="226"/>
      <c r="M2425" s="226"/>
      <c r="N2425" s="226"/>
      <c r="P2425" s="230">
        <f t="shared" si="1108"/>
        <v>0</v>
      </c>
    </row>
    <row r="2426" spans="1:16" x14ac:dyDescent="0.2">
      <c r="B2426" s="225"/>
      <c r="C2426" s="286" t="s">
        <v>458</v>
      </c>
      <c r="D2426" s="286"/>
      <c r="E2426" s="286"/>
      <c r="F2426" s="286"/>
      <c r="G2426" s="286"/>
      <c r="H2426" s="286"/>
      <c r="I2426" s="286"/>
      <c r="J2426" s="286"/>
      <c r="K2426" s="286"/>
      <c r="L2426" s="286"/>
      <c r="M2426" s="226"/>
      <c r="N2426" s="226"/>
      <c r="P2426" s="230">
        <f t="shared" si="1108"/>
        <v>0</v>
      </c>
    </row>
    <row r="2427" spans="1:16" x14ac:dyDescent="0.2">
      <c r="B2427" s="225"/>
      <c r="C2427" s="286" t="s">
        <v>459</v>
      </c>
      <c r="D2427" s="286"/>
      <c r="E2427" s="286"/>
      <c r="F2427" s="286"/>
      <c r="G2427" s="286"/>
      <c r="H2427" s="286"/>
      <c r="I2427" s="286"/>
      <c r="J2427" s="286"/>
      <c r="K2427" s="286"/>
      <c r="L2427" s="286"/>
      <c r="M2427" s="226"/>
      <c r="N2427" s="226"/>
      <c r="P2427" s="230">
        <f t="shared" si="1108"/>
        <v>0</v>
      </c>
    </row>
    <row r="2428" spans="1:16" x14ac:dyDescent="0.2">
      <c r="B2428" s="225" t="s">
        <v>460</v>
      </c>
      <c r="C2428" s="234"/>
      <c r="D2428" s="234"/>
      <c r="E2428" s="234"/>
      <c r="F2428" s="234"/>
      <c r="G2428" s="234"/>
      <c r="H2428" s="234"/>
      <c r="I2428" s="235"/>
      <c r="J2428" s="235"/>
      <c r="K2428" s="235"/>
      <c r="L2428" s="287" t="s">
        <v>461</v>
      </c>
      <c r="M2428" s="287"/>
      <c r="N2428" s="287"/>
      <c r="P2428" s="230">
        <f t="shared" si="1108"/>
        <v>0</v>
      </c>
    </row>
    <row r="2429" spans="1:16" x14ac:dyDescent="0.2">
      <c r="B2429" s="225"/>
      <c r="C2429" s="234"/>
      <c r="D2429" s="234"/>
      <c r="E2429" s="234"/>
      <c r="F2429" s="234"/>
      <c r="G2429" s="234"/>
      <c r="H2429" s="234"/>
      <c r="I2429" s="235"/>
      <c r="J2429" s="235"/>
      <c r="K2429" s="235"/>
      <c r="L2429" s="235"/>
      <c r="M2429" s="235"/>
      <c r="N2429" s="235"/>
      <c r="P2429" s="230">
        <f t="shared" si="1108"/>
        <v>0</v>
      </c>
    </row>
    <row r="2430" spans="1:16" x14ac:dyDescent="0.2">
      <c r="B2430" s="225" t="s">
        <v>2038</v>
      </c>
      <c r="C2430" s="234"/>
      <c r="D2430" s="234"/>
      <c r="E2430" s="234"/>
      <c r="F2430" s="234"/>
      <c r="G2430" s="234"/>
      <c r="H2430" s="234"/>
      <c r="I2430" s="235"/>
      <c r="J2430" s="235"/>
      <c r="K2430" s="235"/>
      <c r="L2430" s="235"/>
      <c r="M2430" s="235"/>
      <c r="N2430" s="235"/>
      <c r="P2430" s="230">
        <f t="shared" si="1108"/>
        <v>0</v>
      </c>
    </row>
    <row r="2431" spans="1:16" x14ac:dyDescent="0.2">
      <c r="B2431" s="225" t="s">
        <v>462</v>
      </c>
      <c r="C2431" s="234"/>
      <c r="D2431" s="234"/>
      <c r="E2431" s="234"/>
      <c r="F2431" s="234"/>
      <c r="G2431" s="234"/>
      <c r="H2431" s="234"/>
      <c r="I2431" s="235"/>
      <c r="J2431" s="235"/>
      <c r="K2431" s="235"/>
      <c r="L2431" s="235"/>
      <c r="M2431" s="235"/>
      <c r="N2431" s="235"/>
      <c r="P2431" s="230">
        <f t="shared" si="1108"/>
        <v>0</v>
      </c>
    </row>
    <row r="2432" spans="1:16" x14ac:dyDescent="0.2">
      <c r="B2432" s="225" t="s">
        <v>2037</v>
      </c>
      <c r="C2432" s="234"/>
      <c r="D2432" s="234"/>
      <c r="E2432" s="234"/>
      <c r="F2432" s="234"/>
      <c r="G2432" s="234"/>
      <c r="H2432" s="234"/>
      <c r="I2432" s="235"/>
      <c r="J2432" s="235"/>
      <c r="K2432" s="235"/>
      <c r="L2432" s="235"/>
      <c r="M2432" s="235"/>
      <c r="N2432" s="235"/>
      <c r="P2432" s="230">
        <f t="shared" si="1108"/>
        <v>0</v>
      </c>
    </row>
    <row r="2433" spans="1:43" x14ac:dyDescent="0.2">
      <c r="B2433" s="225" t="s">
        <v>2052</v>
      </c>
      <c r="C2433" s="234"/>
      <c r="D2433" s="234"/>
      <c r="E2433" s="234"/>
      <c r="F2433" s="234"/>
      <c r="G2433" s="234"/>
      <c r="H2433" s="234"/>
      <c r="I2433" s="235"/>
      <c r="J2433" s="235"/>
      <c r="K2433" s="235"/>
      <c r="L2433" s="235"/>
      <c r="M2433" s="235"/>
      <c r="N2433" s="235"/>
      <c r="P2433" s="230">
        <f t="shared" si="1108"/>
        <v>0</v>
      </c>
    </row>
    <row r="2434" spans="1:43" x14ac:dyDescent="0.2">
      <c r="B2434" s="225"/>
      <c r="C2434" s="225"/>
      <c r="D2434" s="225"/>
      <c r="E2434" s="225"/>
      <c r="F2434" s="225"/>
      <c r="G2434" s="225"/>
      <c r="H2434" s="201"/>
      <c r="I2434" s="226"/>
      <c r="J2434" s="226"/>
      <c r="K2434" s="226"/>
      <c r="L2434" s="226"/>
      <c r="M2434" s="226"/>
      <c r="N2434" s="226"/>
      <c r="P2434" s="230">
        <f t="shared" si="1108"/>
        <v>0</v>
      </c>
    </row>
    <row r="2435" spans="1:43" x14ac:dyDescent="0.2">
      <c r="B2435" s="288" t="s">
        <v>106</v>
      </c>
      <c r="C2435" s="290" t="s">
        <v>463</v>
      </c>
      <c r="D2435" s="288" t="s">
        <v>464</v>
      </c>
      <c r="E2435" s="288" t="s">
        <v>465</v>
      </c>
      <c r="F2435" s="288" t="s">
        <v>490</v>
      </c>
      <c r="G2435" s="288" t="s">
        <v>466</v>
      </c>
      <c r="H2435" s="292" t="s">
        <v>8</v>
      </c>
      <c r="I2435" s="294" t="s">
        <v>467</v>
      </c>
      <c r="J2435" s="295"/>
      <c r="K2435" s="295"/>
      <c r="L2435" s="296"/>
      <c r="M2435" s="297" t="s">
        <v>468</v>
      </c>
      <c r="N2435" s="299" t="s">
        <v>469</v>
      </c>
      <c r="P2435" s="230">
        <f t="shared" si="1108"/>
        <v>0</v>
      </c>
    </row>
    <row r="2436" spans="1:43" x14ac:dyDescent="0.2">
      <c r="B2436" s="289"/>
      <c r="C2436" s="291"/>
      <c r="D2436" s="289"/>
      <c r="E2436" s="289"/>
      <c r="F2436" s="289"/>
      <c r="G2436" s="289"/>
      <c r="H2436" s="293"/>
      <c r="I2436" s="236" t="s">
        <v>470</v>
      </c>
      <c r="J2436" s="236" t="s">
        <v>471</v>
      </c>
      <c r="K2436" s="236" t="s">
        <v>472</v>
      </c>
      <c r="L2436" s="236" t="s">
        <v>473</v>
      </c>
      <c r="M2436" s="298"/>
      <c r="N2436" s="300"/>
      <c r="P2436" s="230">
        <f t="shared" si="1108"/>
        <v>0</v>
      </c>
    </row>
    <row r="2437" spans="1:43" x14ac:dyDescent="0.2">
      <c r="A2437" s="224" t="str">
        <f>CONCATENATE("Лот"," ",A2438)</f>
        <v>Лот 45</v>
      </c>
      <c r="B2437" s="273" t="s">
        <v>2087</v>
      </c>
      <c r="C2437" s="274"/>
      <c r="D2437" s="274"/>
      <c r="E2437" s="274"/>
      <c r="F2437" s="274"/>
      <c r="G2437" s="275"/>
      <c r="H2437" s="238" t="s">
        <v>17</v>
      </c>
      <c r="I2437" s="270">
        <f ca="1">ROUND(VLOOKUP($H2437,$AJ$4:$AN$13,2,0)*$Q2439*1.51,2)</f>
        <v>114.43</v>
      </c>
      <c r="J2437" s="270">
        <f ca="1">ROUND(VLOOKUP($H2437,$AJ$4:$AN$13,3,0)*$Q2439*1.51,2)</f>
        <v>81.540000000000006</v>
      </c>
      <c r="K2437" s="270">
        <f ca="1">ROUND(VLOOKUP($H2437,$AJ$4:$AN$13,4,0)*$Q2439*1.51,2)</f>
        <v>41.31</v>
      </c>
      <c r="L2437" s="270"/>
      <c r="M2437" s="270">
        <f ca="1">ROUND(VLOOKUP($H2437,$AJ$4:$AN$13,5,0)*$Q2439*1.51,2)</f>
        <v>6.52</v>
      </c>
      <c r="N2437" s="270"/>
      <c r="P2437" s="230">
        <f t="shared" si="1108"/>
        <v>1</v>
      </c>
    </row>
    <row r="2438" spans="1:43" x14ac:dyDescent="0.2">
      <c r="A2438" s="224">
        <f>A2383+1</f>
        <v>45</v>
      </c>
      <c r="B2438" s="276"/>
      <c r="C2438" s="277"/>
      <c r="D2438" s="277"/>
      <c r="E2438" s="277"/>
      <c r="F2438" s="277"/>
      <c r="G2438" s="278"/>
      <c r="H2438" s="238" t="s">
        <v>25</v>
      </c>
      <c r="I2438" s="270">
        <f ca="1">ROUND(VLOOKUP($H2438,$AJ$4:$AN$13,2,0)*$Q2439*1.51,2)</f>
        <v>855.9</v>
      </c>
      <c r="J2438" s="270">
        <f ca="1">ROUND(VLOOKUP($H2438,$AJ$4:$AN$13,3,0)*$Q2439*1.51,2)</f>
        <v>611.54999999999995</v>
      </c>
      <c r="K2438" s="270">
        <f ca="1">ROUND(VLOOKUP($H2438,$AJ$4:$AN$13,4,0)*$Q2439*1.51,2)</f>
        <v>307.68</v>
      </c>
      <c r="L2438" s="270"/>
      <c r="M2438" s="270">
        <f ca="1">ROUND(VLOOKUP($H2438,$AJ$4:$AN$13,5,0)*$Q2439*1.51,2)</f>
        <v>26.64</v>
      </c>
      <c r="N2438" s="270"/>
      <c r="P2438" s="230">
        <f t="shared" si="1108"/>
        <v>1</v>
      </c>
      <c r="Q2438" s="240" t="s">
        <v>2045</v>
      </c>
      <c r="R2438" s="240" t="s">
        <v>2046</v>
      </c>
    </row>
    <row r="2439" spans="1:43" x14ac:dyDescent="0.2">
      <c r="B2439" s="276"/>
      <c r="C2439" s="277"/>
      <c r="D2439" s="277"/>
      <c r="E2439" s="277"/>
      <c r="F2439" s="277"/>
      <c r="G2439" s="278"/>
      <c r="H2439" s="238" t="s">
        <v>19</v>
      </c>
      <c r="I2439" s="270">
        <f ca="1">ROUND(VLOOKUP($H2439,$AJ$4:$AN$13,2,0)*$Q2439*1.51,2)</f>
        <v>67.95</v>
      </c>
      <c r="J2439" s="270">
        <f ca="1">ROUND(VLOOKUP($H2439,$AJ$4:$AN$13,3,0)*$Q2439*1.51,2)</f>
        <v>49.47</v>
      </c>
      <c r="K2439" s="270">
        <f ca="1">ROUND(VLOOKUP($H2439,$AJ$4:$AN$13,4,0)*$Q2439*1.51,2)</f>
        <v>25.28</v>
      </c>
      <c r="L2439" s="270"/>
      <c r="M2439" s="270">
        <f ca="1">ROUND(VLOOKUP($H2439,$AJ$4:$AN$13,5,0)*$Q2439*1.51,2)</f>
        <v>1.36</v>
      </c>
      <c r="N2439" s="270"/>
      <c r="P2439" s="230">
        <f t="shared" si="1108"/>
        <v>0</v>
      </c>
      <c r="Q2439" s="123">
        <f ca="1">IFERROR(IF(R2439="","",IF(OR(R2439&lt;100,R2439=100),0.9,IF(OR(AND(R2439&gt;100,R2439&lt;150),R2439=150),1,IF(R2439&gt;150,1.05,"")))),"0")</f>
        <v>1</v>
      </c>
      <c r="R2439" s="123">
        <f ca="1">N2455/G2443</f>
        <v>141.804</v>
      </c>
    </row>
    <row r="2440" spans="1:43" x14ac:dyDescent="0.2">
      <c r="B2440" s="276"/>
      <c r="C2440" s="277"/>
      <c r="D2440" s="277"/>
      <c r="E2440" s="277"/>
      <c r="F2440" s="277"/>
      <c r="G2440" s="278"/>
      <c r="H2440" s="238" t="s">
        <v>268</v>
      </c>
      <c r="I2440" s="270">
        <f ca="1">ROUND(VLOOKUP($H2440,$AJ$4:$AN$13,2,0)*$Q2439*1.51,2)</f>
        <v>855.9</v>
      </c>
      <c r="J2440" s="270">
        <f ca="1">ROUND(VLOOKUP($H2440,$AJ$4:$AN$13,3,0)*$Q2439*1.51,2)</f>
        <v>611.54999999999995</v>
      </c>
      <c r="K2440" s="270">
        <f ca="1">ROUND(VLOOKUP($H2440,$AJ$4:$AN$13,4,0)*$Q2439*1.51,2)</f>
        <v>307.68</v>
      </c>
      <c r="L2440" s="270"/>
      <c r="M2440" s="270">
        <f ca="1">ROUND(VLOOKUP($H2440,$AJ$4:$AN$13,5,0)*$Q2439*1.51,2)</f>
        <v>26.64</v>
      </c>
      <c r="N2440" s="270"/>
    </row>
    <row r="2441" spans="1:43" x14ac:dyDescent="0.2">
      <c r="B2441" s="276"/>
      <c r="C2441" s="277"/>
      <c r="D2441" s="277"/>
      <c r="E2441" s="277"/>
      <c r="F2441" s="277"/>
      <c r="G2441" s="278"/>
      <c r="H2441" s="238" t="s">
        <v>40</v>
      </c>
      <c r="I2441" s="270">
        <f ca="1">ROUND(VLOOKUP($H2441,$AJ$4:$AN$13,2,0)*$Q2439*1.51,2)</f>
        <v>67.95</v>
      </c>
      <c r="J2441" s="270">
        <f ca="1">ROUND(VLOOKUP($H2441,$AJ$4:$AN$13,3,0)*$Q2439*1.51,2)</f>
        <v>49.47</v>
      </c>
      <c r="K2441" s="270">
        <f ca="1">ROUND(VLOOKUP($H2441,$AJ$4:$AN$13,4,0)*$Q2439*1.51,2)</f>
        <v>25.28</v>
      </c>
      <c r="L2441" s="270"/>
      <c r="M2441" s="270">
        <f ca="1">ROUND(VLOOKUP($H2441,$AJ$4:$AN$13,5,0)*$Q2439*1.51,2)</f>
        <v>1.36</v>
      </c>
      <c r="N2441" s="270"/>
      <c r="P2441" s="230">
        <f t="shared" ref="P2441:P2454" si="1109">IF(A2441&gt;0,1,0)</f>
        <v>0</v>
      </c>
    </row>
    <row r="2442" spans="1:43" x14ac:dyDescent="0.2">
      <c r="B2442" s="279"/>
      <c r="C2442" s="280"/>
      <c r="D2442" s="280"/>
      <c r="E2442" s="280"/>
      <c r="F2442" s="280"/>
      <c r="G2442" s="281"/>
      <c r="H2442" s="238" t="s">
        <v>18</v>
      </c>
      <c r="I2442" s="270">
        <f ca="1">ROUND(VLOOKUP($H2442,$AJ$4:$AN$13,2,0)*$Q2439*1.51,2)</f>
        <v>21.74</v>
      </c>
      <c r="J2442" s="270">
        <f ca="1">ROUND(VLOOKUP($H2442,$AJ$4:$AN$13,3,0)*$Q2439*1.51,2)</f>
        <v>16.579999999999998</v>
      </c>
      <c r="K2442" s="270">
        <f ca="1">ROUND(VLOOKUP($H2442,$AJ$4:$AN$13,4,0)*$Q2439*1.51,2)</f>
        <v>8.43</v>
      </c>
      <c r="L2442" s="270"/>
      <c r="M2442" s="270">
        <f ca="1">ROUND(VLOOKUP($H2442,$AJ$4:$AN$13,5,0)*$Q2439*1.51*1,2)</f>
        <v>0.54</v>
      </c>
      <c r="N2442" s="270"/>
      <c r="P2442" s="230">
        <f t="shared" si="1109"/>
        <v>0</v>
      </c>
      <c r="AP2442" s="241" t="s">
        <v>2053</v>
      </c>
      <c r="AQ2442" s="242"/>
    </row>
    <row r="2443" spans="1:43" x14ac:dyDescent="0.2">
      <c r="A2443" s="224">
        <f>A2388+37</f>
        <v>1628</v>
      </c>
      <c r="B2443" s="243" t="str">
        <f ca="1">OFFSET(ЛОТЫ!$L$5,A2443,0,1,1)</f>
        <v>Тумбинское</v>
      </c>
      <c r="C2443" s="244" t="s">
        <v>474</v>
      </c>
      <c r="D2443" s="243">
        <f ca="1">OFFSET(ЛОТЫ!$M$5,A2443,0,1,1)</f>
        <v>4</v>
      </c>
      <c r="E2443" s="243">
        <f ca="1">OFFSET(ЛОТЫ!$N$5,A2443,0,1,1)</f>
        <v>1</v>
      </c>
      <c r="F2443" s="243">
        <f ca="1">OFFSET(ЛОТЫ!$O$5,A2443,0,1,1)</f>
        <v>2</v>
      </c>
      <c r="G2443" s="271">
        <f ca="1">IFERROR(INDEX('Ведомость расчета мин. платы'!$G$10:$AC$214,MATCH(CONCATENATE(B2443,"/",D2443,"/",E2443,"/",F2443),'Ведомость расчета мин. платы'!$AC$10:$AC$214,0),1),"")</f>
        <v>10</v>
      </c>
      <c r="H2443" s="246" t="s">
        <v>17</v>
      </c>
      <c r="I2443" s="247" t="str">
        <f ca="1">IFERROR(INDEX('Ведомость расчета мин. платы'!$J$10:$AE$214,MATCH(CONCATENATE(РАСЧЕТ!B2443,"/",РАСЧЕТ!D2443,"/",РАСЧЕТ!E2443,"/",F2443,"/",H2443),'Ведомость расчета мин. платы'!$AE$10:$AE$214,0),2),"")</f>
        <v/>
      </c>
      <c r="J2443" s="247" t="str">
        <f ca="1">IFERROR(INDEX('Ведомость расчета мин. платы'!$J$10:$AE$214,MATCH(CONCATENATE(РАСЧЕТ!B2443,"/",РАСЧЕТ!D2443,"/",РАСЧЕТ!E2443,"/",F2443,"/",H2443),'Ведомость расчета мин. платы'!$AE$10:$AE$214,0),3),"")</f>
        <v/>
      </c>
      <c r="K2443" s="247" t="str">
        <f ca="1">IFERROR(INDEX('Ведомость расчета мин. платы'!$J$10:$AE$214,MATCH(CONCATENATE(РАСЧЕТ!B2443,"/",РАСЧЕТ!D2443,"/",РАСЧЕТ!E2443,"/",F2443,"/",H2443),'Ведомость расчета мин. платы'!$AE$10:$AE$214,0),4),"")</f>
        <v/>
      </c>
      <c r="L2443" s="248">
        <f t="shared" ref="L2443:L2455" ca="1" si="1110">IFERROR(SUM(I2443:K2443),"")</f>
        <v>0</v>
      </c>
      <c r="M2443" s="214" t="str">
        <f ca="1">IFERROR(INDEX('Ведомость расчета мин. платы'!$J$10:$AE$214,MATCH(CONCATENATE(РАСЧЕТ!B2443,"/",РАСЧЕТ!D2443,"/",РАСЧЕТ!E2443,"/",F2443,"/",H2443),'Ведомость расчета мин. платы'!$AE$10:$AE$214,0),6),"")</f>
        <v/>
      </c>
      <c r="N2443" s="214">
        <f t="shared" ref="N2443:N2455" ca="1" si="1111">IFERROR(SUM(L2443:M2443),"")</f>
        <v>0</v>
      </c>
      <c r="O2443" s="229">
        <f>IF(H2443="стоимость","",1)</f>
        <v>1</v>
      </c>
      <c r="P2443" s="230">
        <f t="shared" si="1109"/>
        <v>1</v>
      </c>
      <c r="AP2443" s="242"/>
      <c r="AQ2443" s="242"/>
    </row>
    <row r="2444" spans="1:43" x14ac:dyDescent="0.2">
      <c r="B2444" s="249"/>
      <c r="C2444" s="249"/>
      <c r="D2444" s="249"/>
      <c r="E2444" s="249"/>
      <c r="F2444" s="249"/>
      <c r="G2444" s="249"/>
      <c r="H2444" s="250" t="s">
        <v>475</v>
      </c>
      <c r="I2444" s="251" t="str">
        <f ca="1">IFERROR(ROUND(I2443*I2437,2),"")</f>
        <v/>
      </c>
      <c r="J2444" s="251" t="str">
        <f t="shared" ref="J2444" ca="1" si="1112">IFERROR(ROUND(J2443*J2437,2),"")</f>
        <v/>
      </c>
      <c r="K2444" s="251" t="str">
        <f t="shared" ref="K2444" ca="1" si="1113">IFERROR(ROUND(K2443*K2437,2),"")</f>
        <v/>
      </c>
      <c r="L2444" s="251">
        <f t="shared" ca="1" si="1110"/>
        <v>0</v>
      </c>
      <c r="M2444" s="251" t="str">
        <f t="shared" ref="M2444" ca="1" si="1114">IFERROR(ROUND(M2443*M2437,2),"")</f>
        <v/>
      </c>
      <c r="N2444" s="252">
        <f t="shared" ca="1" si="1111"/>
        <v>0</v>
      </c>
      <c r="O2444" s="229" t="str">
        <f t="shared" ref="O2444:O2454" si="1115">IF(H2444="стоимость","",1)</f>
        <v/>
      </c>
      <c r="P2444" s="230">
        <f t="shared" si="1109"/>
        <v>0</v>
      </c>
      <c r="AP2444" s="242">
        <f ca="1">SUMIFS('Ведомость расчета мин. платы'!$S$10:$S$209,'Ведомость расчета мин. платы'!$AE$10:$AE$209,CONCATENATE(B2443,"/",D2443,"/",E2443,"/",F2443,"/",H2443))</f>
        <v>0</v>
      </c>
      <c r="AQ2444" s="253">
        <f t="shared" ref="AQ2444" ca="1" si="1116">AP2444-N2444</f>
        <v>0</v>
      </c>
    </row>
    <row r="2445" spans="1:43" x14ac:dyDescent="0.2">
      <c r="B2445" s="249"/>
      <c r="C2445" s="249"/>
      <c r="D2445" s="249"/>
      <c r="E2445" s="249"/>
      <c r="F2445" s="249"/>
      <c r="G2445" s="249"/>
      <c r="H2445" s="246" t="s">
        <v>25</v>
      </c>
      <c r="I2445" s="247" t="str">
        <f ca="1">IFERROR(INDEX('Ведомость расчета мин. платы'!$J$10:$AE$214,MATCH(CONCATENATE(РАСЧЕТ!B2443,"/",РАСЧЕТ!D2443,"/",РАСЧЕТ!E2443,"/",F2443,"/",H2445),'Ведомость расчета мин. платы'!$AE$10:$AE$214,0),2),"")</f>
        <v/>
      </c>
      <c r="J2445" s="247" t="str">
        <f ca="1">IFERROR(INDEX('Ведомость расчета мин. платы'!$J$10:$AE$214,MATCH(CONCATENATE(РАСЧЕТ!B2443,"/",РАСЧЕТ!D2443,"/",РАСЧЕТ!E2443,"/",F2443,"/",H2445),'Ведомость расчета мин. платы'!$AE$10:$AE$214,0),3),"")</f>
        <v/>
      </c>
      <c r="K2445" s="247" t="str">
        <f ca="1">IFERROR(INDEX('Ведомость расчета мин. платы'!$J$10:$AE$214,MATCH(CONCATENATE(РАСЧЕТ!B2443,"/",РАСЧЕТ!D2443,"/",РАСЧЕТ!E2443,"/",F2443,"/",H2445),'Ведомость расчета мин. платы'!$AE$10:$AE$214,0),4),"")</f>
        <v/>
      </c>
      <c r="L2445" s="248">
        <f t="shared" ca="1" si="1110"/>
        <v>0</v>
      </c>
      <c r="M2445" s="214" t="str">
        <f ca="1">IFERROR(INDEX('Ведомость расчета мин. платы'!$J$10:$AE$214,MATCH(CONCATENATE(РАСЧЕТ!B2443,"/",РАСЧЕТ!D2443,"/",РАСЧЕТ!E2443,"/",F2443,"/",H2445),'Ведомость расчета мин. платы'!$AE$10:$AE$214,0),6),"")</f>
        <v/>
      </c>
      <c r="N2445" s="214">
        <f t="shared" ca="1" si="1111"/>
        <v>0</v>
      </c>
      <c r="O2445" s="229">
        <f t="shared" si="1115"/>
        <v>1</v>
      </c>
      <c r="P2445" s="230">
        <f t="shared" si="1109"/>
        <v>0</v>
      </c>
      <c r="AP2445" s="242"/>
      <c r="AQ2445" s="253"/>
    </row>
    <row r="2446" spans="1:43" x14ac:dyDescent="0.2">
      <c r="B2446" s="249"/>
      <c r="C2446" s="249"/>
      <c r="D2446" s="249"/>
      <c r="E2446" s="249"/>
      <c r="F2446" s="249"/>
      <c r="G2446" s="249"/>
      <c r="H2446" s="250" t="s">
        <v>475</v>
      </c>
      <c r="I2446" s="251" t="str">
        <f ca="1">IFERROR(ROUND(I2445*I2438,2),"")</f>
        <v/>
      </c>
      <c r="J2446" s="251" t="str">
        <f t="shared" ref="J2446" ca="1" si="1117">IFERROR(ROUND(J2445*J2438,2),"")</f>
        <v/>
      </c>
      <c r="K2446" s="251" t="str">
        <f t="shared" ref="K2446" ca="1" si="1118">IFERROR(ROUND(K2445*K2438,2),"")</f>
        <v/>
      </c>
      <c r="L2446" s="251">
        <f t="shared" ca="1" si="1110"/>
        <v>0</v>
      </c>
      <c r="M2446" s="251" t="str">
        <f t="shared" ref="M2446" ca="1" si="1119">IFERROR(ROUND(M2445*M2438,2),"")</f>
        <v/>
      </c>
      <c r="N2446" s="252">
        <f t="shared" ca="1" si="1111"/>
        <v>0</v>
      </c>
      <c r="O2446" s="229" t="str">
        <f t="shared" si="1115"/>
        <v/>
      </c>
      <c r="P2446" s="230">
        <f t="shared" si="1109"/>
        <v>0</v>
      </c>
      <c r="AP2446" s="242">
        <f ca="1">SUMIFS('Ведомость расчета мин. платы'!$S$10:$S$209,'Ведомость расчета мин. платы'!$AE$10:$AE$209,CONCATENATE(B2443,"/",D2443,"/",E2443,"/",F2443,"/",H2445))</f>
        <v>0</v>
      </c>
      <c r="AQ2446" s="253">
        <f t="shared" ref="AQ2446" ca="1" si="1120">AP2446-N2446</f>
        <v>0</v>
      </c>
    </row>
    <row r="2447" spans="1:43" x14ac:dyDescent="0.2">
      <c r="B2447" s="249"/>
      <c r="C2447" s="249"/>
      <c r="D2447" s="249"/>
      <c r="E2447" s="249"/>
      <c r="F2447" s="249"/>
      <c r="G2447" s="249"/>
      <c r="H2447" s="205" t="s">
        <v>19</v>
      </c>
      <c r="I2447" s="248">
        <f ca="1">IFERROR(INDEX('Ведомость расчета мин. платы'!$J$10:$AE$214,MATCH(CONCATENATE(РАСЧЕТ!B2443,"/",РАСЧЕТ!D2443,"/",РАСЧЕТ!E2443,"/",F2443,"/",H2447),'Ведомость расчета мин. платы'!$AE$10:$AE$214,0),2),"")</f>
        <v>31.88</v>
      </c>
      <c r="J2447" s="248">
        <f ca="1">IFERROR(INDEX('Ведомость расчета мин. платы'!$J$10:$AE$214,MATCH(CONCATENATE(РАСЧЕТ!B2443,"/",РАСЧЕТ!D2443,"/",РАСЧЕТ!E2443,"/",F2443,"/",H2447),'Ведомость расчета мин. платы'!$AE$10:$AE$214,0),3),"")</f>
        <v>177.17</v>
      </c>
      <c r="K2447" s="248">
        <f ca="1">IFERROR(INDEX('Ведомость расчета мин. платы'!$J$10:$AE$214,MATCH(CONCATENATE(РАСЧЕТ!B2443,"/",РАСЧЕТ!D2443,"/",РАСЧЕТ!E2443,"/",F2443,"/",H2447),'Ведомость расчета мин. платы'!$AE$10:$AE$214,0),4),"")</f>
        <v>21.72</v>
      </c>
      <c r="L2447" s="248">
        <f t="shared" ca="1" si="1110"/>
        <v>230.76999999999998</v>
      </c>
      <c r="M2447" s="248">
        <f ca="1">IFERROR(INDEX('Ведомость расчета мин. платы'!$J$10:$AE$214,MATCH(CONCATENATE(РАСЧЕТ!B2443,"/",РАСЧЕТ!D2443,"/",РАСЧЕТ!E2443,"/",F2443,"/",H2447),'Ведомость расчета мин. платы'!$AE$10:$AE$214,0),6),"")</f>
        <v>875.87</v>
      </c>
      <c r="N2447" s="214">
        <f t="shared" ca="1" si="1111"/>
        <v>1106.6399999999999</v>
      </c>
      <c r="O2447" s="229">
        <f t="shared" si="1115"/>
        <v>1</v>
      </c>
      <c r="P2447" s="230">
        <f t="shared" si="1109"/>
        <v>0</v>
      </c>
      <c r="AP2447" s="242"/>
      <c r="AQ2447" s="253"/>
    </row>
    <row r="2448" spans="1:43" x14ac:dyDescent="0.2">
      <c r="B2448" s="249"/>
      <c r="C2448" s="249"/>
      <c r="D2448" s="249"/>
      <c r="E2448" s="249"/>
      <c r="F2448" s="249"/>
      <c r="G2448" s="249"/>
      <c r="H2448" s="250" t="s">
        <v>475</v>
      </c>
      <c r="I2448" s="251">
        <f ca="1">IFERROR(ROUND(I2447*I2439,2),"")</f>
        <v>2166.25</v>
      </c>
      <c r="J2448" s="251">
        <f t="shared" ref="J2448" ca="1" si="1121">IFERROR(ROUND(J2447*J2439,2),"")</f>
        <v>8764.6</v>
      </c>
      <c r="K2448" s="251">
        <f t="shared" ref="K2448" ca="1" si="1122">IFERROR(ROUND(K2447*K2439,2),"")</f>
        <v>549.08000000000004</v>
      </c>
      <c r="L2448" s="251">
        <f t="shared" ca="1" si="1110"/>
        <v>11479.93</v>
      </c>
      <c r="M2448" s="251">
        <f t="shared" ref="M2448" ca="1" si="1123">IFERROR(ROUND(M2447*M2439,2),"")</f>
        <v>1191.18</v>
      </c>
      <c r="N2448" s="252">
        <f t="shared" ca="1" si="1111"/>
        <v>12671.11</v>
      </c>
      <c r="O2448" s="229" t="str">
        <f t="shared" si="1115"/>
        <v/>
      </c>
      <c r="P2448" s="230">
        <f t="shared" si="1109"/>
        <v>0</v>
      </c>
      <c r="AP2448" s="242">
        <f ca="1">SUMIFS('Ведомость расчета мин. платы'!$S$10:$S$209,'Ведомость расчета мин. платы'!$AE$10:$AE$209,CONCATENATE(B2443,"/",D2443,"/",E2443,"/",F2443,"/",H2447))</f>
        <v>12671.11</v>
      </c>
      <c r="AQ2448" s="253">
        <f t="shared" ref="AQ2448" ca="1" si="1124">AP2448-N2448</f>
        <v>0</v>
      </c>
    </row>
    <row r="2449" spans="2:43" x14ac:dyDescent="0.2">
      <c r="B2449" s="249"/>
      <c r="C2449" s="249"/>
      <c r="D2449" s="249"/>
      <c r="E2449" s="249"/>
      <c r="F2449" s="249"/>
      <c r="G2449" s="249"/>
      <c r="H2449" s="205" t="s">
        <v>268</v>
      </c>
      <c r="I2449" s="248" t="str">
        <f ca="1">IFERROR(INDEX('Ведомость расчета мин. платы'!$J$10:$AE$214,MATCH(CONCATENATE(РАСЧЕТ!B2443,"/",РАСЧЕТ!D2443,"/",РАСЧЕТ!E2443,"/",F2443,"/",H2449),'Ведомость расчета мин. платы'!$AE$10:$AE$214,0),2),"")</f>
        <v/>
      </c>
      <c r="J2449" s="248" t="str">
        <f ca="1">IFERROR(INDEX('Ведомость расчета мин. платы'!$J$10:$AE$214,MATCH(CONCATENATE(РАСЧЕТ!B2443,"/",РАСЧЕТ!D2443,"/",РАСЧЕТ!E2443,"/",F2443,"/",H2449),'Ведомость расчета мин. платы'!$AE$10:$AE$214,0),3),"")</f>
        <v/>
      </c>
      <c r="K2449" s="248" t="str">
        <f ca="1">IFERROR(INDEX('Ведомость расчета мин. платы'!$J$10:$AE$214,MATCH(CONCATENATE(РАСЧЕТ!B2443,"/",РАСЧЕТ!D2443,"/",РАСЧЕТ!E2443,"/",F2443,"/",H2449),'Ведомость расчета мин. платы'!$AE$10:$AE$214,0),4),"")</f>
        <v/>
      </c>
      <c r="L2449" s="248">
        <f t="shared" ca="1" si="1110"/>
        <v>0</v>
      </c>
      <c r="M2449" s="248" t="str">
        <f ca="1">IFERROR(INDEX('Ведомость расчета мин. платы'!$J$10:$AE$214,MATCH(CONCATENATE(РАСЧЕТ!B2443,"/",РАСЧЕТ!D2443,"/",РАСЧЕТ!E2443,"/",F2443,"/",H2449),'Ведомость расчета мин. платы'!$AE$10:$AE$214,0),6),"")</f>
        <v/>
      </c>
      <c r="N2449" s="214">
        <f t="shared" ca="1" si="1111"/>
        <v>0</v>
      </c>
      <c r="O2449" s="229">
        <f t="shared" si="1115"/>
        <v>1</v>
      </c>
      <c r="P2449" s="230">
        <f t="shared" si="1109"/>
        <v>0</v>
      </c>
      <c r="AP2449" s="242"/>
      <c r="AQ2449" s="253"/>
    </row>
    <row r="2450" spans="2:43" x14ac:dyDescent="0.2">
      <c r="B2450" s="249"/>
      <c r="C2450" s="249"/>
      <c r="D2450" s="249"/>
      <c r="E2450" s="249"/>
      <c r="F2450" s="249"/>
      <c r="G2450" s="249"/>
      <c r="H2450" s="250" t="s">
        <v>475</v>
      </c>
      <c r="I2450" s="251" t="str">
        <f ca="1">IFERROR(ROUND(I2449*I2442,2),"")</f>
        <v/>
      </c>
      <c r="J2450" s="251" t="str">
        <f ca="1">IFERROR(ROUND(J2449*J2440,2),"")</f>
        <v/>
      </c>
      <c r="K2450" s="251" t="str">
        <f ca="1">IFERROR(ROUND(K2449*K2440,2),"")</f>
        <v/>
      </c>
      <c r="L2450" s="251">
        <f t="shared" ca="1" si="1110"/>
        <v>0</v>
      </c>
      <c r="M2450" s="251" t="str">
        <f ca="1">IFERROR(ROUND(M2449*M2440,2),"")</f>
        <v/>
      </c>
      <c r="N2450" s="252">
        <f t="shared" ca="1" si="1111"/>
        <v>0</v>
      </c>
      <c r="O2450" s="229" t="str">
        <f t="shared" si="1115"/>
        <v/>
      </c>
      <c r="P2450" s="230">
        <f t="shared" si="1109"/>
        <v>0</v>
      </c>
      <c r="AP2450" s="242">
        <f ca="1">SUMIFS('Ведомость расчета мин. платы'!$S$10:$S$209,'Ведомость расчета мин. платы'!$AE$10:$AE$209,CONCATENATE(B2443,"/",D2443,"/",E2443,"/",F2443,"/",H2449))</f>
        <v>0</v>
      </c>
      <c r="AQ2450" s="253">
        <f t="shared" ref="AQ2450" ca="1" si="1125">AP2450-N2450</f>
        <v>0</v>
      </c>
    </row>
    <row r="2451" spans="2:43" x14ac:dyDescent="0.2">
      <c r="B2451" s="249"/>
      <c r="C2451" s="249"/>
      <c r="D2451" s="249"/>
      <c r="E2451" s="249"/>
      <c r="F2451" s="249"/>
      <c r="G2451" s="249"/>
      <c r="H2451" s="205" t="s">
        <v>40</v>
      </c>
      <c r="I2451" s="248" t="str">
        <f ca="1">IFERROR(INDEX('Ведомость расчета мин. платы'!$J$10:$AE$214,MATCH(CONCATENATE(РАСЧЕТ!B2443,"/",РАСЧЕТ!D2443,"/",РАСЧЕТ!E2443,"/",F2443,"/",H2451),'Ведомость расчета мин. платы'!$AE$10:$AE$214,0),2),"")</f>
        <v/>
      </c>
      <c r="J2451" s="248" t="str">
        <f ca="1">IFERROR(INDEX('Ведомость расчета мин. платы'!$J$10:$AE$214,MATCH(CONCATENATE(РАСЧЕТ!B2443,"/",РАСЧЕТ!D2443,"/",РАСЧЕТ!E2443,"/",F2443,"/",H2451),'Ведомость расчета мин. платы'!$AE$10:$AE$214,0),3),"")</f>
        <v/>
      </c>
      <c r="K2451" s="248" t="str">
        <f ca="1">IFERROR(INDEX('Ведомость расчета мин. платы'!$J$10:$AE$214,MATCH(CONCATENATE(РАСЧЕТ!B2443,"/",РАСЧЕТ!D2443,"/",РАСЧЕТ!E2443,"/",F2443,"/",H2451),'Ведомость расчета мин. платы'!$AE$10:$AE$214,0),4),"")</f>
        <v/>
      </c>
      <c r="L2451" s="248">
        <f t="shared" ca="1" si="1110"/>
        <v>0</v>
      </c>
      <c r="M2451" s="248" t="str">
        <f ca="1">IFERROR(INDEX('Ведомость расчета мин. платы'!$J$10:$AE$214,MATCH(CONCATENATE(РАСЧЕТ!B2443,"/",РАСЧЕТ!D2443,"/",РАСЧЕТ!E2443,"/",F2443,"/",H2451),'Ведомость расчета мин. платы'!$AE$10:$AE$214,0),6),"")</f>
        <v/>
      </c>
      <c r="N2451" s="214">
        <f t="shared" ca="1" si="1111"/>
        <v>0</v>
      </c>
      <c r="O2451" s="229">
        <f t="shared" si="1115"/>
        <v>1</v>
      </c>
      <c r="P2451" s="230">
        <f t="shared" si="1109"/>
        <v>0</v>
      </c>
      <c r="AP2451" s="242"/>
      <c r="AQ2451" s="253"/>
    </row>
    <row r="2452" spans="2:43" x14ac:dyDescent="0.2">
      <c r="B2452" s="249"/>
      <c r="C2452" s="249"/>
      <c r="D2452" s="249"/>
      <c r="E2452" s="249"/>
      <c r="F2452" s="249"/>
      <c r="G2452" s="249"/>
      <c r="H2452" s="250" t="s">
        <v>475</v>
      </c>
      <c r="I2452" s="251" t="str">
        <f ca="1">IFERROR(ROUND(I2451*I2441,2),"")</f>
        <v/>
      </c>
      <c r="J2452" s="251" t="str">
        <f t="shared" ref="J2452" ca="1" si="1126">IFERROR(ROUND(J2451*J2441,2),"")</f>
        <v/>
      </c>
      <c r="K2452" s="251" t="str">
        <f t="shared" ref="K2452" ca="1" si="1127">IFERROR(ROUND(K2451*K2441,2),"")</f>
        <v/>
      </c>
      <c r="L2452" s="251">
        <f t="shared" ca="1" si="1110"/>
        <v>0</v>
      </c>
      <c r="M2452" s="251" t="str">
        <f t="shared" ref="M2452" ca="1" si="1128">IFERROR(ROUND(M2451*M2441,2),"")</f>
        <v/>
      </c>
      <c r="N2452" s="252">
        <f t="shared" ca="1" si="1111"/>
        <v>0</v>
      </c>
      <c r="O2452" s="229" t="str">
        <f t="shared" si="1115"/>
        <v/>
      </c>
      <c r="P2452" s="230">
        <f t="shared" si="1109"/>
        <v>0</v>
      </c>
      <c r="AP2452" s="242">
        <f ca="1">SUMIFS('Ведомость расчета мин. платы'!$S$10:$S$209,'Ведомость расчета мин. платы'!$AE$10:$AE$209,CONCATENATE(B2443,"/",D2443,"/",E2443,"/",F2443,"/",H2451))</f>
        <v>0</v>
      </c>
      <c r="AQ2452" s="253">
        <f t="shared" ref="AQ2452" ca="1" si="1129">AP2452-N2452</f>
        <v>0</v>
      </c>
    </row>
    <row r="2453" spans="2:43" x14ac:dyDescent="0.2">
      <c r="B2453" s="249"/>
      <c r="C2453" s="249"/>
      <c r="D2453" s="249"/>
      <c r="E2453" s="249"/>
      <c r="F2453" s="249"/>
      <c r="G2453" s="249"/>
      <c r="H2453" s="205" t="s">
        <v>18</v>
      </c>
      <c r="I2453" s="248">
        <f ca="1">IFERROR(INDEX('Ведомость расчета мин. платы'!$J$10:$AE$214,MATCH(CONCATENATE(РАСЧЕТ!B2443,"/",РАСЧЕТ!D2443,"/",РАСЧЕТ!E2443,"/",F2443,"/",H2453),'Ведомость расчета мин. платы'!$AE$10:$AE$214,0),2),"")</f>
        <v>87.1</v>
      </c>
      <c r="J2453" s="248">
        <f ca="1">IFERROR(INDEX('Ведомость расчета мин. платы'!$J$10:$AE$214,MATCH(CONCATENATE(РАСЧЕТ!B2443,"/",РАСЧЕТ!D2443,"/",РАСЧЕТ!E2443,"/",F2443,"/",H2453),'Ведомость расчета мин. платы'!$AE$10:$AE$214,0),3),"")</f>
        <v>62.4</v>
      </c>
      <c r="K2453" s="248">
        <f ca="1">IFERROR(INDEX('Ведомость расчета мин. платы'!$J$10:$AE$214,MATCH(CONCATENATE(РАСЧЕТ!B2443,"/",РАСЧЕТ!D2443,"/",РАСЧЕТ!E2443,"/",F2443,"/",H2453),'Ведомость расчета мин. платы'!$AE$10:$AE$214,0),4),"")</f>
        <v>0</v>
      </c>
      <c r="L2453" s="248">
        <f t="shared" ca="1" si="1110"/>
        <v>149.5</v>
      </c>
      <c r="M2453" s="248">
        <f ca="1">IFERROR(INDEX('Ведомость расчета мин. платы'!$J$10:$AE$214,MATCH(CONCATENATE(РАСЧЕТ!B2443,"/",РАСЧЕТ!D2443,"/",РАСЧЕТ!E2443,"/",F2443,"/",H2453),'Ведомость расчета мин. платы'!$AE$10:$AE$214,0),6),"")</f>
        <v>161.9</v>
      </c>
      <c r="N2453" s="214">
        <f t="shared" ca="1" si="1111"/>
        <v>311.39999999999998</v>
      </c>
      <c r="O2453" s="229">
        <f t="shared" si="1115"/>
        <v>1</v>
      </c>
      <c r="P2453" s="230">
        <f t="shared" si="1109"/>
        <v>0</v>
      </c>
      <c r="AP2453" s="242"/>
      <c r="AQ2453" s="253"/>
    </row>
    <row r="2454" spans="2:43" x14ac:dyDescent="0.2">
      <c r="B2454" s="249"/>
      <c r="C2454" s="249"/>
      <c r="D2454" s="249"/>
      <c r="E2454" s="249"/>
      <c r="F2454" s="249"/>
      <c r="G2454" s="249"/>
      <c r="H2454" s="250" t="s">
        <v>475</v>
      </c>
      <c r="I2454" s="251">
        <f ca="1">IFERROR(ROUND(I2453*I2442,2),"")</f>
        <v>1893.55</v>
      </c>
      <c r="J2454" s="251">
        <f t="shared" ref="J2454" ca="1" si="1130">IFERROR(ROUND(J2453*J2442,2),"")</f>
        <v>1034.5899999999999</v>
      </c>
      <c r="K2454" s="251">
        <f t="shared" ref="K2454" ca="1" si="1131">IFERROR(ROUND(K2453*K2442,2),"")</f>
        <v>0</v>
      </c>
      <c r="L2454" s="251">
        <f t="shared" ca="1" si="1110"/>
        <v>2928.14</v>
      </c>
      <c r="M2454" s="251">
        <v>87.420000000000243</v>
      </c>
      <c r="N2454" s="252">
        <f t="shared" ca="1" si="1111"/>
        <v>3015.56</v>
      </c>
      <c r="O2454" s="229" t="str">
        <f t="shared" si="1115"/>
        <v/>
      </c>
      <c r="P2454" s="230">
        <f t="shared" si="1109"/>
        <v>0</v>
      </c>
      <c r="AP2454" s="242">
        <f ca="1">SUMIFS('Ведомость расчета мин. платы'!$S$10:$S$209,'Ведомость расчета мин. платы'!$AE$10:$AE$209,CONCATENATE(B2443,"/",D2443,"/",E2443,"/",F2443,"/",H2453))</f>
        <v>3015.56</v>
      </c>
      <c r="AQ2454" s="253">
        <f t="shared" ref="AQ2454" ca="1" si="1132">AP2454-N2454</f>
        <v>0</v>
      </c>
    </row>
    <row r="2455" spans="2:43" x14ac:dyDescent="0.2">
      <c r="B2455" s="249"/>
      <c r="C2455" s="249"/>
      <c r="D2455" s="249"/>
      <c r="E2455" s="249"/>
      <c r="F2455" s="249"/>
      <c r="G2455" s="249"/>
      <c r="H2455" s="254" t="s">
        <v>476</v>
      </c>
      <c r="I2455" s="251">
        <f ca="1">SUMIF($O2443:$O2456,1,I2443:I2454)</f>
        <v>118.97999999999999</v>
      </c>
      <c r="J2455" s="251">
        <f ca="1">SUMIF($O2443:$O2456,1,J2443:J2454)</f>
        <v>239.57</v>
      </c>
      <c r="K2455" s="251">
        <f ca="1">SUMIF($O2443:$O2456,1,K2443:K2454)</f>
        <v>21.72</v>
      </c>
      <c r="L2455" s="251">
        <f t="shared" ca="1" si="1110"/>
        <v>380.27</v>
      </c>
      <c r="M2455" s="251">
        <f ca="1">SUMIF($O2443:$O2456,1,M2443:M2454)</f>
        <v>1037.77</v>
      </c>
      <c r="N2455" s="252">
        <f t="shared" ca="1" si="1111"/>
        <v>1418.04</v>
      </c>
      <c r="AP2455" s="242"/>
      <c r="AQ2455" s="253"/>
    </row>
    <row r="2456" spans="2:43" x14ac:dyDescent="0.2">
      <c r="B2456" s="249"/>
      <c r="C2456" s="249"/>
      <c r="D2456" s="249"/>
      <c r="E2456" s="249"/>
      <c r="F2456" s="249"/>
      <c r="G2456" s="249"/>
      <c r="H2456" s="254" t="s">
        <v>491</v>
      </c>
      <c r="I2456" s="251">
        <f ca="1">SUMIF(H2443:H2454,"стоимость",I2443:I2454)</f>
        <v>4059.8</v>
      </c>
      <c r="J2456" s="251">
        <f ca="1">SUMIF(H2443:H2454,"стоимость",J2443:J2454)</f>
        <v>9799.19</v>
      </c>
      <c r="K2456" s="251">
        <f ca="1">SUMIF(H2443:H2454,"стоимость",K2443:K2454)</f>
        <v>549.08000000000004</v>
      </c>
      <c r="L2456" s="251">
        <f ca="1">IFERROR(SUM(I2456:K2456),"")</f>
        <v>14408.070000000002</v>
      </c>
      <c r="M2456" s="251">
        <f ca="1">SUMIF(H2443:H2454,"стоимость",M2443:M2454)</f>
        <v>1278.6000000000004</v>
      </c>
      <c r="N2456" s="252">
        <f ca="1">IFERROR(SUM(L2456:M2456),"")</f>
        <v>15686.670000000002</v>
      </c>
      <c r="AP2456" s="242">
        <f ca="1">SUMIFS('Ведомость расчета мин. платы'!$S$10:$S$209,'Ведомость расчета мин. платы'!$J$10:$J$209,"Итого",'Ведомость расчета мин. платы'!$AC$10:$AC$209,CONCATENATE(B2443,"/",D2443,"/",E2443,"/",F2443))</f>
        <v>15686.67</v>
      </c>
      <c r="AQ2456" s="253">
        <f ca="1">AP2456-N2456</f>
        <v>0</v>
      </c>
    </row>
    <row r="2457" spans="2:43" x14ac:dyDescent="0.2">
      <c r="B2457" s="255"/>
      <c r="C2457" s="255"/>
      <c r="D2457" s="255"/>
      <c r="E2457" s="255"/>
      <c r="F2457" s="255"/>
      <c r="G2457" s="256"/>
      <c r="H2457" s="257"/>
      <c r="I2457" s="258"/>
      <c r="J2457" s="258"/>
      <c r="K2457" s="258"/>
      <c r="L2457" s="258"/>
      <c r="M2457" s="258"/>
      <c r="N2457" s="258"/>
      <c r="P2457" s="230">
        <f t="shared" ref="P2457:P2475" si="1133">IF(A2457&gt;0,1,0)</f>
        <v>0</v>
      </c>
    </row>
    <row r="2458" spans="2:43" x14ac:dyDescent="0.2">
      <c r="B2458" s="282" t="s">
        <v>477</v>
      </c>
      <c r="C2458" s="282"/>
      <c r="D2458" s="282"/>
      <c r="E2458" s="282"/>
      <c r="F2458" s="259"/>
      <c r="G2458" s="225"/>
      <c r="H2458" s="201"/>
      <c r="I2458" s="226"/>
      <c r="J2458" s="258"/>
      <c r="K2458" s="258"/>
      <c r="L2458" s="258"/>
      <c r="M2458" s="258"/>
      <c r="N2458" s="258"/>
      <c r="P2458" s="230">
        <f t="shared" si="1133"/>
        <v>0</v>
      </c>
    </row>
    <row r="2459" spans="2:43" x14ac:dyDescent="0.2">
      <c r="B2459" s="283" t="s">
        <v>525</v>
      </c>
      <c r="C2459" s="283"/>
      <c r="D2459" s="283"/>
      <c r="E2459" s="283"/>
      <c r="F2459" s="283"/>
      <c r="G2459" s="283"/>
      <c r="H2459" s="283"/>
      <c r="I2459" s="283"/>
      <c r="J2459" s="261"/>
      <c r="K2459" s="261"/>
      <c r="L2459" s="261"/>
      <c r="M2459" s="261"/>
      <c r="N2459" s="261"/>
      <c r="P2459" s="230">
        <f t="shared" si="1133"/>
        <v>0</v>
      </c>
    </row>
    <row r="2460" spans="2:43" x14ac:dyDescent="0.2">
      <c r="B2460" s="284" t="s">
        <v>478</v>
      </c>
      <c r="C2460" s="284"/>
      <c r="D2460" s="284"/>
      <c r="E2460" s="284"/>
      <c r="F2460" s="284"/>
      <c r="G2460" s="284"/>
      <c r="H2460" s="284"/>
      <c r="I2460" s="284"/>
      <c r="J2460" s="258"/>
      <c r="K2460" s="258"/>
      <c r="L2460" s="258"/>
      <c r="M2460" s="258"/>
      <c r="N2460" s="258"/>
      <c r="P2460" s="230">
        <f t="shared" si="1133"/>
        <v>0</v>
      </c>
    </row>
    <row r="2461" spans="2:43" x14ac:dyDescent="0.2">
      <c r="B2461" s="284" t="s">
        <v>479</v>
      </c>
      <c r="C2461" s="284"/>
      <c r="D2461" s="284"/>
      <c r="E2461" s="284"/>
      <c r="F2461" s="284"/>
      <c r="G2461" s="284"/>
      <c r="H2461" s="284"/>
      <c r="I2461" s="284"/>
      <c r="J2461" s="258"/>
      <c r="K2461" s="258"/>
      <c r="L2461" s="258"/>
      <c r="M2461" s="258"/>
      <c r="N2461" s="258"/>
      <c r="P2461" s="230">
        <f t="shared" si="1133"/>
        <v>0</v>
      </c>
    </row>
    <row r="2462" spans="2:43" x14ac:dyDescent="0.2">
      <c r="B2462" s="284" t="s">
        <v>480</v>
      </c>
      <c r="C2462" s="284"/>
      <c r="D2462" s="284"/>
      <c r="E2462" s="284"/>
      <c r="F2462" s="284"/>
      <c r="G2462" s="284"/>
      <c r="H2462" s="284"/>
      <c r="I2462" s="284"/>
      <c r="J2462" s="258"/>
      <c r="K2462" s="258"/>
      <c r="L2462" s="258"/>
      <c r="M2462" s="258"/>
      <c r="N2462" s="258"/>
      <c r="P2462" s="230">
        <f t="shared" si="1133"/>
        <v>0</v>
      </c>
    </row>
    <row r="2463" spans="2:43" x14ac:dyDescent="0.2">
      <c r="B2463" s="284" t="s">
        <v>481</v>
      </c>
      <c r="C2463" s="284"/>
      <c r="D2463" s="284"/>
      <c r="E2463" s="284"/>
      <c r="F2463" s="284"/>
      <c r="G2463" s="284"/>
      <c r="H2463" s="284"/>
      <c r="I2463" s="284"/>
      <c r="J2463" s="226"/>
      <c r="K2463" s="226"/>
      <c r="L2463" s="226"/>
      <c r="M2463" s="226"/>
      <c r="N2463" s="226"/>
      <c r="P2463" s="230">
        <f t="shared" si="1133"/>
        <v>0</v>
      </c>
    </row>
    <row r="2464" spans="2:43" x14ac:dyDescent="0.2">
      <c r="B2464" s="284" t="s">
        <v>482</v>
      </c>
      <c r="C2464" s="284"/>
      <c r="D2464" s="284"/>
      <c r="E2464" s="284"/>
      <c r="F2464" s="284"/>
      <c r="G2464" s="284"/>
      <c r="H2464" s="284"/>
      <c r="I2464" s="284"/>
      <c r="J2464" s="226"/>
      <c r="K2464" s="226"/>
      <c r="L2464" s="226"/>
      <c r="M2464" s="226"/>
      <c r="N2464" s="226"/>
      <c r="P2464" s="230">
        <f t="shared" si="1133"/>
        <v>0</v>
      </c>
    </row>
    <row r="2465" spans="1:16" x14ac:dyDescent="0.2">
      <c r="B2465" s="284" t="s">
        <v>483</v>
      </c>
      <c r="C2465" s="284"/>
      <c r="D2465" s="284"/>
      <c r="E2465" s="284"/>
      <c r="F2465" s="284"/>
      <c r="G2465" s="284"/>
      <c r="H2465" s="284"/>
      <c r="I2465" s="284"/>
      <c r="J2465" s="226"/>
      <c r="K2465" s="226"/>
      <c r="L2465" s="226"/>
      <c r="M2465" s="226"/>
      <c r="N2465" s="226"/>
      <c r="P2465" s="230">
        <f t="shared" si="1133"/>
        <v>0</v>
      </c>
    </row>
    <row r="2466" spans="1:16" x14ac:dyDescent="0.2">
      <c r="B2466" s="284" t="s">
        <v>484</v>
      </c>
      <c r="C2466" s="284"/>
      <c r="D2466" s="284"/>
      <c r="E2466" s="284"/>
      <c r="F2466" s="284"/>
      <c r="G2466" s="284"/>
      <c r="H2466" s="284"/>
      <c r="I2466" s="284"/>
      <c r="J2466" s="226"/>
      <c r="K2466" s="226"/>
      <c r="L2466" s="226"/>
      <c r="M2466" s="226"/>
      <c r="N2466" s="226"/>
      <c r="P2466" s="230">
        <f t="shared" si="1133"/>
        <v>0</v>
      </c>
    </row>
    <row r="2467" spans="1:16" x14ac:dyDescent="0.2">
      <c r="B2467" s="264"/>
      <c r="C2467" s="264"/>
      <c r="D2467" s="264"/>
      <c r="E2467" s="264"/>
      <c r="F2467" s="264"/>
      <c r="G2467" s="264"/>
      <c r="H2467" s="264"/>
      <c r="I2467" s="265"/>
      <c r="J2467" s="226"/>
      <c r="K2467" s="226"/>
      <c r="L2467" s="226"/>
      <c r="M2467" s="226"/>
      <c r="N2467" s="226"/>
      <c r="P2467" s="230">
        <f t="shared" si="1133"/>
        <v>0</v>
      </c>
    </row>
    <row r="2468" spans="1:16" x14ac:dyDescent="0.2">
      <c r="B2468" s="225" t="s">
        <v>485</v>
      </c>
      <c r="C2468" s="225"/>
      <c r="D2468" s="225"/>
      <c r="E2468" s="225"/>
      <c r="F2468" s="225"/>
      <c r="G2468" s="225"/>
      <c r="H2468" s="201"/>
      <c r="I2468" s="226"/>
      <c r="J2468" s="226" t="s">
        <v>486</v>
      </c>
      <c r="K2468" s="226"/>
      <c r="L2468" s="226"/>
      <c r="M2468" s="226"/>
      <c r="N2468" s="226"/>
      <c r="P2468" s="230">
        <f t="shared" si="1133"/>
        <v>0</v>
      </c>
    </row>
    <row r="2469" spans="1:16" x14ac:dyDescent="0.2">
      <c r="B2469" s="266" t="s">
        <v>524</v>
      </c>
      <c r="C2469" s="266"/>
      <c r="D2469" s="225"/>
      <c r="E2469" s="225"/>
      <c r="F2469" s="225"/>
      <c r="G2469" s="225"/>
      <c r="H2469" s="201"/>
      <c r="I2469" s="226"/>
      <c r="J2469" s="267"/>
      <c r="K2469" s="267"/>
      <c r="L2469" s="267"/>
      <c r="M2469" s="226"/>
      <c r="N2469" s="226"/>
      <c r="P2469" s="230">
        <f t="shared" si="1133"/>
        <v>0</v>
      </c>
    </row>
    <row r="2470" spans="1:16" x14ac:dyDescent="0.2">
      <c r="B2470" s="268" t="s">
        <v>487</v>
      </c>
      <c r="C2470" s="225"/>
      <c r="D2470" s="225"/>
      <c r="E2470" s="225"/>
      <c r="F2470" s="225"/>
      <c r="G2470" s="225"/>
      <c r="H2470" s="201"/>
      <c r="I2470" s="226"/>
      <c r="J2470" s="226" t="s">
        <v>487</v>
      </c>
      <c r="K2470" s="226"/>
      <c r="L2470" s="226"/>
      <c r="M2470" s="226"/>
      <c r="N2470" s="226"/>
      <c r="P2470" s="230">
        <f t="shared" si="1133"/>
        <v>0</v>
      </c>
    </row>
    <row r="2471" spans="1:16" x14ac:dyDescent="0.2">
      <c r="B2471" s="225"/>
      <c r="C2471" s="225"/>
      <c r="D2471" s="225"/>
      <c r="E2471" s="225"/>
      <c r="F2471" s="225"/>
      <c r="G2471" s="225"/>
      <c r="H2471" s="201"/>
      <c r="I2471" s="226"/>
      <c r="J2471" s="226"/>
      <c r="K2471" s="226"/>
      <c r="L2471" s="226"/>
      <c r="M2471" s="226"/>
      <c r="N2471" s="226"/>
      <c r="P2471" s="230">
        <f t="shared" si="1133"/>
        <v>0</v>
      </c>
    </row>
    <row r="2472" spans="1:16" x14ac:dyDescent="0.2">
      <c r="B2472" s="266"/>
      <c r="C2472" s="266"/>
      <c r="D2472" s="225"/>
      <c r="E2472" s="225"/>
      <c r="F2472" s="225"/>
      <c r="G2472" s="225"/>
      <c r="H2472" s="201"/>
      <c r="I2472" s="226"/>
      <c r="J2472" s="267"/>
      <c r="K2472" s="267"/>
      <c r="L2472" s="267"/>
      <c r="M2472" s="226"/>
      <c r="N2472" s="226"/>
      <c r="P2472" s="230">
        <f t="shared" si="1133"/>
        <v>0</v>
      </c>
    </row>
    <row r="2473" spans="1:16" x14ac:dyDescent="0.2">
      <c r="B2473" s="269" t="s">
        <v>488</v>
      </c>
      <c r="C2473" s="225"/>
      <c r="D2473" s="225"/>
      <c r="E2473" s="225"/>
      <c r="F2473" s="225"/>
      <c r="G2473" s="225"/>
      <c r="H2473" s="201"/>
      <c r="I2473" s="226"/>
      <c r="J2473" s="285" t="s">
        <v>488</v>
      </c>
      <c r="K2473" s="285"/>
      <c r="L2473" s="285"/>
      <c r="M2473" s="226"/>
      <c r="N2473" s="226"/>
      <c r="P2473" s="230">
        <f t="shared" si="1133"/>
        <v>0</v>
      </c>
    </row>
    <row r="2474" spans="1:16" x14ac:dyDescent="0.2">
      <c r="B2474" s="225"/>
      <c r="C2474" s="225"/>
      <c r="D2474" s="225"/>
      <c r="E2474" s="225"/>
      <c r="F2474" s="225"/>
      <c r="G2474" s="225"/>
      <c r="H2474" s="201"/>
      <c r="I2474" s="226"/>
      <c r="J2474" s="226"/>
      <c r="K2474" s="226"/>
      <c r="L2474" s="226"/>
      <c r="M2474" s="226"/>
      <c r="N2474" s="226"/>
      <c r="P2474" s="230">
        <f t="shared" si="1133"/>
        <v>0</v>
      </c>
    </row>
    <row r="2475" spans="1:16" x14ac:dyDescent="0.2">
      <c r="B2475" s="264" t="s">
        <v>489</v>
      </c>
      <c r="C2475" s="225"/>
      <c r="D2475" s="225"/>
      <c r="E2475" s="225"/>
      <c r="F2475" s="225"/>
      <c r="G2475" s="225"/>
      <c r="H2475" s="201"/>
      <c r="I2475" s="226"/>
      <c r="J2475" s="226" t="s">
        <v>489</v>
      </c>
      <c r="K2475" s="226"/>
      <c r="L2475" s="226"/>
      <c r="M2475" s="226"/>
      <c r="N2475" s="226"/>
      <c r="P2475" s="230">
        <f t="shared" si="1133"/>
        <v>0</v>
      </c>
    </row>
    <row r="2476" spans="1:16" x14ac:dyDescent="0.2">
      <c r="A2476" s="272"/>
      <c r="B2476" s="225"/>
      <c r="C2476" s="225"/>
      <c r="D2476" s="225"/>
      <c r="E2476" s="225"/>
      <c r="F2476" s="225"/>
      <c r="G2476" s="225"/>
      <c r="H2476" s="201"/>
      <c r="I2476" s="226"/>
      <c r="J2476" s="226"/>
      <c r="K2476" s="226"/>
      <c r="M2476" s="226"/>
      <c r="N2476" s="228"/>
    </row>
    <row r="2477" spans="1:16" x14ac:dyDescent="0.2">
      <c r="A2477" s="260"/>
      <c r="B2477" s="225"/>
      <c r="C2477" s="225"/>
      <c r="D2477" s="225"/>
      <c r="E2477" s="225"/>
      <c r="F2477" s="225"/>
      <c r="G2477" s="225"/>
      <c r="H2477" s="201"/>
      <c r="I2477" s="226"/>
      <c r="J2477" s="226"/>
      <c r="K2477" s="226"/>
      <c r="M2477" s="226"/>
      <c r="N2477" s="228" t="s">
        <v>455</v>
      </c>
      <c r="P2477" s="230">
        <f t="shared" ref="P2477:P2494" si="1134">IF(A2477&gt;0,1,0)</f>
        <v>0</v>
      </c>
    </row>
    <row r="2478" spans="1:16" x14ac:dyDescent="0.2">
      <c r="B2478" s="225"/>
      <c r="C2478" s="225"/>
      <c r="D2478" s="225"/>
      <c r="E2478" s="225"/>
      <c r="F2478" s="225"/>
      <c r="G2478" s="225"/>
      <c r="H2478" s="201"/>
      <c r="I2478" s="226"/>
      <c r="J2478" s="226"/>
      <c r="K2478" s="226"/>
      <c r="M2478" s="226"/>
      <c r="N2478" s="228" t="s">
        <v>456</v>
      </c>
      <c r="P2478" s="230">
        <f t="shared" si="1134"/>
        <v>0</v>
      </c>
    </row>
    <row r="2479" spans="1:16" x14ac:dyDescent="0.2">
      <c r="B2479" s="225"/>
      <c r="C2479" s="225"/>
      <c r="D2479" s="225"/>
      <c r="E2479" s="225"/>
      <c r="F2479" s="225"/>
      <c r="G2479" s="225"/>
      <c r="H2479" s="201"/>
      <c r="I2479" s="226"/>
      <c r="J2479" s="226"/>
      <c r="K2479" s="226"/>
      <c r="M2479" s="226"/>
      <c r="N2479" s="228" t="s">
        <v>457</v>
      </c>
      <c r="P2479" s="230">
        <f t="shared" si="1134"/>
        <v>0</v>
      </c>
    </row>
    <row r="2480" spans="1:16" x14ac:dyDescent="0.2">
      <c r="B2480" s="225"/>
      <c r="C2480" s="225"/>
      <c r="D2480" s="225"/>
      <c r="E2480" s="225"/>
      <c r="F2480" s="225"/>
      <c r="G2480" s="225"/>
      <c r="H2480" s="201"/>
      <c r="I2480" s="226"/>
      <c r="J2480" s="226"/>
      <c r="K2480" s="226"/>
      <c r="L2480" s="226"/>
      <c r="M2480" s="226"/>
      <c r="N2480" s="226"/>
      <c r="P2480" s="230">
        <f t="shared" si="1134"/>
        <v>0</v>
      </c>
    </row>
    <row r="2481" spans="1:18" x14ac:dyDescent="0.2">
      <c r="B2481" s="225"/>
      <c r="C2481" s="286" t="s">
        <v>458</v>
      </c>
      <c r="D2481" s="286"/>
      <c r="E2481" s="286"/>
      <c r="F2481" s="286"/>
      <c r="G2481" s="286"/>
      <c r="H2481" s="286"/>
      <c r="I2481" s="286"/>
      <c r="J2481" s="286"/>
      <c r="K2481" s="286"/>
      <c r="L2481" s="286"/>
      <c r="M2481" s="226"/>
      <c r="N2481" s="226"/>
      <c r="P2481" s="230">
        <f t="shared" si="1134"/>
        <v>0</v>
      </c>
    </row>
    <row r="2482" spans="1:18" x14ac:dyDescent="0.2">
      <c r="B2482" s="225"/>
      <c r="C2482" s="286" t="s">
        <v>459</v>
      </c>
      <c r="D2482" s="286"/>
      <c r="E2482" s="286"/>
      <c r="F2482" s="286"/>
      <c r="G2482" s="286"/>
      <c r="H2482" s="286"/>
      <c r="I2482" s="286"/>
      <c r="J2482" s="286"/>
      <c r="K2482" s="286"/>
      <c r="L2482" s="286"/>
      <c r="M2482" s="226"/>
      <c r="N2482" s="226"/>
      <c r="P2482" s="230">
        <f t="shared" si="1134"/>
        <v>0</v>
      </c>
    </row>
    <row r="2483" spans="1:18" x14ac:dyDescent="0.2">
      <c r="B2483" s="225" t="s">
        <v>460</v>
      </c>
      <c r="C2483" s="234"/>
      <c r="D2483" s="234"/>
      <c r="E2483" s="234"/>
      <c r="F2483" s="234"/>
      <c r="G2483" s="234"/>
      <c r="H2483" s="234"/>
      <c r="I2483" s="235"/>
      <c r="J2483" s="235"/>
      <c r="K2483" s="235"/>
      <c r="L2483" s="287" t="s">
        <v>461</v>
      </c>
      <c r="M2483" s="287"/>
      <c r="N2483" s="287"/>
      <c r="P2483" s="230">
        <f t="shared" si="1134"/>
        <v>0</v>
      </c>
    </row>
    <row r="2484" spans="1:18" x14ac:dyDescent="0.2">
      <c r="B2484" s="225"/>
      <c r="C2484" s="234"/>
      <c r="D2484" s="234"/>
      <c r="E2484" s="234"/>
      <c r="F2484" s="234"/>
      <c r="G2484" s="234"/>
      <c r="H2484" s="234"/>
      <c r="I2484" s="235"/>
      <c r="J2484" s="235"/>
      <c r="K2484" s="235"/>
      <c r="L2484" s="235"/>
      <c r="M2484" s="235"/>
      <c r="N2484" s="235"/>
      <c r="P2484" s="230">
        <f t="shared" si="1134"/>
        <v>0</v>
      </c>
    </row>
    <row r="2485" spans="1:18" x14ac:dyDescent="0.2">
      <c r="B2485" s="225" t="s">
        <v>2038</v>
      </c>
      <c r="C2485" s="234"/>
      <c r="D2485" s="234"/>
      <c r="E2485" s="234"/>
      <c r="F2485" s="234"/>
      <c r="G2485" s="234"/>
      <c r="H2485" s="234"/>
      <c r="I2485" s="235"/>
      <c r="J2485" s="235"/>
      <c r="K2485" s="235"/>
      <c r="L2485" s="235"/>
      <c r="M2485" s="235"/>
      <c r="N2485" s="235"/>
      <c r="P2485" s="230">
        <f t="shared" si="1134"/>
        <v>0</v>
      </c>
    </row>
    <row r="2486" spans="1:18" x14ac:dyDescent="0.2">
      <c r="B2486" s="225" t="s">
        <v>462</v>
      </c>
      <c r="C2486" s="234"/>
      <c r="D2486" s="234"/>
      <c r="E2486" s="234"/>
      <c r="F2486" s="234"/>
      <c r="G2486" s="234"/>
      <c r="H2486" s="234"/>
      <c r="I2486" s="235"/>
      <c r="J2486" s="235"/>
      <c r="K2486" s="235"/>
      <c r="L2486" s="235"/>
      <c r="M2486" s="235"/>
      <c r="N2486" s="235"/>
      <c r="P2486" s="230">
        <f t="shared" si="1134"/>
        <v>0</v>
      </c>
    </row>
    <row r="2487" spans="1:18" x14ac:dyDescent="0.2">
      <c r="B2487" s="225" t="s">
        <v>2037</v>
      </c>
      <c r="C2487" s="234"/>
      <c r="D2487" s="234"/>
      <c r="E2487" s="234"/>
      <c r="F2487" s="234"/>
      <c r="G2487" s="234"/>
      <c r="H2487" s="234"/>
      <c r="I2487" s="235"/>
      <c r="J2487" s="235"/>
      <c r="K2487" s="235"/>
      <c r="L2487" s="235"/>
      <c r="M2487" s="235"/>
      <c r="N2487" s="235"/>
      <c r="P2487" s="230">
        <f t="shared" si="1134"/>
        <v>0</v>
      </c>
    </row>
    <row r="2488" spans="1:18" x14ac:dyDescent="0.2">
      <c r="B2488" s="225" t="s">
        <v>2052</v>
      </c>
      <c r="C2488" s="234"/>
      <c r="D2488" s="234"/>
      <c r="E2488" s="234"/>
      <c r="F2488" s="234"/>
      <c r="G2488" s="234"/>
      <c r="H2488" s="234"/>
      <c r="I2488" s="235"/>
      <c r="J2488" s="235"/>
      <c r="K2488" s="235"/>
      <c r="L2488" s="235"/>
      <c r="M2488" s="235"/>
      <c r="N2488" s="235"/>
      <c r="P2488" s="230">
        <f t="shared" si="1134"/>
        <v>0</v>
      </c>
    </row>
    <row r="2489" spans="1:18" x14ac:dyDescent="0.2">
      <c r="B2489" s="225"/>
      <c r="C2489" s="225"/>
      <c r="D2489" s="225"/>
      <c r="E2489" s="225"/>
      <c r="F2489" s="225"/>
      <c r="G2489" s="225"/>
      <c r="H2489" s="201"/>
      <c r="I2489" s="226"/>
      <c r="J2489" s="226"/>
      <c r="K2489" s="226"/>
      <c r="L2489" s="226"/>
      <c r="M2489" s="226"/>
      <c r="N2489" s="226"/>
      <c r="P2489" s="230">
        <f t="shared" si="1134"/>
        <v>0</v>
      </c>
    </row>
    <row r="2490" spans="1:18" x14ac:dyDescent="0.2">
      <c r="B2490" s="288" t="s">
        <v>106</v>
      </c>
      <c r="C2490" s="290" t="s">
        <v>463</v>
      </c>
      <c r="D2490" s="288" t="s">
        <v>464</v>
      </c>
      <c r="E2490" s="288" t="s">
        <v>465</v>
      </c>
      <c r="F2490" s="288" t="s">
        <v>490</v>
      </c>
      <c r="G2490" s="288" t="s">
        <v>466</v>
      </c>
      <c r="H2490" s="292" t="s">
        <v>8</v>
      </c>
      <c r="I2490" s="294" t="s">
        <v>467</v>
      </c>
      <c r="J2490" s="295"/>
      <c r="K2490" s="295"/>
      <c r="L2490" s="296"/>
      <c r="M2490" s="297" t="s">
        <v>468</v>
      </c>
      <c r="N2490" s="299" t="s">
        <v>469</v>
      </c>
      <c r="P2490" s="230">
        <f t="shared" si="1134"/>
        <v>0</v>
      </c>
    </row>
    <row r="2491" spans="1:18" x14ac:dyDescent="0.2">
      <c r="B2491" s="289"/>
      <c r="C2491" s="291"/>
      <c r="D2491" s="289"/>
      <c r="E2491" s="289"/>
      <c r="F2491" s="289"/>
      <c r="G2491" s="289"/>
      <c r="H2491" s="293"/>
      <c r="I2491" s="236" t="s">
        <v>470</v>
      </c>
      <c r="J2491" s="236" t="s">
        <v>471</v>
      </c>
      <c r="K2491" s="236" t="s">
        <v>472</v>
      </c>
      <c r="L2491" s="236" t="s">
        <v>473</v>
      </c>
      <c r="M2491" s="298"/>
      <c r="N2491" s="300"/>
      <c r="P2491" s="230">
        <f t="shared" si="1134"/>
        <v>0</v>
      </c>
    </row>
    <row r="2492" spans="1:18" x14ac:dyDescent="0.2">
      <c r="A2492" s="224" t="str">
        <f>CONCATENATE("Лот"," ",A2493)</f>
        <v>Лот 46</v>
      </c>
      <c r="B2492" s="273" t="s">
        <v>2087</v>
      </c>
      <c r="C2492" s="274"/>
      <c r="D2492" s="274"/>
      <c r="E2492" s="274"/>
      <c r="F2492" s="274"/>
      <c r="G2492" s="275"/>
      <c r="H2492" s="238" t="s">
        <v>17</v>
      </c>
      <c r="I2492" s="270">
        <f ca="1">ROUND(VLOOKUP($H2492,$AJ$4:$AN$13,2,0)*$Q2494*1.51,2)</f>
        <v>120.15</v>
      </c>
      <c r="J2492" s="270">
        <f ca="1">ROUND(VLOOKUP($H2492,$AJ$4:$AN$13,3,0)*$Q2494*1.51,2)</f>
        <v>85.62</v>
      </c>
      <c r="K2492" s="270">
        <f ca="1">ROUND(VLOOKUP($H2492,$AJ$4:$AN$13,4,0)*$Q2494*1.51,2)</f>
        <v>43.38</v>
      </c>
      <c r="L2492" s="270"/>
      <c r="M2492" s="270">
        <f ca="1">ROUND(VLOOKUP($H2492,$AJ$4:$AN$13,5,0)*$Q2494*1.51,2)</f>
        <v>6.85</v>
      </c>
      <c r="N2492" s="270"/>
      <c r="P2492" s="230">
        <f t="shared" si="1134"/>
        <v>1</v>
      </c>
    </row>
    <row r="2493" spans="1:18" x14ac:dyDescent="0.2">
      <c r="A2493" s="224">
        <f>A2438+1</f>
        <v>46</v>
      </c>
      <c r="B2493" s="276"/>
      <c r="C2493" s="277"/>
      <c r="D2493" s="277"/>
      <c r="E2493" s="277"/>
      <c r="F2493" s="277"/>
      <c r="G2493" s="278"/>
      <c r="H2493" s="238" t="s">
        <v>25</v>
      </c>
      <c r="I2493" s="270">
        <f ca="1">ROUND(VLOOKUP($H2493,$AJ$4:$AN$13,2,0)*$Q2494*1.51,2)</f>
        <v>898.69</v>
      </c>
      <c r="J2493" s="270">
        <f ca="1">ROUND(VLOOKUP($H2493,$AJ$4:$AN$13,3,0)*$Q2494*1.51,2)</f>
        <v>642.13</v>
      </c>
      <c r="K2493" s="270">
        <f ca="1">ROUND(VLOOKUP($H2493,$AJ$4:$AN$13,4,0)*$Q2494*1.51,2)</f>
        <v>323.06</v>
      </c>
      <c r="L2493" s="270"/>
      <c r="M2493" s="270">
        <f ca="1">ROUND(VLOOKUP($H2493,$AJ$4:$AN$13,5,0)*$Q2494*1.51,2)</f>
        <v>27.97</v>
      </c>
      <c r="N2493" s="270"/>
      <c r="P2493" s="230">
        <f t="shared" si="1134"/>
        <v>1</v>
      </c>
      <c r="Q2493" s="240" t="s">
        <v>2045</v>
      </c>
      <c r="R2493" s="240" t="s">
        <v>2046</v>
      </c>
    </row>
    <row r="2494" spans="1:18" x14ac:dyDescent="0.2">
      <c r="B2494" s="276"/>
      <c r="C2494" s="277"/>
      <c r="D2494" s="277"/>
      <c r="E2494" s="277"/>
      <c r="F2494" s="277"/>
      <c r="G2494" s="278"/>
      <c r="H2494" s="238" t="s">
        <v>19</v>
      </c>
      <c r="I2494" s="270">
        <f ca="1">ROUND(VLOOKUP($H2494,$AJ$4:$AN$13,2,0)*$Q2494*1.51,2)</f>
        <v>71.349999999999994</v>
      </c>
      <c r="J2494" s="270">
        <f ca="1">ROUND(VLOOKUP($H2494,$AJ$4:$AN$13,3,0)*$Q2494*1.51,2)</f>
        <v>51.94</v>
      </c>
      <c r="K2494" s="270">
        <f ca="1">ROUND(VLOOKUP($H2494,$AJ$4:$AN$13,4,0)*$Q2494*1.51,2)</f>
        <v>26.54</v>
      </c>
      <c r="L2494" s="270"/>
      <c r="M2494" s="270">
        <f ca="1">ROUND(VLOOKUP($H2494,$AJ$4:$AN$13,5,0)*$Q2494*1.51,2)</f>
        <v>1.43</v>
      </c>
      <c r="N2494" s="270"/>
      <c r="P2494" s="230">
        <f t="shared" si="1134"/>
        <v>0</v>
      </c>
      <c r="Q2494" s="123">
        <f ca="1">IFERROR(IF(R2494="","",IF(OR(R2494&lt;100,R2494=100),0.9,IF(OR(AND(R2494&gt;100,R2494&lt;150),R2494=150),1,IF(R2494&gt;150,1.05,"")))),"0")</f>
        <v>1.05</v>
      </c>
      <c r="R2494" s="123">
        <f ca="1">N2510/G2498</f>
        <v>244.08837209302325</v>
      </c>
    </row>
    <row r="2495" spans="1:18" x14ac:dyDescent="0.2">
      <c r="B2495" s="276"/>
      <c r="C2495" s="277"/>
      <c r="D2495" s="277"/>
      <c r="E2495" s="277"/>
      <c r="F2495" s="277"/>
      <c r="G2495" s="278"/>
      <c r="H2495" s="238" t="s">
        <v>268</v>
      </c>
      <c r="I2495" s="270">
        <f ca="1">ROUND(VLOOKUP($H2495,$AJ$4:$AN$13,2,0)*$Q2494*1.51,2)</f>
        <v>898.69</v>
      </c>
      <c r="J2495" s="270">
        <f ca="1">ROUND(VLOOKUP($H2495,$AJ$4:$AN$13,3,0)*$Q2494*1.51,2)</f>
        <v>642.13</v>
      </c>
      <c r="K2495" s="270">
        <f ca="1">ROUND(VLOOKUP($H2495,$AJ$4:$AN$13,4,0)*$Q2494*1.51,2)</f>
        <v>323.06</v>
      </c>
      <c r="L2495" s="270"/>
      <c r="M2495" s="270">
        <f ca="1">ROUND(VLOOKUP($H2495,$AJ$4:$AN$13,5,0)*$Q2494*1.51,2)</f>
        <v>27.97</v>
      </c>
      <c r="N2495" s="270"/>
    </row>
    <row r="2496" spans="1:18" x14ac:dyDescent="0.2">
      <c r="B2496" s="276"/>
      <c r="C2496" s="277"/>
      <c r="D2496" s="277"/>
      <c r="E2496" s="277"/>
      <c r="F2496" s="277"/>
      <c r="G2496" s="278"/>
      <c r="H2496" s="238" t="s">
        <v>40</v>
      </c>
      <c r="I2496" s="270">
        <f ca="1">ROUND(VLOOKUP($H2496,$AJ$4:$AN$13,2,0)*$Q2494*1.51,2)</f>
        <v>71.349999999999994</v>
      </c>
      <c r="J2496" s="270">
        <f ca="1">ROUND(VLOOKUP($H2496,$AJ$4:$AN$13,3,0)*$Q2494*1.51,2)</f>
        <v>51.94</v>
      </c>
      <c r="K2496" s="270">
        <f ca="1">ROUND(VLOOKUP($H2496,$AJ$4:$AN$13,4,0)*$Q2494*1.51,2)</f>
        <v>26.54</v>
      </c>
      <c r="L2496" s="270"/>
      <c r="M2496" s="270">
        <f ca="1">ROUND(VLOOKUP($H2496,$AJ$4:$AN$13,5,0)*$Q2494*1.51,2)</f>
        <v>1.43</v>
      </c>
      <c r="N2496" s="270"/>
      <c r="P2496" s="230">
        <f t="shared" ref="P2496:P2509" si="1135">IF(A2496&gt;0,1,0)</f>
        <v>0</v>
      </c>
    </row>
    <row r="2497" spans="1:43" x14ac:dyDescent="0.2">
      <c r="B2497" s="279"/>
      <c r="C2497" s="280"/>
      <c r="D2497" s="280"/>
      <c r="E2497" s="280"/>
      <c r="F2497" s="280"/>
      <c r="G2497" s="281"/>
      <c r="H2497" s="238" t="s">
        <v>18</v>
      </c>
      <c r="I2497" s="270">
        <f ca="1">ROUND(VLOOKUP($H2497,$AJ$4:$AN$13,2,0)*$Q2494*1.51,2)</f>
        <v>22.83</v>
      </c>
      <c r="J2497" s="270">
        <f ca="1">ROUND(VLOOKUP($H2497,$AJ$4:$AN$13,3,0)*$Q2494*1.51,2)</f>
        <v>17.41</v>
      </c>
      <c r="K2497" s="270">
        <f ca="1">ROUND(VLOOKUP($H2497,$AJ$4:$AN$13,4,0)*$Q2494*1.51,2)</f>
        <v>8.85</v>
      </c>
      <c r="L2497" s="270"/>
      <c r="M2497" s="270">
        <f ca="1">ROUND(VLOOKUP($H2497,$AJ$4:$AN$13,5,0)*$Q2494*1.51*1,2)</f>
        <v>0.56999999999999995</v>
      </c>
      <c r="N2497" s="270"/>
      <c r="P2497" s="230">
        <f t="shared" si="1135"/>
        <v>0</v>
      </c>
      <c r="AP2497" s="241" t="s">
        <v>2053</v>
      </c>
      <c r="AQ2497" s="242"/>
    </row>
    <row r="2498" spans="1:43" x14ac:dyDescent="0.2">
      <c r="A2498" s="224">
        <f>A2443+37</f>
        <v>1665</v>
      </c>
      <c r="B2498" s="243" t="str">
        <f ca="1">OFFSET(ЛОТЫ!$L$5,A2498,0,1,1)</f>
        <v>Тумбинское</v>
      </c>
      <c r="C2498" s="244" t="s">
        <v>474</v>
      </c>
      <c r="D2498" s="243">
        <f ca="1">OFFSET(ЛОТЫ!$M$5,A2498,0,1,1)</f>
        <v>4</v>
      </c>
      <c r="E2498" s="243">
        <f ca="1">OFFSET(ЛОТЫ!$N$5,A2498,0,1,1)</f>
        <v>2</v>
      </c>
      <c r="F2498" s="243">
        <f ca="1">OFFSET(ЛОТЫ!$O$5,A2498,0,1,1)</f>
        <v>3</v>
      </c>
      <c r="G2498" s="271">
        <f ca="1">IFERROR(INDEX('Ведомость расчета мин. платы'!$G$10:$AC$214,MATCH(CONCATENATE(B2498,"/",D2498,"/",E2498,"/",F2498),'Ведомость расчета мин. платы'!$AC$10:$AC$214,0),1),"")</f>
        <v>4.3</v>
      </c>
      <c r="H2498" s="246" t="s">
        <v>17</v>
      </c>
      <c r="I2498" s="247">
        <f ca="1">IFERROR(INDEX('Ведомость расчета мин. платы'!$J$10:$AE$214,MATCH(CONCATENATE(РАСЧЕТ!B2498,"/",РАСЧЕТ!D2498,"/",РАСЧЕТ!E2498,"/",F2498,"/",H2498),'Ведомость расчета мин. платы'!$AE$10:$AE$214,0),2),"")</f>
        <v>5.16</v>
      </c>
      <c r="J2498" s="247">
        <f ca="1">IFERROR(INDEX('Ведомость расчета мин. платы'!$J$10:$AE$214,MATCH(CONCATENATE(РАСЧЕТ!B2498,"/",РАСЧЕТ!D2498,"/",РАСЧЕТ!E2498,"/",F2498,"/",H2498),'Ведомость расчета мин. платы'!$AE$10:$AE$214,0),3),"")</f>
        <v>21.29</v>
      </c>
      <c r="K2498" s="247">
        <f ca="1">IFERROR(INDEX('Ведомость расчета мин. платы'!$J$10:$AE$214,MATCH(CONCATENATE(РАСЧЕТ!B2498,"/",РАСЧЕТ!D2498,"/",РАСЧЕТ!E2498,"/",F2498,"/",H2498),'Ведомость расчета мин. платы'!$AE$10:$AE$214,0),4),"")</f>
        <v>3.48</v>
      </c>
      <c r="L2498" s="248">
        <f t="shared" ref="L2498:L2510" ca="1" si="1136">IFERROR(SUM(I2498:K2498),"")</f>
        <v>29.93</v>
      </c>
      <c r="M2498" s="214">
        <f ca="1">IFERROR(INDEX('Ведомость расчета мин. платы'!$J$10:$AE$214,MATCH(CONCATENATE(РАСЧЕТ!B2498,"/",РАСЧЕТ!D2498,"/",РАСЧЕТ!E2498,"/",F2498,"/",H2498),'Ведомость расчета мин. платы'!$AE$10:$AE$214,0),6),"")</f>
        <v>70.64</v>
      </c>
      <c r="N2498" s="214">
        <f t="shared" ref="N2498:N2510" ca="1" si="1137">IFERROR(SUM(L2498:M2498),"")</f>
        <v>100.57</v>
      </c>
      <c r="O2498" s="229">
        <f>IF(H2498="стоимость","",1)</f>
        <v>1</v>
      </c>
      <c r="P2498" s="230">
        <f t="shared" si="1135"/>
        <v>1</v>
      </c>
      <c r="AP2498" s="242"/>
      <c r="AQ2498" s="242"/>
    </row>
    <row r="2499" spans="1:43" x14ac:dyDescent="0.2">
      <c r="B2499" s="249"/>
      <c r="C2499" s="249"/>
      <c r="D2499" s="249"/>
      <c r="E2499" s="249"/>
      <c r="F2499" s="249"/>
      <c r="G2499" s="249"/>
      <c r="H2499" s="250" t="s">
        <v>475</v>
      </c>
      <c r="I2499" s="251">
        <f ca="1">IFERROR(ROUND(I2498*I2492,2),"")</f>
        <v>619.97</v>
      </c>
      <c r="J2499" s="251">
        <f t="shared" ref="J2499" ca="1" si="1138">IFERROR(ROUND(J2498*J2492,2),"")</f>
        <v>1822.85</v>
      </c>
      <c r="K2499" s="251">
        <f t="shared" ref="K2499" ca="1" si="1139">IFERROR(ROUND(K2498*K2492,2),"")</f>
        <v>150.96</v>
      </c>
      <c r="L2499" s="251">
        <f t="shared" ca="1" si="1136"/>
        <v>2593.7799999999997</v>
      </c>
      <c r="M2499" s="251">
        <f t="shared" ref="M2499" ca="1" si="1140">IFERROR(ROUND(M2498*M2492,2),"")</f>
        <v>483.88</v>
      </c>
      <c r="N2499" s="252">
        <f t="shared" ca="1" si="1137"/>
        <v>3077.66</v>
      </c>
      <c r="O2499" s="229" t="str">
        <f t="shared" ref="O2499:O2509" si="1141">IF(H2499="стоимость","",1)</f>
        <v/>
      </c>
      <c r="P2499" s="230">
        <f t="shared" si="1135"/>
        <v>0</v>
      </c>
      <c r="AP2499" s="242">
        <f ca="1">SUMIFS('Ведомость расчета мин. платы'!$S$10:$S$209,'Ведомость расчета мин. платы'!$AE$10:$AE$209,CONCATENATE(B2498,"/",D2498,"/",E2498,"/",F2498,"/",H2498))</f>
        <v>3077.66</v>
      </c>
      <c r="AQ2499" s="253">
        <f t="shared" ref="AQ2499" ca="1" si="1142">AP2499-N2499</f>
        <v>0</v>
      </c>
    </row>
    <row r="2500" spans="1:43" x14ac:dyDescent="0.2">
      <c r="B2500" s="249"/>
      <c r="C2500" s="249"/>
      <c r="D2500" s="249"/>
      <c r="E2500" s="249"/>
      <c r="F2500" s="249"/>
      <c r="G2500" s="249"/>
      <c r="H2500" s="246" t="s">
        <v>25</v>
      </c>
      <c r="I2500" s="247" t="str">
        <f ca="1">IFERROR(INDEX('Ведомость расчета мин. платы'!$J$10:$AE$214,MATCH(CONCATENATE(РАСЧЕТ!B2498,"/",РАСЧЕТ!D2498,"/",РАСЧЕТ!E2498,"/",F2498,"/",H2500),'Ведомость расчета мин. платы'!$AE$10:$AE$214,0),2),"")</f>
        <v/>
      </c>
      <c r="J2500" s="247" t="str">
        <f ca="1">IFERROR(INDEX('Ведомость расчета мин. платы'!$J$10:$AE$214,MATCH(CONCATENATE(РАСЧЕТ!B2498,"/",РАСЧЕТ!D2498,"/",РАСЧЕТ!E2498,"/",F2498,"/",H2500),'Ведомость расчета мин. платы'!$AE$10:$AE$214,0),3),"")</f>
        <v/>
      </c>
      <c r="K2500" s="247" t="str">
        <f ca="1">IFERROR(INDEX('Ведомость расчета мин. платы'!$J$10:$AE$214,MATCH(CONCATENATE(РАСЧЕТ!B2498,"/",РАСЧЕТ!D2498,"/",РАСЧЕТ!E2498,"/",F2498,"/",H2500),'Ведомость расчета мин. платы'!$AE$10:$AE$214,0),4),"")</f>
        <v/>
      </c>
      <c r="L2500" s="248">
        <f t="shared" ca="1" si="1136"/>
        <v>0</v>
      </c>
      <c r="M2500" s="214" t="str">
        <f ca="1">IFERROR(INDEX('Ведомость расчета мин. платы'!$J$10:$AE$214,MATCH(CONCATENATE(РАСЧЕТ!B2498,"/",РАСЧЕТ!D2498,"/",РАСЧЕТ!E2498,"/",F2498,"/",H2500),'Ведомость расчета мин. платы'!$AE$10:$AE$214,0),6),"")</f>
        <v/>
      </c>
      <c r="N2500" s="214">
        <f t="shared" ca="1" si="1137"/>
        <v>0</v>
      </c>
      <c r="O2500" s="229">
        <f t="shared" si="1141"/>
        <v>1</v>
      </c>
      <c r="P2500" s="230">
        <f t="shared" si="1135"/>
        <v>0</v>
      </c>
      <c r="AP2500" s="242"/>
      <c r="AQ2500" s="253"/>
    </row>
    <row r="2501" spans="1:43" x14ac:dyDescent="0.2">
      <c r="B2501" s="249"/>
      <c r="C2501" s="249"/>
      <c r="D2501" s="249"/>
      <c r="E2501" s="249"/>
      <c r="F2501" s="249"/>
      <c r="G2501" s="249"/>
      <c r="H2501" s="250" t="s">
        <v>475</v>
      </c>
      <c r="I2501" s="251" t="str">
        <f ca="1">IFERROR(ROUND(I2500*I2493,2),"")</f>
        <v/>
      </c>
      <c r="J2501" s="251" t="str">
        <f t="shared" ref="J2501" ca="1" si="1143">IFERROR(ROUND(J2500*J2493,2),"")</f>
        <v/>
      </c>
      <c r="K2501" s="251" t="str">
        <f t="shared" ref="K2501" ca="1" si="1144">IFERROR(ROUND(K2500*K2493,2),"")</f>
        <v/>
      </c>
      <c r="L2501" s="251">
        <f t="shared" ca="1" si="1136"/>
        <v>0</v>
      </c>
      <c r="M2501" s="251" t="str">
        <f t="shared" ref="M2501" ca="1" si="1145">IFERROR(ROUND(M2500*M2493,2),"")</f>
        <v/>
      </c>
      <c r="N2501" s="252">
        <f t="shared" ca="1" si="1137"/>
        <v>0</v>
      </c>
      <c r="O2501" s="229" t="str">
        <f t="shared" si="1141"/>
        <v/>
      </c>
      <c r="P2501" s="230">
        <f t="shared" si="1135"/>
        <v>0</v>
      </c>
      <c r="AP2501" s="242">
        <f ca="1">SUMIFS('Ведомость расчета мин. платы'!$S$10:$S$209,'Ведомость расчета мин. платы'!$AE$10:$AE$209,CONCATENATE(B2498,"/",D2498,"/",E2498,"/",F2498,"/",H2500))</f>
        <v>0</v>
      </c>
      <c r="AQ2501" s="253">
        <f t="shared" ref="AQ2501" ca="1" si="1146">AP2501-N2501</f>
        <v>0</v>
      </c>
    </row>
    <row r="2502" spans="1:43" x14ac:dyDescent="0.2">
      <c r="B2502" s="249"/>
      <c r="C2502" s="249"/>
      <c r="D2502" s="249"/>
      <c r="E2502" s="249"/>
      <c r="F2502" s="249"/>
      <c r="G2502" s="249"/>
      <c r="H2502" s="205" t="s">
        <v>19</v>
      </c>
      <c r="I2502" s="248" t="str">
        <f ca="1">IFERROR(INDEX('Ведомость расчета мин. платы'!$J$10:$AE$214,MATCH(CONCATENATE(РАСЧЕТ!B2498,"/",РАСЧЕТ!D2498,"/",РАСЧЕТ!E2498,"/",F2498,"/",H2502),'Ведомость расчета мин. платы'!$AE$10:$AE$214,0),2),"")</f>
        <v/>
      </c>
      <c r="J2502" s="248" t="str">
        <f ca="1">IFERROR(INDEX('Ведомость расчета мин. платы'!$J$10:$AE$214,MATCH(CONCATENATE(РАСЧЕТ!B2498,"/",РАСЧЕТ!D2498,"/",РАСЧЕТ!E2498,"/",F2498,"/",H2502),'Ведомость расчета мин. платы'!$AE$10:$AE$214,0),3),"")</f>
        <v/>
      </c>
      <c r="K2502" s="248" t="str">
        <f ca="1">IFERROR(INDEX('Ведомость расчета мин. платы'!$J$10:$AE$214,MATCH(CONCATENATE(РАСЧЕТ!B2498,"/",РАСЧЕТ!D2498,"/",РАСЧЕТ!E2498,"/",F2498,"/",H2502),'Ведомость расчета мин. платы'!$AE$10:$AE$214,0),4),"")</f>
        <v/>
      </c>
      <c r="L2502" s="248">
        <f t="shared" ca="1" si="1136"/>
        <v>0</v>
      </c>
      <c r="M2502" s="248" t="str">
        <f ca="1">IFERROR(INDEX('Ведомость расчета мин. платы'!$J$10:$AE$214,MATCH(CONCATENATE(РАСЧЕТ!B2498,"/",РАСЧЕТ!D2498,"/",РАСЧЕТ!E2498,"/",F2498,"/",H2502),'Ведомость расчета мин. платы'!$AE$10:$AE$214,0),6),"")</f>
        <v/>
      </c>
      <c r="N2502" s="214">
        <f t="shared" ca="1" si="1137"/>
        <v>0</v>
      </c>
      <c r="O2502" s="229">
        <f t="shared" si="1141"/>
        <v>1</v>
      </c>
      <c r="P2502" s="230">
        <f t="shared" si="1135"/>
        <v>0</v>
      </c>
      <c r="AP2502" s="242"/>
      <c r="AQ2502" s="253"/>
    </row>
    <row r="2503" spans="1:43" x14ac:dyDescent="0.2">
      <c r="B2503" s="249"/>
      <c r="C2503" s="249"/>
      <c r="D2503" s="249"/>
      <c r="E2503" s="249"/>
      <c r="F2503" s="249"/>
      <c r="G2503" s="249"/>
      <c r="H2503" s="250" t="s">
        <v>475</v>
      </c>
      <c r="I2503" s="251" t="str">
        <f ca="1">IFERROR(ROUND(I2502*I2494,2),"")</f>
        <v/>
      </c>
      <c r="J2503" s="251" t="str">
        <f t="shared" ref="J2503" ca="1" si="1147">IFERROR(ROUND(J2502*J2494,2),"")</f>
        <v/>
      </c>
      <c r="K2503" s="251" t="str">
        <f t="shared" ref="K2503" ca="1" si="1148">IFERROR(ROUND(K2502*K2494,2),"")</f>
        <v/>
      </c>
      <c r="L2503" s="251">
        <f t="shared" ca="1" si="1136"/>
        <v>0</v>
      </c>
      <c r="M2503" s="251" t="str">
        <f t="shared" ref="M2503" ca="1" si="1149">IFERROR(ROUND(M2502*M2494,2),"")</f>
        <v/>
      </c>
      <c r="N2503" s="252">
        <f t="shared" ca="1" si="1137"/>
        <v>0</v>
      </c>
      <c r="O2503" s="229" t="str">
        <f t="shared" si="1141"/>
        <v/>
      </c>
      <c r="P2503" s="230">
        <f t="shared" si="1135"/>
        <v>0</v>
      </c>
      <c r="AP2503" s="242">
        <f ca="1">SUMIFS('Ведомость расчета мин. платы'!$S$10:$S$209,'Ведомость расчета мин. платы'!$AE$10:$AE$209,CONCATENATE(B2498,"/",D2498,"/",E2498,"/",F2498,"/",H2502))</f>
        <v>0</v>
      </c>
      <c r="AQ2503" s="253">
        <f t="shared" ref="AQ2503" ca="1" si="1150">AP2503-N2503</f>
        <v>0</v>
      </c>
    </row>
    <row r="2504" spans="1:43" x14ac:dyDescent="0.2">
      <c r="B2504" s="249"/>
      <c r="C2504" s="249"/>
      <c r="D2504" s="249"/>
      <c r="E2504" s="249"/>
      <c r="F2504" s="249"/>
      <c r="G2504" s="249"/>
      <c r="H2504" s="205" t="s">
        <v>268</v>
      </c>
      <c r="I2504" s="248" t="str">
        <f ca="1">IFERROR(INDEX('Ведомость расчета мин. платы'!$J$10:$AE$214,MATCH(CONCATENATE(РАСЧЕТ!B2498,"/",РАСЧЕТ!D2498,"/",РАСЧЕТ!E2498,"/",F2498,"/",H2504),'Ведомость расчета мин. платы'!$AE$10:$AE$214,0),2),"")</f>
        <v/>
      </c>
      <c r="J2504" s="248" t="str">
        <f ca="1">IFERROR(INDEX('Ведомость расчета мин. платы'!$J$10:$AE$214,MATCH(CONCATENATE(РАСЧЕТ!B2498,"/",РАСЧЕТ!D2498,"/",РАСЧЕТ!E2498,"/",F2498,"/",H2504),'Ведомость расчета мин. платы'!$AE$10:$AE$214,0),3),"")</f>
        <v/>
      </c>
      <c r="K2504" s="248" t="str">
        <f ca="1">IFERROR(INDEX('Ведомость расчета мин. платы'!$J$10:$AE$214,MATCH(CONCATENATE(РАСЧЕТ!B2498,"/",РАСЧЕТ!D2498,"/",РАСЧЕТ!E2498,"/",F2498,"/",H2504),'Ведомость расчета мин. платы'!$AE$10:$AE$214,0),4),"")</f>
        <v/>
      </c>
      <c r="L2504" s="248">
        <f t="shared" ca="1" si="1136"/>
        <v>0</v>
      </c>
      <c r="M2504" s="248" t="str">
        <f ca="1">IFERROR(INDEX('Ведомость расчета мин. платы'!$J$10:$AE$214,MATCH(CONCATENATE(РАСЧЕТ!B2498,"/",РАСЧЕТ!D2498,"/",РАСЧЕТ!E2498,"/",F2498,"/",H2504),'Ведомость расчета мин. платы'!$AE$10:$AE$214,0),6),"")</f>
        <v/>
      </c>
      <c r="N2504" s="214">
        <f t="shared" ca="1" si="1137"/>
        <v>0</v>
      </c>
      <c r="O2504" s="229">
        <f t="shared" si="1141"/>
        <v>1</v>
      </c>
      <c r="P2504" s="230">
        <f t="shared" si="1135"/>
        <v>0</v>
      </c>
      <c r="AP2504" s="242"/>
      <c r="AQ2504" s="253"/>
    </row>
    <row r="2505" spans="1:43" x14ac:dyDescent="0.2">
      <c r="B2505" s="249"/>
      <c r="C2505" s="249"/>
      <c r="D2505" s="249"/>
      <c r="E2505" s="249"/>
      <c r="F2505" s="249"/>
      <c r="G2505" s="249"/>
      <c r="H2505" s="250" t="s">
        <v>475</v>
      </c>
      <c r="I2505" s="251" t="str">
        <f ca="1">IFERROR(ROUND(I2504*I2497,2),"")</f>
        <v/>
      </c>
      <c r="J2505" s="251" t="str">
        <f ca="1">IFERROR(ROUND(J2504*J2495,2),"")</f>
        <v/>
      </c>
      <c r="K2505" s="251" t="str">
        <f ca="1">IFERROR(ROUND(K2504*K2495,2),"")</f>
        <v/>
      </c>
      <c r="L2505" s="251">
        <f t="shared" ca="1" si="1136"/>
        <v>0</v>
      </c>
      <c r="M2505" s="251" t="str">
        <f ca="1">IFERROR(ROUND(M2504*M2495,2),"")</f>
        <v/>
      </c>
      <c r="N2505" s="252">
        <f t="shared" ca="1" si="1137"/>
        <v>0</v>
      </c>
      <c r="O2505" s="229" t="str">
        <f t="shared" si="1141"/>
        <v/>
      </c>
      <c r="P2505" s="230">
        <f t="shared" si="1135"/>
        <v>0</v>
      </c>
      <c r="AP2505" s="242">
        <f ca="1">SUMIFS('Ведомость расчета мин. платы'!$S$10:$S$209,'Ведомость расчета мин. платы'!$AE$10:$AE$209,CONCATENATE(B2498,"/",D2498,"/",E2498,"/",F2498,"/",H2504))</f>
        <v>0</v>
      </c>
      <c r="AQ2505" s="253">
        <f t="shared" ref="AQ2505" ca="1" si="1151">AP2505-N2505</f>
        <v>0</v>
      </c>
    </row>
    <row r="2506" spans="1:43" x14ac:dyDescent="0.2">
      <c r="B2506" s="249"/>
      <c r="C2506" s="249"/>
      <c r="D2506" s="249"/>
      <c r="E2506" s="249"/>
      <c r="F2506" s="249"/>
      <c r="G2506" s="249"/>
      <c r="H2506" s="205" t="s">
        <v>40</v>
      </c>
      <c r="I2506" s="248" t="str">
        <f ca="1">IFERROR(INDEX('Ведомость расчета мин. платы'!$J$10:$AE$214,MATCH(CONCATENATE(РАСЧЕТ!B2498,"/",РАСЧЕТ!D2498,"/",РАСЧЕТ!E2498,"/",F2498,"/",H2506),'Ведомость расчета мин. платы'!$AE$10:$AE$214,0),2),"")</f>
        <v/>
      </c>
      <c r="J2506" s="248" t="str">
        <f ca="1">IFERROR(INDEX('Ведомость расчета мин. платы'!$J$10:$AE$214,MATCH(CONCATENATE(РАСЧЕТ!B2498,"/",РАСЧЕТ!D2498,"/",РАСЧЕТ!E2498,"/",F2498,"/",H2506),'Ведомость расчета мин. платы'!$AE$10:$AE$214,0),3),"")</f>
        <v/>
      </c>
      <c r="K2506" s="248" t="str">
        <f ca="1">IFERROR(INDEX('Ведомость расчета мин. платы'!$J$10:$AE$214,MATCH(CONCATENATE(РАСЧЕТ!B2498,"/",РАСЧЕТ!D2498,"/",РАСЧЕТ!E2498,"/",F2498,"/",H2506),'Ведомость расчета мин. платы'!$AE$10:$AE$214,0),4),"")</f>
        <v/>
      </c>
      <c r="L2506" s="248">
        <f t="shared" ca="1" si="1136"/>
        <v>0</v>
      </c>
      <c r="M2506" s="248" t="str">
        <f ca="1">IFERROR(INDEX('Ведомость расчета мин. платы'!$J$10:$AE$214,MATCH(CONCATENATE(РАСЧЕТ!B2498,"/",РАСЧЕТ!D2498,"/",РАСЧЕТ!E2498,"/",F2498,"/",H2506),'Ведомость расчета мин. платы'!$AE$10:$AE$214,0),6),"")</f>
        <v/>
      </c>
      <c r="N2506" s="214">
        <f t="shared" ca="1" si="1137"/>
        <v>0</v>
      </c>
      <c r="O2506" s="229">
        <f t="shared" si="1141"/>
        <v>1</v>
      </c>
      <c r="P2506" s="230">
        <f t="shared" si="1135"/>
        <v>0</v>
      </c>
      <c r="AP2506" s="242"/>
      <c r="AQ2506" s="253"/>
    </row>
    <row r="2507" spans="1:43" x14ac:dyDescent="0.2">
      <c r="B2507" s="249"/>
      <c r="C2507" s="249"/>
      <c r="D2507" s="249"/>
      <c r="E2507" s="249"/>
      <c r="F2507" s="249"/>
      <c r="G2507" s="249"/>
      <c r="H2507" s="250" t="s">
        <v>475</v>
      </c>
      <c r="I2507" s="251" t="str">
        <f ca="1">IFERROR(ROUND(I2506*I2496,2),"")</f>
        <v/>
      </c>
      <c r="J2507" s="251" t="str">
        <f t="shared" ref="J2507" ca="1" si="1152">IFERROR(ROUND(J2506*J2496,2),"")</f>
        <v/>
      </c>
      <c r="K2507" s="251" t="str">
        <f t="shared" ref="K2507" ca="1" si="1153">IFERROR(ROUND(K2506*K2496,2),"")</f>
        <v/>
      </c>
      <c r="L2507" s="251">
        <f t="shared" ca="1" si="1136"/>
        <v>0</v>
      </c>
      <c r="M2507" s="251" t="str">
        <f t="shared" ref="M2507" ca="1" si="1154">IFERROR(ROUND(M2506*M2496,2),"")</f>
        <v/>
      </c>
      <c r="N2507" s="252">
        <f t="shared" ca="1" si="1137"/>
        <v>0</v>
      </c>
      <c r="O2507" s="229" t="str">
        <f t="shared" si="1141"/>
        <v/>
      </c>
      <c r="P2507" s="230">
        <f t="shared" si="1135"/>
        <v>0</v>
      </c>
      <c r="AP2507" s="242">
        <f ca="1">SUMIFS('Ведомость расчета мин. платы'!$S$10:$S$209,'Ведомость расчета мин. платы'!$AE$10:$AE$209,CONCATENATE(B2498,"/",D2498,"/",E2498,"/",F2498,"/",H2506))</f>
        <v>0</v>
      </c>
      <c r="AQ2507" s="253">
        <f t="shared" ref="AQ2507" ca="1" si="1155">AP2507-N2507</f>
        <v>0</v>
      </c>
    </row>
    <row r="2508" spans="1:43" x14ac:dyDescent="0.2">
      <c r="B2508" s="249"/>
      <c r="C2508" s="249"/>
      <c r="D2508" s="249"/>
      <c r="E2508" s="249"/>
      <c r="F2508" s="249"/>
      <c r="G2508" s="249"/>
      <c r="H2508" s="205" t="s">
        <v>18</v>
      </c>
      <c r="I2508" s="248">
        <f ca="1">IFERROR(INDEX('Ведомость расчета мин. платы'!$J$10:$AE$214,MATCH(CONCATENATE(РАСЧЕТ!B2498,"/",РАСЧЕТ!D2498,"/",РАСЧЕТ!E2498,"/",F2498,"/",H2508),'Ведомость расчета мин. платы'!$AE$10:$AE$214,0),2),"")</f>
        <v>178.79</v>
      </c>
      <c r="J2508" s="248">
        <f ca="1">IFERROR(INDEX('Ведомость расчета мин. платы'!$J$10:$AE$214,MATCH(CONCATENATE(РАСЧЕТ!B2498,"/",РАСЧЕТ!D2498,"/",РАСЧЕТ!E2498,"/",F2498,"/",H2508),'Ведомость расчета мин. платы'!$AE$10:$AE$214,0),3),"")</f>
        <v>173.59</v>
      </c>
      <c r="K2508" s="248">
        <f ca="1">IFERROR(INDEX('Ведомость расчета мин. платы'!$J$10:$AE$214,MATCH(CONCATENATE(РАСЧЕТ!B2498,"/",РАСЧЕТ!D2498,"/",РАСЧЕТ!E2498,"/",F2498,"/",H2508),'Ведомость расчета мин. платы'!$AE$10:$AE$214,0),4),"")</f>
        <v>0</v>
      </c>
      <c r="L2508" s="248">
        <f t="shared" ca="1" si="1136"/>
        <v>352.38</v>
      </c>
      <c r="M2508" s="248">
        <f ca="1">IFERROR(INDEX('Ведомость расчета мин. платы'!$J$10:$AE$214,MATCH(CONCATENATE(РАСЧЕТ!B2498,"/",РАСЧЕТ!D2498,"/",РАСЧЕТ!E2498,"/",F2498,"/",H2508),'Ведомость расчета мин. платы'!$AE$10:$AE$214,0),6),"")</f>
        <v>596.63</v>
      </c>
      <c r="N2508" s="214">
        <f t="shared" ca="1" si="1137"/>
        <v>949.01</v>
      </c>
      <c r="O2508" s="229">
        <f t="shared" si="1141"/>
        <v>1</v>
      </c>
      <c r="P2508" s="230">
        <f t="shared" si="1135"/>
        <v>0</v>
      </c>
      <c r="AP2508" s="242"/>
      <c r="AQ2508" s="253"/>
    </row>
    <row r="2509" spans="1:43" x14ac:dyDescent="0.2">
      <c r="B2509" s="249"/>
      <c r="C2509" s="249"/>
      <c r="D2509" s="249"/>
      <c r="E2509" s="249"/>
      <c r="F2509" s="249"/>
      <c r="G2509" s="249"/>
      <c r="H2509" s="250" t="s">
        <v>475</v>
      </c>
      <c r="I2509" s="251">
        <f ca="1">IFERROR(ROUND(I2508*I2497,2),"")</f>
        <v>4081.78</v>
      </c>
      <c r="J2509" s="251">
        <f t="shared" ref="J2509" ca="1" si="1156">IFERROR(ROUND(J2508*J2497,2),"")</f>
        <v>3022.2</v>
      </c>
      <c r="K2509" s="251">
        <f t="shared" ref="K2509" ca="1" si="1157">IFERROR(ROUND(K2508*K2497,2),"")</f>
        <v>0</v>
      </c>
      <c r="L2509" s="251">
        <f t="shared" ca="1" si="1136"/>
        <v>7103.98</v>
      </c>
      <c r="M2509" s="251">
        <f t="shared" ref="M2509" ca="1" si="1158">IFERROR(ROUND(M2508*M2497,2),"")</f>
        <v>340.08</v>
      </c>
      <c r="N2509" s="252">
        <f t="shared" ca="1" si="1137"/>
        <v>7444.0599999999995</v>
      </c>
      <c r="O2509" s="229" t="str">
        <f t="shared" si="1141"/>
        <v/>
      </c>
      <c r="P2509" s="230">
        <f t="shared" si="1135"/>
        <v>0</v>
      </c>
      <c r="AP2509" s="242">
        <f ca="1">SUMIFS('Ведомость расчета мин. платы'!$S$10:$S$209,'Ведомость расчета мин. платы'!$AE$10:$AE$209,CONCATENATE(B2498,"/",D2498,"/",E2498,"/",F2498,"/",H2508))</f>
        <v>7444.06</v>
      </c>
      <c r="AQ2509" s="253">
        <f t="shared" ref="AQ2509" ca="1" si="1159">AP2509-N2509</f>
        <v>0</v>
      </c>
    </row>
    <row r="2510" spans="1:43" x14ac:dyDescent="0.2">
      <c r="B2510" s="249"/>
      <c r="C2510" s="249"/>
      <c r="D2510" s="249"/>
      <c r="E2510" s="249"/>
      <c r="F2510" s="249"/>
      <c r="G2510" s="249"/>
      <c r="H2510" s="254" t="s">
        <v>476</v>
      </c>
      <c r="I2510" s="251">
        <f ca="1">SUMIF($O2498:$O2511,1,I2498:I2509)</f>
        <v>183.95</v>
      </c>
      <c r="J2510" s="251">
        <f ca="1">SUMIF($O2498:$O2511,1,J2498:J2509)</f>
        <v>194.88</v>
      </c>
      <c r="K2510" s="251">
        <f ca="1">SUMIF($O2498:$O2511,1,K2498:K2509)</f>
        <v>3.48</v>
      </c>
      <c r="L2510" s="251">
        <f t="shared" ca="1" si="1136"/>
        <v>382.31</v>
      </c>
      <c r="M2510" s="251">
        <f ca="1">SUMIF($O2498:$O2511,1,M2498:M2509)</f>
        <v>667.27</v>
      </c>
      <c r="N2510" s="252">
        <f t="shared" ca="1" si="1137"/>
        <v>1049.58</v>
      </c>
      <c r="AP2510" s="242"/>
      <c r="AQ2510" s="253"/>
    </row>
    <row r="2511" spans="1:43" x14ac:dyDescent="0.2">
      <c r="B2511" s="249"/>
      <c r="C2511" s="249"/>
      <c r="D2511" s="249"/>
      <c r="E2511" s="249"/>
      <c r="F2511" s="249"/>
      <c r="G2511" s="249"/>
      <c r="H2511" s="254" t="s">
        <v>491</v>
      </c>
      <c r="I2511" s="251">
        <f ca="1">SUMIF(H2498:H2509,"стоимость",I2498:I2509)</f>
        <v>4701.75</v>
      </c>
      <c r="J2511" s="251">
        <f ca="1">SUMIF(H2498:H2509,"стоимость",J2498:J2509)</f>
        <v>4845.0499999999993</v>
      </c>
      <c r="K2511" s="251">
        <f ca="1">SUMIF(H2498:H2509,"стоимость",K2498:K2509)</f>
        <v>150.96</v>
      </c>
      <c r="L2511" s="251">
        <f ca="1">IFERROR(SUM(I2511:K2511),"")</f>
        <v>9697.7599999999984</v>
      </c>
      <c r="M2511" s="251">
        <f ca="1">SUMIF(H2498:H2509,"стоимость",M2498:M2509)</f>
        <v>823.96</v>
      </c>
      <c r="N2511" s="252">
        <f ca="1">IFERROR(SUM(L2511:M2511),"")</f>
        <v>10521.719999999998</v>
      </c>
      <c r="AP2511" s="242">
        <f ca="1">SUMIFS('Ведомость расчета мин. платы'!$S$10:$S$209,'Ведомость расчета мин. платы'!$J$10:$J$209,"Итого",'Ведомость расчета мин. платы'!$AC$10:$AC$209,CONCATENATE(B2498,"/",D2498,"/",E2498,"/",F2498))</f>
        <v>10521.720000000001</v>
      </c>
      <c r="AQ2511" s="253">
        <f ca="1">AP2511-N2511</f>
        <v>0</v>
      </c>
    </row>
    <row r="2512" spans="1:43" x14ac:dyDescent="0.2">
      <c r="B2512" s="255"/>
      <c r="C2512" s="255"/>
      <c r="D2512" s="255"/>
      <c r="E2512" s="255"/>
      <c r="F2512" s="255"/>
      <c r="G2512" s="256"/>
      <c r="H2512" s="257"/>
      <c r="I2512" s="258"/>
      <c r="J2512" s="258"/>
      <c r="K2512" s="258"/>
      <c r="L2512" s="258"/>
      <c r="M2512" s="258"/>
      <c r="N2512" s="258"/>
      <c r="P2512" s="230">
        <f t="shared" ref="P2512:P2530" si="1160">IF(A2512&gt;0,1,0)</f>
        <v>0</v>
      </c>
    </row>
    <row r="2513" spans="2:16" x14ac:dyDescent="0.2">
      <c r="B2513" s="282" t="s">
        <v>477</v>
      </c>
      <c r="C2513" s="282"/>
      <c r="D2513" s="282"/>
      <c r="E2513" s="282"/>
      <c r="F2513" s="259"/>
      <c r="G2513" s="225"/>
      <c r="H2513" s="201"/>
      <c r="I2513" s="226"/>
      <c r="J2513" s="258"/>
      <c r="K2513" s="258"/>
      <c r="L2513" s="258"/>
      <c r="M2513" s="258"/>
      <c r="N2513" s="258"/>
      <c r="P2513" s="230">
        <f t="shared" si="1160"/>
        <v>0</v>
      </c>
    </row>
    <row r="2514" spans="2:16" x14ac:dyDescent="0.2">
      <c r="B2514" s="283" t="s">
        <v>525</v>
      </c>
      <c r="C2514" s="283"/>
      <c r="D2514" s="283"/>
      <c r="E2514" s="283"/>
      <c r="F2514" s="283"/>
      <c r="G2514" s="283"/>
      <c r="H2514" s="283"/>
      <c r="I2514" s="283"/>
      <c r="J2514" s="261"/>
      <c r="K2514" s="261"/>
      <c r="L2514" s="261"/>
      <c r="M2514" s="261"/>
      <c r="N2514" s="261"/>
      <c r="P2514" s="230">
        <f t="shared" si="1160"/>
        <v>0</v>
      </c>
    </row>
    <row r="2515" spans="2:16" x14ac:dyDescent="0.2">
      <c r="B2515" s="284" t="s">
        <v>478</v>
      </c>
      <c r="C2515" s="284"/>
      <c r="D2515" s="284"/>
      <c r="E2515" s="284"/>
      <c r="F2515" s="284"/>
      <c r="G2515" s="284"/>
      <c r="H2515" s="284"/>
      <c r="I2515" s="284"/>
      <c r="J2515" s="258"/>
      <c r="K2515" s="258"/>
      <c r="L2515" s="258"/>
      <c r="M2515" s="258"/>
      <c r="N2515" s="258"/>
      <c r="P2515" s="230">
        <f t="shared" si="1160"/>
        <v>0</v>
      </c>
    </row>
    <row r="2516" spans="2:16" x14ac:dyDescent="0.2">
      <c r="B2516" s="284" t="s">
        <v>479</v>
      </c>
      <c r="C2516" s="284"/>
      <c r="D2516" s="284"/>
      <c r="E2516" s="284"/>
      <c r="F2516" s="284"/>
      <c r="G2516" s="284"/>
      <c r="H2516" s="284"/>
      <c r="I2516" s="284"/>
      <c r="J2516" s="258"/>
      <c r="K2516" s="258"/>
      <c r="L2516" s="258"/>
      <c r="M2516" s="258"/>
      <c r="N2516" s="258"/>
      <c r="P2516" s="230">
        <f t="shared" si="1160"/>
        <v>0</v>
      </c>
    </row>
    <row r="2517" spans="2:16" x14ac:dyDescent="0.2">
      <c r="B2517" s="284" t="s">
        <v>480</v>
      </c>
      <c r="C2517" s="284"/>
      <c r="D2517" s="284"/>
      <c r="E2517" s="284"/>
      <c r="F2517" s="284"/>
      <c r="G2517" s="284"/>
      <c r="H2517" s="284"/>
      <c r="I2517" s="284"/>
      <c r="J2517" s="258"/>
      <c r="K2517" s="258"/>
      <c r="L2517" s="258"/>
      <c r="M2517" s="258"/>
      <c r="N2517" s="258"/>
      <c r="P2517" s="230">
        <f t="shared" si="1160"/>
        <v>0</v>
      </c>
    </row>
    <row r="2518" spans="2:16" x14ac:dyDescent="0.2">
      <c r="B2518" s="284" t="s">
        <v>481</v>
      </c>
      <c r="C2518" s="284"/>
      <c r="D2518" s="284"/>
      <c r="E2518" s="284"/>
      <c r="F2518" s="284"/>
      <c r="G2518" s="284"/>
      <c r="H2518" s="284"/>
      <c r="I2518" s="284"/>
      <c r="J2518" s="226"/>
      <c r="K2518" s="226"/>
      <c r="L2518" s="226"/>
      <c r="M2518" s="226"/>
      <c r="N2518" s="226"/>
      <c r="P2518" s="230">
        <f t="shared" si="1160"/>
        <v>0</v>
      </c>
    </row>
    <row r="2519" spans="2:16" x14ac:dyDescent="0.2">
      <c r="B2519" s="284" t="s">
        <v>482</v>
      </c>
      <c r="C2519" s="284"/>
      <c r="D2519" s="284"/>
      <c r="E2519" s="284"/>
      <c r="F2519" s="284"/>
      <c r="G2519" s="284"/>
      <c r="H2519" s="284"/>
      <c r="I2519" s="284"/>
      <c r="J2519" s="226"/>
      <c r="K2519" s="226"/>
      <c r="L2519" s="226"/>
      <c r="M2519" s="226"/>
      <c r="N2519" s="226"/>
      <c r="P2519" s="230">
        <f t="shared" si="1160"/>
        <v>0</v>
      </c>
    </row>
    <row r="2520" spans="2:16" x14ac:dyDescent="0.2">
      <c r="B2520" s="284" t="s">
        <v>483</v>
      </c>
      <c r="C2520" s="284"/>
      <c r="D2520" s="284"/>
      <c r="E2520" s="284"/>
      <c r="F2520" s="284"/>
      <c r="G2520" s="284"/>
      <c r="H2520" s="284"/>
      <c r="I2520" s="284"/>
      <c r="J2520" s="226"/>
      <c r="K2520" s="226"/>
      <c r="L2520" s="226"/>
      <c r="M2520" s="226"/>
      <c r="N2520" s="226"/>
      <c r="P2520" s="230">
        <f t="shared" si="1160"/>
        <v>0</v>
      </c>
    </row>
    <row r="2521" spans="2:16" x14ac:dyDescent="0.2">
      <c r="B2521" s="284" t="s">
        <v>484</v>
      </c>
      <c r="C2521" s="284"/>
      <c r="D2521" s="284"/>
      <c r="E2521" s="284"/>
      <c r="F2521" s="284"/>
      <c r="G2521" s="284"/>
      <c r="H2521" s="284"/>
      <c r="I2521" s="284"/>
      <c r="J2521" s="226"/>
      <c r="K2521" s="226"/>
      <c r="L2521" s="226"/>
      <c r="M2521" s="226"/>
      <c r="N2521" s="226"/>
      <c r="P2521" s="230">
        <f t="shared" si="1160"/>
        <v>0</v>
      </c>
    </row>
    <row r="2522" spans="2:16" x14ac:dyDescent="0.2">
      <c r="B2522" s="264"/>
      <c r="C2522" s="264"/>
      <c r="D2522" s="264"/>
      <c r="E2522" s="264"/>
      <c r="F2522" s="264"/>
      <c r="G2522" s="264"/>
      <c r="H2522" s="264"/>
      <c r="I2522" s="265"/>
      <c r="J2522" s="226"/>
      <c r="K2522" s="226"/>
      <c r="L2522" s="226"/>
      <c r="M2522" s="226"/>
      <c r="N2522" s="226"/>
      <c r="P2522" s="230">
        <f t="shared" si="1160"/>
        <v>0</v>
      </c>
    </row>
    <row r="2523" spans="2:16" x14ac:dyDescent="0.2">
      <c r="B2523" s="225" t="s">
        <v>485</v>
      </c>
      <c r="C2523" s="225"/>
      <c r="D2523" s="225"/>
      <c r="E2523" s="225"/>
      <c r="F2523" s="225"/>
      <c r="G2523" s="225"/>
      <c r="H2523" s="201"/>
      <c r="I2523" s="226"/>
      <c r="J2523" s="226" t="s">
        <v>486</v>
      </c>
      <c r="K2523" s="226"/>
      <c r="L2523" s="226"/>
      <c r="M2523" s="226"/>
      <c r="N2523" s="226"/>
      <c r="P2523" s="230">
        <f t="shared" si="1160"/>
        <v>0</v>
      </c>
    </row>
    <row r="2524" spans="2:16" x14ac:dyDescent="0.2">
      <c r="B2524" s="266" t="s">
        <v>524</v>
      </c>
      <c r="C2524" s="266"/>
      <c r="D2524" s="225"/>
      <c r="E2524" s="225"/>
      <c r="F2524" s="225"/>
      <c r="G2524" s="225"/>
      <c r="H2524" s="201"/>
      <c r="I2524" s="226"/>
      <c r="J2524" s="267"/>
      <c r="K2524" s="267"/>
      <c r="L2524" s="267"/>
      <c r="M2524" s="226"/>
      <c r="N2524" s="226"/>
      <c r="P2524" s="230">
        <f t="shared" si="1160"/>
        <v>0</v>
      </c>
    </row>
    <row r="2525" spans="2:16" x14ac:dyDescent="0.2">
      <c r="B2525" s="268" t="s">
        <v>487</v>
      </c>
      <c r="C2525" s="225"/>
      <c r="D2525" s="225"/>
      <c r="E2525" s="225"/>
      <c r="F2525" s="225"/>
      <c r="G2525" s="225"/>
      <c r="H2525" s="201"/>
      <c r="I2525" s="226"/>
      <c r="J2525" s="226" t="s">
        <v>487</v>
      </c>
      <c r="K2525" s="226"/>
      <c r="L2525" s="226"/>
      <c r="M2525" s="226"/>
      <c r="N2525" s="226"/>
      <c r="P2525" s="230">
        <f t="shared" si="1160"/>
        <v>0</v>
      </c>
    </row>
    <row r="2526" spans="2:16" x14ac:dyDescent="0.2">
      <c r="B2526" s="225"/>
      <c r="C2526" s="225"/>
      <c r="D2526" s="225"/>
      <c r="E2526" s="225"/>
      <c r="F2526" s="225"/>
      <c r="G2526" s="225"/>
      <c r="H2526" s="201"/>
      <c r="I2526" s="226"/>
      <c r="J2526" s="226"/>
      <c r="K2526" s="226"/>
      <c r="L2526" s="226"/>
      <c r="M2526" s="226"/>
      <c r="N2526" s="226"/>
      <c r="P2526" s="230">
        <f t="shared" si="1160"/>
        <v>0</v>
      </c>
    </row>
    <row r="2527" spans="2:16" x14ac:dyDescent="0.2">
      <c r="B2527" s="266"/>
      <c r="C2527" s="266"/>
      <c r="D2527" s="225"/>
      <c r="E2527" s="225"/>
      <c r="F2527" s="225"/>
      <c r="G2527" s="225"/>
      <c r="H2527" s="201"/>
      <c r="I2527" s="226"/>
      <c r="J2527" s="267"/>
      <c r="K2527" s="267"/>
      <c r="L2527" s="267"/>
      <c r="M2527" s="226"/>
      <c r="N2527" s="226"/>
      <c r="P2527" s="230">
        <f t="shared" si="1160"/>
        <v>0</v>
      </c>
    </row>
    <row r="2528" spans="2:16" x14ac:dyDescent="0.2">
      <c r="B2528" s="269" t="s">
        <v>488</v>
      </c>
      <c r="C2528" s="225"/>
      <c r="D2528" s="225"/>
      <c r="E2528" s="225"/>
      <c r="F2528" s="225"/>
      <c r="G2528" s="225"/>
      <c r="H2528" s="201"/>
      <c r="I2528" s="226"/>
      <c r="J2528" s="285" t="s">
        <v>488</v>
      </c>
      <c r="K2528" s="285"/>
      <c r="L2528" s="285"/>
      <c r="M2528" s="226"/>
      <c r="N2528" s="226"/>
      <c r="P2528" s="230">
        <f t="shared" si="1160"/>
        <v>0</v>
      </c>
    </row>
    <row r="2529" spans="1:16" x14ac:dyDescent="0.2">
      <c r="B2529" s="225"/>
      <c r="C2529" s="225"/>
      <c r="D2529" s="225"/>
      <c r="E2529" s="225"/>
      <c r="F2529" s="225"/>
      <c r="G2529" s="225"/>
      <c r="H2529" s="201"/>
      <c r="I2529" s="226"/>
      <c r="J2529" s="226"/>
      <c r="K2529" s="226"/>
      <c r="L2529" s="226"/>
      <c r="M2529" s="226"/>
      <c r="N2529" s="226"/>
      <c r="P2529" s="230">
        <f t="shared" si="1160"/>
        <v>0</v>
      </c>
    </row>
    <row r="2530" spans="1:16" x14ac:dyDescent="0.2">
      <c r="B2530" s="264" t="s">
        <v>489</v>
      </c>
      <c r="C2530" s="225"/>
      <c r="D2530" s="225"/>
      <c r="E2530" s="225"/>
      <c r="F2530" s="225"/>
      <c r="G2530" s="225"/>
      <c r="H2530" s="201"/>
      <c r="I2530" s="226"/>
      <c r="J2530" s="226" t="s">
        <v>489</v>
      </c>
      <c r="K2530" s="226"/>
      <c r="L2530" s="226"/>
      <c r="M2530" s="226"/>
      <c r="N2530" s="226"/>
      <c r="P2530" s="230">
        <f t="shared" si="1160"/>
        <v>0</v>
      </c>
    </row>
    <row r="2531" spans="1:16" x14ac:dyDescent="0.2">
      <c r="A2531" s="272"/>
      <c r="B2531" s="225"/>
      <c r="C2531" s="225"/>
      <c r="D2531" s="225"/>
      <c r="E2531" s="225"/>
      <c r="F2531" s="225"/>
      <c r="G2531" s="225"/>
      <c r="H2531" s="201"/>
      <c r="I2531" s="226"/>
      <c r="J2531" s="226"/>
      <c r="K2531" s="226"/>
      <c r="M2531" s="226"/>
      <c r="N2531" s="228"/>
    </row>
    <row r="2532" spans="1:16" x14ac:dyDescent="0.2">
      <c r="A2532" s="260"/>
      <c r="B2532" s="225"/>
      <c r="C2532" s="225"/>
      <c r="D2532" s="225"/>
      <c r="E2532" s="225"/>
      <c r="F2532" s="225"/>
      <c r="G2532" s="225"/>
      <c r="H2532" s="201"/>
      <c r="I2532" s="226"/>
      <c r="J2532" s="226"/>
      <c r="K2532" s="226"/>
      <c r="M2532" s="226"/>
      <c r="N2532" s="228" t="s">
        <v>455</v>
      </c>
      <c r="P2532" s="230">
        <f t="shared" ref="P2532:P2549" si="1161">IF(A2532&gt;0,1,0)</f>
        <v>0</v>
      </c>
    </row>
    <row r="2533" spans="1:16" x14ac:dyDescent="0.2">
      <c r="B2533" s="225"/>
      <c r="C2533" s="225"/>
      <c r="D2533" s="225"/>
      <c r="E2533" s="225"/>
      <c r="F2533" s="225"/>
      <c r="G2533" s="225"/>
      <c r="H2533" s="201"/>
      <c r="I2533" s="226"/>
      <c r="J2533" s="226"/>
      <c r="K2533" s="226"/>
      <c r="M2533" s="226"/>
      <c r="N2533" s="228" t="s">
        <v>456</v>
      </c>
      <c r="P2533" s="230">
        <f t="shared" si="1161"/>
        <v>0</v>
      </c>
    </row>
    <row r="2534" spans="1:16" x14ac:dyDescent="0.2">
      <c r="B2534" s="225"/>
      <c r="C2534" s="225"/>
      <c r="D2534" s="225"/>
      <c r="E2534" s="225"/>
      <c r="F2534" s="225"/>
      <c r="G2534" s="225"/>
      <c r="H2534" s="201"/>
      <c r="I2534" s="226"/>
      <c r="J2534" s="226"/>
      <c r="K2534" s="226"/>
      <c r="M2534" s="226"/>
      <c r="N2534" s="228" t="s">
        <v>457</v>
      </c>
      <c r="P2534" s="230">
        <f t="shared" si="1161"/>
        <v>0</v>
      </c>
    </row>
    <row r="2535" spans="1:16" x14ac:dyDescent="0.2">
      <c r="B2535" s="225"/>
      <c r="C2535" s="225"/>
      <c r="D2535" s="225"/>
      <c r="E2535" s="225"/>
      <c r="F2535" s="225"/>
      <c r="G2535" s="225"/>
      <c r="H2535" s="201"/>
      <c r="I2535" s="226"/>
      <c r="J2535" s="226"/>
      <c r="K2535" s="226"/>
      <c r="L2535" s="226"/>
      <c r="M2535" s="226"/>
      <c r="N2535" s="226"/>
      <c r="P2535" s="230">
        <f t="shared" si="1161"/>
        <v>0</v>
      </c>
    </row>
    <row r="2536" spans="1:16" x14ac:dyDescent="0.2">
      <c r="B2536" s="225"/>
      <c r="C2536" s="286" t="s">
        <v>458</v>
      </c>
      <c r="D2536" s="286"/>
      <c r="E2536" s="286"/>
      <c r="F2536" s="286"/>
      <c r="G2536" s="286"/>
      <c r="H2536" s="286"/>
      <c r="I2536" s="286"/>
      <c r="J2536" s="286"/>
      <c r="K2536" s="286"/>
      <c r="L2536" s="286"/>
      <c r="M2536" s="226"/>
      <c r="N2536" s="226"/>
      <c r="P2536" s="230">
        <f t="shared" si="1161"/>
        <v>0</v>
      </c>
    </row>
    <row r="2537" spans="1:16" x14ac:dyDescent="0.2">
      <c r="B2537" s="225"/>
      <c r="C2537" s="286" t="s">
        <v>459</v>
      </c>
      <c r="D2537" s="286"/>
      <c r="E2537" s="286"/>
      <c r="F2537" s="286"/>
      <c r="G2537" s="286"/>
      <c r="H2537" s="286"/>
      <c r="I2537" s="286"/>
      <c r="J2537" s="286"/>
      <c r="K2537" s="286"/>
      <c r="L2537" s="286"/>
      <c r="M2537" s="226"/>
      <c r="N2537" s="226"/>
      <c r="P2537" s="230">
        <f t="shared" si="1161"/>
        <v>0</v>
      </c>
    </row>
    <row r="2538" spans="1:16" x14ac:dyDescent="0.2">
      <c r="B2538" s="225" t="s">
        <v>460</v>
      </c>
      <c r="C2538" s="234"/>
      <c r="D2538" s="234"/>
      <c r="E2538" s="234"/>
      <c r="F2538" s="234"/>
      <c r="G2538" s="234"/>
      <c r="H2538" s="234"/>
      <c r="I2538" s="235"/>
      <c r="J2538" s="235"/>
      <c r="K2538" s="235"/>
      <c r="L2538" s="287" t="s">
        <v>461</v>
      </c>
      <c r="M2538" s="287"/>
      <c r="N2538" s="287"/>
      <c r="P2538" s="230">
        <f t="shared" si="1161"/>
        <v>0</v>
      </c>
    </row>
    <row r="2539" spans="1:16" x14ac:dyDescent="0.2">
      <c r="B2539" s="225"/>
      <c r="C2539" s="234"/>
      <c r="D2539" s="234"/>
      <c r="E2539" s="234"/>
      <c r="F2539" s="234"/>
      <c r="G2539" s="234"/>
      <c r="H2539" s="234"/>
      <c r="I2539" s="235"/>
      <c r="J2539" s="235"/>
      <c r="K2539" s="235"/>
      <c r="L2539" s="235"/>
      <c r="M2539" s="235"/>
      <c r="N2539" s="235"/>
      <c r="P2539" s="230">
        <f t="shared" si="1161"/>
        <v>0</v>
      </c>
    </row>
    <row r="2540" spans="1:16" x14ac:dyDescent="0.2">
      <c r="B2540" s="225" t="s">
        <v>2038</v>
      </c>
      <c r="C2540" s="234"/>
      <c r="D2540" s="234"/>
      <c r="E2540" s="234"/>
      <c r="F2540" s="234"/>
      <c r="G2540" s="234"/>
      <c r="H2540" s="234"/>
      <c r="I2540" s="235"/>
      <c r="J2540" s="235"/>
      <c r="K2540" s="235"/>
      <c r="L2540" s="235"/>
      <c r="M2540" s="235"/>
      <c r="N2540" s="235"/>
      <c r="P2540" s="230">
        <f t="shared" si="1161"/>
        <v>0</v>
      </c>
    </row>
    <row r="2541" spans="1:16" x14ac:dyDescent="0.2">
      <c r="B2541" s="225" t="s">
        <v>462</v>
      </c>
      <c r="C2541" s="234"/>
      <c r="D2541" s="234"/>
      <c r="E2541" s="234"/>
      <c r="F2541" s="234"/>
      <c r="G2541" s="234"/>
      <c r="H2541" s="234"/>
      <c r="I2541" s="235"/>
      <c r="J2541" s="235"/>
      <c r="K2541" s="235"/>
      <c r="L2541" s="235"/>
      <c r="M2541" s="235"/>
      <c r="N2541" s="235"/>
      <c r="P2541" s="230">
        <f t="shared" si="1161"/>
        <v>0</v>
      </c>
    </row>
    <row r="2542" spans="1:16" x14ac:dyDescent="0.2">
      <c r="B2542" s="225" t="s">
        <v>2037</v>
      </c>
      <c r="C2542" s="234"/>
      <c r="D2542" s="234"/>
      <c r="E2542" s="234"/>
      <c r="F2542" s="234"/>
      <c r="G2542" s="234"/>
      <c r="H2542" s="234"/>
      <c r="I2542" s="235"/>
      <c r="J2542" s="235"/>
      <c r="K2542" s="235"/>
      <c r="L2542" s="235"/>
      <c r="M2542" s="235"/>
      <c r="N2542" s="235"/>
      <c r="P2542" s="230">
        <f t="shared" si="1161"/>
        <v>0</v>
      </c>
    </row>
    <row r="2543" spans="1:16" x14ac:dyDescent="0.2">
      <c r="B2543" s="225" t="s">
        <v>2052</v>
      </c>
      <c r="C2543" s="234"/>
      <c r="D2543" s="234"/>
      <c r="E2543" s="234"/>
      <c r="F2543" s="234"/>
      <c r="G2543" s="234"/>
      <c r="H2543" s="234"/>
      <c r="I2543" s="235"/>
      <c r="J2543" s="235"/>
      <c r="K2543" s="235"/>
      <c r="L2543" s="235"/>
      <c r="M2543" s="235"/>
      <c r="N2543" s="235"/>
      <c r="P2543" s="230">
        <f t="shared" si="1161"/>
        <v>0</v>
      </c>
    </row>
    <row r="2544" spans="1:16" x14ac:dyDescent="0.2">
      <c r="B2544" s="225"/>
      <c r="C2544" s="225"/>
      <c r="D2544" s="225"/>
      <c r="E2544" s="225"/>
      <c r="F2544" s="225"/>
      <c r="G2544" s="225"/>
      <c r="H2544" s="201"/>
      <c r="I2544" s="226"/>
      <c r="J2544" s="226"/>
      <c r="K2544" s="226"/>
      <c r="L2544" s="226"/>
      <c r="M2544" s="226"/>
      <c r="N2544" s="226"/>
      <c r="P2544" s="230">
        <f t="shared" si="1161"/>
        <v>0</v>
      </c>
    </row>
    <row r="2545" spans="1:43" x14ac:dyDescent="0.2">
      <c r="B2545" s="288" t="s">
        <v>106</v>
      </c>
      <c r="C2545" s="290" t="s">
        <v>463</v>
      </c>
      <c r="D2545" s="288" t="s">
        <v>464</v>
      </c>
      <c r="E2545" s="288" t="s">
        <v>465</v>
      </c>
      <c r="F2545" s="288" t="s">
        <v>490</v>
      </c>
      <c r="G2545" s="288" t="s">
        <v>466</v>
      </c>
      <c r="H2545" s="292" t="s">
        <v>8</v>
      </c>
      <c r="I2545" s="294" t="s">
        <v>467</v>
      </c>
      <c r="J2545" s="295"/>
      <c r="K2545" s="295"/>
      <c r="L2545" s="296"/>
      <c r="M2545" s="297" t="s">
        <v>468</v>
      </c>
      <c r="N2545" s="299" t="s">
        <v>469</v>
      </c>
      <c r="P2545" s="230">
        <f t="shared" si="1161"/>
        <v>0</v>
      </c>
    </row>
    <row r="2546" spans="1:43" x14ac:dyDescent="0.2">
      <c r="B2546" s="289"/>
      <c r="C2546" s="291"/>
      <c r="D2546" s="289"/>
      <c r="E2546" s="289"/>
      <c r="F2546" s="289"/>
      <c r="G2546" s="289"/>
      <c r="H2546" s="293"/>
      <c r="I2546" s="236" t="s">
        <v>470</v>
      </c>
      <c r="J2546" s="236" t="s">
        <v>471</v>
      </c>
      <c r="K2546" s="236" t="s">
        <v>472</v>
      </c>
      <c r="L2546" s="236" t="s">
        <v>473</v>
      </c>
      <c r="M2546" s="298"/>
      <c r="N2546" s="300"/>
      <c r="P2546" s="230">
        <f t="shared" si="1161"/>
        <v>0</v>
      </c>
    </row>
    <row r="2547" spans="1:43" x14ac:dyDescent="0.2">
      <c r="A2547" s="224" t="str">
        <f>CONCATENATE("Лот"," ",A2548)</f>
        <v>Лот 47</v>
      </c>
      <c r="B2547" s="273" t="s">
        <v>2087</v>
      </c>
      <c r="C2547" s="274"/>
      <c r="D2547" s="274"/>
      <c r="E2547" s="274"/>
      <c r="F2547" s="274"/>
      <c r="G2547" s="275"/>
      <c r="H2547" s="238" t="s">
        <v>17</v>
      </c>
      <c r="I2547" s="270">
        <f ca="1">ROUND(VLOOKUP($H2547,$AJ$4:$AN$13,2,0)*$Q2549*1.51,2)</f>
        <v>120.15</v>
      </c>
      <c r="J2547" s="270">
        <f ca="1">ROUND(VLOOKUP($H2547,$AJ$4:$AN$13,3,0)*$Q2549*1.51,2)</f>
        <v>85.62</v>
      </c>
      <c r="K2547" s="270">
        <f ca="1">ROUND(VLOOKUP($H2547,$AJ$4:$AN$13,4,0)*$Q2549*1.51,2)</f>
        <v>43.38</v>
      </c>
      <c r="L2547" s="270"/>
      <c r="M2547" s="270">
        <f ca="1">ROUND(VLOOKUP($H2547,$AJ$4:$AN$13,5,0)*$Q2549*1.51,2)</f>
        <v>6.85</v>
      </c>
      <c r="N2547" s="270"/>
      <c r="P2547" s="230">
        <f t="shared" si="1161"/>
        <v>1</v>
      </c>
    </row>
    <row r="2548" spans="1:43" x14ac:dyDescent="0.2">
      <c r="A2548" s="224">
        <f>A2493+1</f>
        <v>47</v>
      </c>
      <c r="B2548" s="276"/>
      <c r="C2548" s="277"/>
      <c r="D2548" s="277"/>
      <c r="E2548" s="277"/>
      <c r="F2548" s="277"/>
      <c r="G2548" s="278"/>
      <c r="H2548" s="238" t="s">
        <v>25</v>
      </c>
      <c r="I2548" s="270">
        <f ca="1">ROUND(VLOOKUP($H2548,$AJ$4:$AN$13,2,0)*$Q2549*1.51,2)</f>
        <v>898.69</v>
      </c>
      <c r="J2548" s="270">
        <f ca="1">ROUND(VLOOKUP($H2548,$AJ$4:$AN$13,3,0)*$Q2549*1.51,2)</f>
        <v>642.13</v>
      </c>
      <c r="K2548" s="270">
        <f ca="1">ROUND(VLOOKUP($H2548,$AJ$4:$AN$13,4,0)*$Q2549*1.51,2)</f>
        <v>323.06</v>
      </c>
      <c r="L2548" s="270"/>
      <c r="M2548" s="270">
        <f ca="1">ROUND(VLOOKUP($H2548,$AJ$4:$AN$13,5,0)*$Q2549*1.51,2)</f>
        <v>27.97</v>
      </c>
      <c r="N2548" s="270"/>
      <c r="P2548" s="230">
        <f t="shared" si="1161"/>
        <v>1</v>
      </c>
      <c r="Q2548" s="240" t="s">
        <v>2045</v>
      </c>
      <c r="R2548" s="240" t="s">
        <v>2046</v>
      </c>
    </row>
    <row r="2549" spans="1:43" x14ac:dyDescent="0.2">
      <c r="B2549" s="276"/>
      <c r="C2549" s="277"/>
      <c r="D2549" s="277"/>
      <c r="E2549" s="277"/>
      <c r="F2549" s="277"/>
      <c r="G2549" s="278"/>
      <c r="H2549" s="238" t="s">
        <v>19</v>
      </c>
      <c r="I2549" s="270">
        <f ca="1">ROUND(VLOOKUP($H2549,$AJ$4:$AN$13,2,0)*$Q2549*1.51,2)</f>
        <v>71.349999999999994</v>
      </c>
      <c r="J2549" s="270">
        <f ca="1">ROUND(VLOOKUP($H2549,$AJ$4:$AN$13,3,0)*$Q2549*1.51,2)</f>
        <v>51.94</v>
      </c>
      <c r="K2549" s="270">
        <f ca="1">ROUND(VLOOKUP($H2549,$AJ$4:$AN$13,4,0)*$Q2549*1.51,2)</f>
        <v>26.54</v>
      </c>
      <c r="L2549" s="270"/>
      <c r="M2549" s="270">
        <f ca="1">ROUND(VLOOKUP($H2549,$AJ$4:$AN$13,5,0)*$Q2549*1.51,2)</f>
        <v>1.43</v>
      </c>
      <c r="N2549" s="270"/>
      <c r="P2549" s="230">
        <f t="shared" si="1161"/>
        <v>0</v>
      </c>
      <c r="Q2549" s="123">
        <f ca="1">IFERROR(IF(R2549="","",IF(OR(R2549&lt;100,R2549=100),0.9,IF(OR(AND(R2549&gt;100,R2549&lt;150),R2549=150),1,IF(R2549&gt;150,1.05,"")))),"0")</f>
        <v>1.05</v>
      </c>
      <c r="R2549" s="123">
        <f ca="1">N2565/G2553</f>
        <v>157.4909090909091</v>
      </c>
    </row>
    <row r="2550" spans="1:43" x14ac:dyDescent="0.2">
      <c r="B2550" s="276"/>
      <c r="C2550" s="277"/>
      <c r="D2550" s="277"/>
      <c r="E2550" s="277"/>
      <c r="F2550" s="277"/>
      <c r="G2550" s="278"/>
      <c r="H2550" s="238" t="s">
        <v>268</v>
      </c>
      <c r="I2550" s="270">
        <f ca="1">ROUND(VLOOKUP($H2550,$AJ$4:$AN$13,2,0)*$Q2549*1.51,2)</f>
        <v>898.69</v>
      </c>
      <c r="J2550" s="270">
        <f ca="1">ROUND(VLOOKUP($H2550,$AJ$4:$AN$13,3,0)*$Q2549*1.51,2)</f>
        <v>642.13</v>
      </c>
      <c r="K2550" s="270">
        <f ca="1">ROUND(VLOOKUP($H2550,$AJ$4:$AN$13,4,0)*$Q2549*1.51,2)</f>
        <v>323.06</v>
      </c>
      <c r="L2550" s="270"/>
      <c r="M2550" s="270">
        <f ca="1">ROUND(VLOOKUP($H2550,$AJ$4:$AN$13,5,0)*$Q2549*1.51,2)</f>
        <v>27.97</v>
      </c>
      <c r="N2550" s="270"/>
    </row>
    <row r="2551" spans="1:43" x14ac:dyDescent="0.2">
      <c r="B2551" s="276"/>
      <c r="C2551" s="277"/>
      <c r="D2551" s="277"/>
      <c r="E2551" s="277"/>
      <c r="F2551" s="277"/>
      <c r="G2551" s="278"/>
      <c r="H2551" s="238" t="s">
        <v>40</v>
      </c>
      <c r="I2551" s="270">
        <f ca="1">ROUND(VLOOKUP($H2551,$AJ$4:$AN$13,2,0)*$Q2549*1.51,2)</f>
        <v>71.349999999999994</v>
      </c>
      <c r="J2551" s="270">
        <f ca="1">ROUND(VLOOKUP($H2551,$AJ$4:$AN$13,3,0)*$Q2549*1.51,2)</f>
        <v>51.94</v>
      </c>
      <c r="K2551" s="270">
        <f ca="1">ROUND(VLOOKUP($H2551,$AJ$4:$AN$13,4,0)*$Q2549*1.51,2)</f>
        <v>26.54</v>
      </c>
      <c r="L2551" s="270"/>
      <c r="M2551" s="270">
        <f ca="1">ROUND(VLOOKUP($H2551,$AJ$4:$AN$13,5,0)*$Q2549*1.51,2)</f>
        <v>1.43</v>
      </c>
      <c r="N2551" s="270"/>
      <c r="P2551" s="230">
        <f t="shared" ref="P2551:P2564" si="1162">IF(A2551&gt;0,1,0)</f>
        <v>0</v>
      </c>
    </row>
    <row r="2552" spans="1:43" x14ac:dyDescent="0.2">
      <c r="B2552" s="279"/>
      <c r="C2552" s="280"/>
      <c r="D2552" s="280"/>
      <c r="E2552" s="280"/>
      <c r="F2552" s="280"/>
      <c r="G2552" s="281"/>
      <c r="H2552" s="238" t="s">
        <v>18</v>
      </c>
      <c r="I2552" s="270">
        <f ca="1">ROUND(VLOOKUP($H2552,$AJ$4:$AN$13,2,0)*$Q2549*1.51,2)</f>
        <v>22.83</v>
      </c>
      <c r="J2552" s="270">
        <f ca="1">ROUND(VLOOKUP($H2552,$AJ$4:$AN$13,3,0)*$Q2549*1.51,2)</f>
        <v>17.41</v>
      </c>
      <c r="K2552" s="270">
        <f ca="1">ROUND(VLOOKUP($H2552,$AJ$4:$AN$13,4,0)*$Q2549*1.51,2)</f>
        <v>8.85</v>
      </c>
      <c r="L2552" s="270"/>
      <c r="M2552" s="270">
        <f ca="1">ROUND(VLOOKUP($H2552,$AJ$4:$AN$13,5,0)*$Q2549*1.51*1,2)</f>
        <v>0.56999999999999995</v>
      </c>
      <c r="N2552" s="270"/>
      <c r="P2552" s="230">
        <f t="shared" si="1162"/>
        <v>0</v>
      </c>
      <c r="AP2552" s="241" t="s">
        <v>2053</v>
      </c>
      <c r="AQ2552" s="242"/>
    </row>
    <row r="2553" spans="1:43" x14ac:dyDescent="0.2">
      <c r="A2553" s="224">
        <f>A2498+37</f>
        <v>1702</v>
      </c>
      <c r="B2553" s="243" t="str">
        <f ca="1">OFFSET(ЛОТЫ!$L$5,A2553,0,1,1)</f>
        <v>Тумбинское</v>
      </c>
      <c r="C2553" s="244" t="s">
        <v>474</v>
      </c>
      <c r="D2553" s="243">
        <f ca="1">OFFSET(ЛОТЫ!$M$5,A2553,0,1,1)</f>
        <v>54</v>
      </c>
      <c r="E2553" s="243">
        <f ca="1">OFFSET(ЛОТЫ!$N$5,A2553,0,1,1)</f>
        <v>9</v>
      </c>
      <c r="F2553" s="243">
        <f ca="1">OFFSET(ЛОТЫ!$O$5,A2553,0,1,1)</f>
        <v>1</v>
      </c>
      <c r="G2553" s="271">
        <f ca="1">IFERROR(INDEX('Ведомость расчета мин. платы'!$G$10:$AC$214,MATCH(CONCATENATE(B2553,"/",D2553,"/",E2553,"/",F2553),'Ведомость расчета мин. платы'!$AC$10:$AC$214,0),1),"")</f>
        <v>7.7</v>
      </c>
      <c r="H2553" s="246" t="s">
        <v>17</v>
      </c>
      <c r="I2553" s="247">
        <f ca="1">IFERROR(INDEX('Ведомость расчета мин. платы'!$J$10:$AE$214,MATCH(CONCATENATE(РАСЧЕТ!B2553,"/",РАСЧЕТ!D2553,"/",РАСЧЕТ!E2553,"/",F2553,"/",H2553),'Ведомость расчета мин. платы'!$AE$10:$AE$214,0),2),"")</f>
        <v>9.24</v>
      </c>
      <c r="J2553" s="247">
        <f ca="1">IFERROR(INDEX('Ведомость расчета мин. платы'!$J$10:$AE$214,MATCH(CONCATENATE(РАСЧЕТ!B2553,"/",РАСЧЕТ!D2553,"/",РАСЧЕТ!E2553,"/",F2553,"/",H2553),'Ведомость расчета мин. платы'!$AE$10:$AE$214,0),3),"")</f>
        <v>39.58</v>
      </c>
      <c r="K2553" s="247">
        <f ca="1">IFERROR(INDEX('Ведомость расчета мин. платы'!$J$10:$AE$214,MATCH(CONCATENATE(РАСЧЕТ!B2553,"/",РАСЧЕТ!D2553,"/",РАСЧЕТ!E2553,"/",F2553,"/",H2553),'Ведомость расчета мин. платы'!$AE$10:$AE$214,0),4),"")</f>
        <v>8.32</v>
      </c>
      <c r="L2553" s="248">
        <f t="shared" ref="L2553:L2565" ca="1" si="1163">IFERROR(SUM(I2553:K2553),"")</f>
        <v>57.14</v>
      </c>
      <c r="M2553" s="214">
        <f ca="1">IFERROR(INDEX('Ведомость расчета мин. платы'!$J$10:$AE$214,MATCH(CONCATENATE(РАСЧЕТ!B2553,"/",РАСЧЕТ!D2553,"/",РАСЧЕТ!E2553,"/",F2553,"/",H2553),'Ведомость расчета мин. платы'!$AE$10:$AE$214,0),6),"")</f>
        <v>168.32</v>
      </c>
      <c r="N2553" s="214">
        <f t="shared" ref="N2553:N2565" ca="1" si="1164">IFERROR(SUM(L2553:M2553),"")</f>
        <v>225.45999999999998</v>
      </c>
      <c r="O2553" s="229">
        <f>IF(H2553="стоимость","",1)</f>
        <v>1</v>
      </c>
      <c r="P2553" s="230">
        <f t="shared" si="1162"/>
        <v>1</v>
      </c>
      <c r="AP2553" s="242"/>
      <c r="AQ2553" s="242"/>
    </row>
    <row r="2554" spans="1:43" x14ac:dyDescent="0.2">
      <c r="B2554" s="249"/>
      <c r="C2554" s="249"/>
      <c r="D2554" s="249"/>
      <c r="E2554" s="249"/>
      <c r="F2554" s="249"/>
      <c r="G2554" s="249"/>
      <c r="H2554" s="250" t="s">
        <v>475</v>
      </c>
      <c r="I2554" s="251">
        <f ca="1">IFERROR(ROUND(I2553*I2547,2),"")</f>
        <v>1110.19</v>
      </c>
      <c r="J2554" s="251">
        <f t="shared" ref="J2554" ca="1" si="1165">IFERROR(ROUND(J2553*J2547,2),"")</f>
        <v>3388.84</v>
      </c>
      <c r="K2554" s="251">
        <f t="shared" ref="K2554" ca="1" si="1166">IFERROR(ROUND(K2553*K2547,2),"")</f>
        <v>360.92</v>
      </c>
      <c r="L2554" s="251">
        <f t="shared" ca="1" si="1163"/>
        <v>4859.9500000000007</v>
      </c>
      <c r="M2554" s="251">
        <v>1152.9999999999993</v>
      </c>
      <c r="N2554" s="252">
        <f t="shared" ca="1" si="1164"/>
        <v>6012.95</v>
      </c>
      <c r="O2554" s="229" t="str">
        <f t="shared" ref="O2554:O2564" si="1167">IF(H2554="стоимость","",1)</f>
        <v/>
      </c>
      <c r="P2554" s="230">
        <f t="shared" si="1162"/>
        <v>0</v>
      </c>
      <c r="AP2554" s="242">
        <f ca="1">SUMIFS('Ведомость расчета мин. платы'!$S$10:$S$209,'Ведомость расчета мин. платы'!$AE$10:$AE$209,CONCATENATE(B2553,"/",D2553,"/",E2553,"/",F2553,"/",H2553))</f>
        <v>6012.95</v>
      </c>
      <c r="AQ2554" s="253">
        <f t="shared" ref="AQ2554" ca="1" si="1168">AP2554-N2554</f>
        <v>0</v>
      </c>
    </row>
    <row r="2555" spans="1:43" x14ac:dyDescent="0.2">
      <c r="B2555" s="249"/>
      <c r="C2555" s="249"/>
      <c r="D2555" s="249"/>
      <c r="E2555" s="249"/>
      <c r="F2555" s="249"/>
      <c r="G2555" s="249"/>
      <c r="H2555" s="246" t="s">
        <v>25</v>
      </c>
      <c r="I2555" s="247" t="str">
        <f ca="1">IFERROR(INDEX('Ведомость расчета мин. платы'!$J$10:$AE$214,MATCH(CONCATENATE(РАСЧЕТ!B2553,"/",РАСЧЕТ!D2553,"/",РАСЧЕТ!E2553,"/",F2553,"/",H2555),'Ведомость расчета мин. платы'!$AE$10:$AE$214,0),2),"")</f>
        <v/>
      </c>
      <c r="J2555" s="247" t="str">
        <f ca="1">IFERROR(INDEX('Ведомость расчета мин. платы'!$J$10:$AE$214,MATCH(CONCATENATE(РАСЧЕТ!B2553,"/",РАСЧЕТ!D2553,"/",РАСЧЕТ!E2553,"/",F2553,"/",H2555),'Ведомость расчета мин. платы'!$AE$10:$AE$214,0),3),"")</f>
        <v/>
      </c>
      <c r="K2555" s="247" t="str">
        <f ca="1">IFERROR(INDEX('Ведомость расчета мин. платы'!$J$10:$AE$214,MATCH(CONCATENATE(РАСЧЕТ!B2553,"/",РАСЧЕТ!D2553,"/",РАСЧЕТ!E2553,"/",F2553,"/",H2555),'Ведомость расчета мин. платы'!$AE$10:$AE$214,0),4),"")</f>
        <v/>
      </c>
      <c r="L2555" s="248">
        <f t="shared" ca="1" si="1163"/>
        <v>0</v>
      </c>
      <c r="M2555" s="214">
        <v>0</v>
      </c>
      <c r="N2555" s="214">
        <f t="shared" ca="1" si="1164"/>
        <v>0</v>
      </c>
      <c r="O2555" s="229">
        <f t="shared" si="1167"/>
        <v>1</v>
      </c>
      <c r="P2555" s="230">
        <f t="shared" si="1162"/>
        <v>0</v>
      </c>
      <c r="AP2555" s="242"/>
      <c r="AQ2555" s="253"/>
    </row>
    <row r="2556" spans="1:43" x14ac:dyDescent="0.2">
      <c r="B2556" s="249"/>
      <c r="C2556" s="249"/>
      <c r="D2556" s="249"/>
      <c r="E2556" s="249"/>
      <c r="F2556" s="249"/>
      <c r="G2556" s="249"/>
      <c r="H2556" s="250" t="s">
        <v>475</v>
      </c>
      <c r="I2556" s="251" t="str">
        <f ca="1">IFERROR(ROUND(I2555*I2548,2),"")</f>
        <v/>
      </c>
      <c r="J2556" s="251" t="str">
        <f t="shared" ref="J2556" ca="1" si="1169">IFERROR(ROUND(J2555*J2548,2),"")</f>
        <v/>
      </c>
      <c r="K2556" s="251" t="str">
        <f t="shared" ref="K2556" ca="1" si="1170">IFERROR(ROUND(K2555*K2548,2),"")</f>
        <v/>
      </c>
      <c r="L2556" s="251">
        <f t="shared" ca="1" si="1163"/>
        <v>0</v>
      </c>
      <c r="M2556" s="251">
        <v>0</v>
      </c>
      <c r="N2556" s="252">
        <f t="shared" ca="1" si="1164"/>
        <v>0</v>
      </c>
      <c r="O2556" s="229" t="str">
        <f t="shared" si="1167"/>
        <v/>
      </c>
      <c r="P2556" s="230">
        <f t="shared" si="1162"/>
        <v>0</v>
      </c>
      <c r="AP2556" s="242">
        <f ca="1">SUMIFS('Ведомость расчета мин. платы'!$S$10:$S$209,'Ведомость расчета мин. платы'!$AE$10:$AE$209,CONCATENATE(B2553,"/",D2553,"/",E2553,"/",F2553,"/",H2555))</f>
        <v>0</v>
      </c>
      <c r="AQ2556" s="253">
        <f t="shared" ref="AQ2556" ca="1" si="1171">AP2556-N2556</f>
        <v>0</v>
      </c>
    </row>
    <row r="2557" spans="1:43" x14ac:dyDescent="0.2">
      <c r="B2557" s="249"/>
      <c r="C2557" s="249"/>
      <c r="D2557" s="249"/>
      <c r="E2557" s="249"/>
      <c r="F2557" s="249"/>
      <c r="G2557" s="249"/>
      <c r="H2557" s="205" t="s">
        <v>19</v>
      </c>
      <c r="I2557" s="248">
        <f ca="1">IFERROR(INDEX('Ведомость расчета мин. платы'!$J$10:$AE$214,MATCH(CONCATENATE(РАСЧЕТ!B2553,"/",РАСЧЕТ!D2553,"/",РАСЧЕТ!E2553,"/",F2553,"/",H2557),'Ведомость расчета мин. платы'!$AE$10:$AE$214,0),2),"")</f>
        <v>2.19</v>
      </c>
      <c r="J2557" s="248">
        <f ca="1">IFERROR(INDEX('Ведомость расчета мин. платы'!$J$10:$AE$214,MATCH(CONCATENATE(РАСЧЕТ!B2553,"/",РАСЧЕТ!D2553,"/",РАСЧЕТ!E2553,"/",F2553,"/",H2557),'Ведомость расчета мин. платы'!$AE$10:$AE$214,0),3),"")</f>
        <v>28.54</v>
      </c>
      <c r="K2557" s="248">
        <f ca="1">IFERROR(INDEX('Ведомость расчета мин. платы'!$J$10:$AE$214,MATCH(CONCATENATE(РАСЧЕТ!B2553,"/",РАСЧЕТ!D2553,"/",РАСЧЕТ!E2553,"/",F2553,"/",H2557),'Ведомость расчета мин. платы'!$AE$10:$AE$214,0),4),"")</f>
        <v>4.47</v>
      </c>
      <c r="L2557" s="248">
        <f t="shared" ca="1" si="1163"/>
        <v>35.200000000000003</v>
      </c>
      <c r="M2557" s="248">
        <v>297.58999999999997</v>
      </c>
      <c r="N2557" s="214">
        <f t="shared" ca="1" si="1164"/>
        <v>332.78999999999996</v>
      </c>
      <c r="O2557" s="229">
        <f t="shared" si="1167"/>
        <v>1</v>
      </c>
      <c r="P2557" s="230">
        <f t="shared" si="1162"/>
        <v>0</v>
      </c>
      <c r="AP2557" s="242"/>
      <c r="AQ2557" s="253"/>
    </row>
    <row r="2558" spans="1:43" x14ac:dyDescent="0.2">
      <c r="B2558" s="249"/>
      <c r="C2558" s="249"/>
      <c r="D2558" s="249"/>
      <c r="E2558" s="249"/>
      <c r="F2558" s="249"/>
      <c r="G2558" s="249"/>
      <c r="H2558" s="250" t="s">
        <v>475</v>
      </c>
      <c r="I2558" s="251">
        <f ca="1">IFERROR(ROUND(I2557*I2549,2),"")</f>
        <v>156.26</v>
      </c>
      <c r="J2558" s="251">
        <f t="shared" ref="J2558" ca="1" si="1172">IFERROR(ROUND(J2557*J2549,2),"")</f>
        <v>1482.37</v>
      </c>
      <c r="K2558" s="251">
        <f t="shared" ref="K2558" ca="1" si="1173">IFERROR(ROUND(K2557*K2549,2),"")</f>
        <v>118.63</v>
      </c>
      <c r="L2558" s="251">
        <f t="shared" ca="1" si="1163"/>
        <v>1757.2599999999998</v>
      </c>
      <c r="M2558" s="251">
        <v>425.56000000000023</v>
      </c>
      <c r="N2558" s="252">
        <f t="shared" ca="1" si="1164"/>
        <v>2182.8200000000002</v>
      </c>
      <c r="O2558" s="229" t="str">
        <f t="shared" si="1167"/>
        <v/>
      </c>
      <c r="P2558" s="230">
        <f t="shared" si="1162"/>
        <v>0</v>
      </c>
      <c r="AP2558" s="242">
        <f ca="1">SUMIFS('Ведомость расчета мин. платы'!$S$10:$S$209,'Ведомость расчета мин. платы'!$AE$10:$AE$209,CONCATENATE(B2553,"/",D2553,"/",E2553,"/",F2553,"/",H2557))</f>
        <v>2182.8200000000002</v>
      </c>
      <c r="AQ2558" s="253">
        <f t="shared" ref="AQ2558" ca="1" si="1174">AP2558-N2558</f>
        <v>0</v>
      </c>
    </row>
    <row r="2559" spans="1:43" x14ac:dyDescent="0.2">
      <c r="B2559" s="249"/>
      <c r="C2559" s="249"/>
      <c r="D2559" s="249"/>
      <c r="E2559" s="249"/>
      <c r="F2559" s="249"/>
      <c r="G2559" s="249"/>
      <c r="H2559" s="205" t="s">
        <v>268</v>
      </c>
      <c r="I2559" s="248" t="str">
        <f ca="1">IFERROR(INDEX('Ведомость расчета мин. платы'!$J$10:$AE$214,MATCH(CONCATENATE(РАСЧЕТ!B2553,"/",РАСЧЕТ!D2553,"/",РАСЧЕТ!E2553,"/",F2553,"/",H2559),'Ведомость расчета мин. платы'!$AE$10:$AE$214,0),2),"")</f>
        <v/>
      </c>
      <c r="J2559" s="248" t="str">
        <f ca="1">IFERROR(INDEX('Ведомость расчета мин. платы'!$J$10:$AE$214,MATCH(CONCATENATE(РАСЧЕТ!B2553,"/",РАСЧЕТ!D2553,"/",РАСЧЕТ!E2553,"/",F2553,"/",H2559),'Ведомость расчета мин. платы'!$AE$10:$AE$214,0),3),"")</f>
        <v/>
      </c>
      <c r="K2559" s="248" t="str">
        <f ca="1">IFERROR(INDEX('Ведомость расчета мин. платы'!$J$10:$AE$214,MATCH(CONCATENATE(РАСЧЕТ!B2553,"/",РАСЧЕТ!D2553,"/",РАСЧЕТ!E2553,"/",F2553,"/",H2559),'Ведомость расчета мин. платы'!$AE$10:$AE$214,0),4),"")</f>
        <v/>
      </c>
      <c r="L2559" s="248">
        <f t="shared" ca="1" si="1163"/>
        <v>0</v>
      </c>
      <c r="M2559" s="248" t="str">
        <f ca="1">IFERROR(INDEX('Ведомость расчета мин. платы'!$J$10:$AE$214,MATCH(CONCATENATE(РАСЧЕТ!B2553,"/",РАСЧЕТ!D2553,"/",РАСЧЕТ!E2553,"/",F2553,"/",H2559),'Ведомость расчета мин. платы'!$AE$10:$AE$214,0),6),"")</f>
        <v/>
      </c>
      <c r="N2559" s="214">
        <f t="shared" ca="1" si="1164"/>
        <v>0</v>
      </c>
      <c r="O2559" s="229">
        <f t="shared" si="1167"/>
        <v>1</v>
      </c>
      <c r="P2559" s="230">
        <f t="shared" si="1162"/>
        <v>0</v>
      </c>
      <c r="AP2559" s="242"/>
      <c r="AQ2559" s="253"/>
    </row>
    <row r="2560" spans="1:43" x14ac:dyDescent="0.2">
      <c r="B2560" s="249"/>
      <c r="C2560" s="249"/>
      <c r="D2560" s="249"/>
      <c r="E2560" s="249"/>
      <c r="F2560" s="249"/>
      <c r="G2560" s="249"/>
      <c r="H2560" s="250" t="s">
        <v>475</v>
      </c>
      <c r="I2560" s="251" t="str">
        <f ca="1">IFERROR(ROUND(I2559*I2552,2),"")</f>
        <v/>
      </c>
      <c r="J2560" s="251" t="str">
        <f ca="1">IFERROR(ROUND(J2559*J2550,2),"")</f>
        <v/>
      </c>
      <c r="K2560" s="251" t="str">
        <f ca="1">IFERROR(ROUND(K2559*K2550,2),"")</f>
        <v/>
      </c>
      <c r="L2560" s="251">
        <f t="shared" ca="1" si="1163"/>
        <v>0</v>
      </c>
      <c r="M2560" s="251" t="str">
        <f ca="1">IFERROR(ROUND(M2559*M2550,2),"")</f>
        <v/>
      </c>
      <c r="N2560" s="252">
        <f t="shared" ca="1" si="1164"/>
        <v>0</v>
      </c>
      <c r="O2560" s="229" t="str">
        <f t="shared" si="1167"/>
        <v/>
      </c>
      <c r="P2560" s="230">
        <f t="shared" si="1162"/>
        <v>0</v>
      </c>
      <c r="AP2560" s="242">
        <f ca="1">SUMIFS('Ведомость расчета мин. платы'!$S$10:$S$209,'Ведомость расчета мин. платы'!$AE$10:$AE$209,CONCATENATE(B2553,"/",D2553,"/",E2553,"/",F2553,"/",H2559))</f>
        <v>0</v>
      </c>
      <c r="AQ2560" s="253">
        <f t="shared" ref="AQ2560" ca="1" si="1175">AP2560-N2560</f>
        <v>0</v>
      </c>
    </row>
    <row r="2561" spans="2:43" x14ac:dyDescent="0.2">
      <c r="B2561" s="249"/>
      <c r="C2561" s="249"/>
      <c r="D2561" s="249"/>
      <c r="E2561" s="249"/>
      <c r="F2561" s="249"/>
      <c r="G2561" s="249"/>
      <c r="H2561" s="205" t="s">
        <v>40</v>
      </c>
      <c r="I2561" s="248" t="str">
        <f ca="1">IFERROR(INDEX('Ведомость расчета мин. платы'!$J$10:$AE$214,MATCH(CONCATENATE(РАСЧЕТ!B2553,"/",РАСЧЕТ!D2553,"/",РАСЧЕТ!E2553,"/",F2553,"/",H2561),'Ведомость расчета мин. платы'!$AE$10:$AE$214,0),2),"")</f>
        <v/>
      </c>
      <c r="J2561" s="248" t="str">
        <f ca="1">IFERROR(INDEX('Ведомость расчета мин. платы'!$J$10:$AE$214,MATCH(CONCATENATE(РАСЧЕТ!B2553,"/",РАСЧЕТ!D2553,"/",РАСЧЕТ!E2553,"/",F2553,"/",H2561),'Ведомость расчета мин. платы'!$AE$10:$AE$214,0),3),"")</f>
        <v/>
      </c>
      <c r="K2561" s="248" t="str">
        <f ca="1">IFERROR(INDEX('Ведомость расчета мин. платы'!$J$10:$AE$214,MATCH(CONCATENATE(РАСЧЕТ!B2553,"/",РАСЧЕТ!D2553,"/",РАСЧЕТ!E2553,"/",F2553,"/",H2561),'Ведомость расчета мин. платы'!$AE$10:$AE$214,0),4),"")</f>
        <v/>
      </c>
      <c r="L2561" s="248">
        <f t="shared" ca="1" si="1163"/>
        <v>0</v>
      </c>
      <c r="M2561" s="248" t="str">
        <f ca="1">IFERROR(INDEX('Ведомость расчета мин. платы'!$J$10:$AE$214,MATCH(CONCATENATE(РАСЧЕТ!B2553,"/",РАСЧЕТ!D2553,"/",РАСЧЕТ!E2553,"/",F2553,"/",H2561),'Ведомость расчета мин. платы'!$AE$10:$AE$214,0),6),"")</f>
        <v/>
      </c>
      <c r="N2561" s="214">
        <f t="shared" ca="1" si="1164"/>
        <v>0</v>
      </c>
      <c r="O2561" s="229">
        <f t="shared" si="1167"/>
        <v>1</v>
      </c>
      <c r="P2561" s="230">
        <f t="shared" si="1162"/>
        <v>0</v>
      </c>
      <c r="AP2561" s="242"/>
      <c r="AQ2561" s="253"/>
    </row>
    <row r="2562" spans="2:43" x14ac:dyDescent="0.2">
      <c r="B2562" s="249"/>
      <c r="C2562" s="249"/>
      <c r="D2562" s="249"/>
      <c r="E2562" s="249"/>
      <c r="F2562" s="249"/>
      <c r="G2562" s="249"/>
      <c r="H2562" s="250" t="s">
        <v>475</v>
      </c>
      <c r="I2562" s="251" t="str">
        <f ca="1">IFERROR(ROUND(I2561*I2551,2),"")</f>
        <v/>
      </c>
      <c r="J2562" s="251" t="str">
        <f t="shared" ref="J2562" ca="1" si="1176">IFERROR(ROUND(J2561*J2551,2),"")</f>
        <v/>
      </c>
      <c r="K2562" s="251" t="str">
        <f t="shared" ref="K2562" ca="1" si="1177">IFERROR(ROUND(K2561*K2551,2),"")</f>
        <v/>
      </c>
      <c r="L2562" s="251">
        <f t="shared" ca="1" si="1163"/>
        <v>0</v>
      </c>
      <c r="M2562" s="251" t="str">
        <f t="shared" ref="M2562" ca="1" si="1178">IFERROR(ROUND(M2561*M2551,2),"")</f>
        <v/>
      </c>
      <c r="N2562" s="252">
        <f t="shared" ca="1" si="1164"/>
        <v>0</v>
      </c>
      <c r="O2562" s="229" t="str">
        <f t="shared" si="1167"/>
        <v/>
      </c>
      <c r="P2562" s="230">
        <f t="shared" si="1162"/>
        <v>0</v>
      </c>
      <c r="AP2562" s="242">
        <f ca="1">SUMIFS('Ведомость расчета мин. платы'!$S$10:$S$209,'Ведомость расчета мин. платы'!$AE$10:$AE$209,CONCATENATE(B2553,"/",D2553,"/",E2553,"/",F2553,"/",H2561))</f>
        <v>0</v>
      </c>
      <c r="AQ2562" s="253">
        <f t="shared" ref="AQ2562" ca="1" si="1179">AP2562-N2562</f>
        <v>0</v>
      </c>
    </row>
    <row r="2563" spans="2:43" x14ac:dyDescent="0.2">
      <c r="B2563" s="249"/>
      <c r="C2563" s="249"/>
      <c r="D2563" s="249"/>
      <c r="E2563" s="249"/>
      <c r="F2563" s="249"/>
      <c r="G2563" s="249"/>
      <c r="H2563" s="205" t="s">
        <v>18</v>
      </c>
      <c r="I2563" s="248">
        <f ca="1">IFERROR(INDEX('Ведомость расчета мин. платы'!$J$10:$AE$214,MATCH(CONCATENATE(РАСЧЕТ!B2553,"/",РАСЧЕТ!D2553,"/",РАСЧЕТ!E2553,"/",F2553,"/",H2563),'Ведомость расчета мин. платы'!$AE$10:$AE$214,0),2),"")</f>
        <v>101.26</v>
      </c>
      <c r="J2563" s="248">
        <f ca="1">IFERROR(INDEX('Ведомость расчета мин. платы'!$J$10:$AE$214,MATCH(CONCATENATE(РАСЧЕТ!B2553,"/",РАСЧЕТ!D2553,"/",РАСЧЕТ!E2553,"/",F2553,"/",H2563),'Ведомость расчета мин. платы'!$AE$10:$AE$214,0),3),"")</f>
        <v>83.78</v>
      </c>
      <c r="K2563" s="248">
        <f ca="1">IFERROR(INDEX('Ведомость расчета мин. платы'!$J$10:$AE$214,MATCH(CONCATENATE(РАСЧЕТ!B2553,"/",РАСЧЕТ!D2553,"/",РАСЧЕТ!E2553,"/",F2553,"/",H2563),'Ведомость расчета мин. платы'!$AE$10:$AE$214,0),4),"")</f>
        <v>0</v>
      </c>
      <c r="L2563" s="248">
        <f t="shared" ca="1" si="1163"/>
        <v>185.04000000000002</v>
      </c>
      <c r="M2563" s="248">
        <f ca="1">IFERROR(INDEX('Ведомость расчета мин. платы'!$J$10:$AE$214,MATCH(CONCATENATE(РАСЧЕТ!B2553,"/",РАСЧЕТ!D2553,"/",РАСЧЕТ!E2553,"/",F2553,"/",H2563),'Ведомость расчета мин. платы'!$AE$10:$AE$214,0),6),"")</f>
        <v>469.39</v>
      </c>
      <c r="N2563" s="214">
        <f t="shared" ca="1" si="1164"/>
        <v>654.43000000000006</v>
      </c>
      <c r="O2563" s="229">
        <f t="shared" si="1167"/>
        <v>1</v>
      </c>
      <c r="P2563" s="230">
        <f t="shared" si="1162"/>
        <v>0</v>
      </c>
      <c r="AP2563" s="242"/>
      <c r="AQ2563" s="253"/>
    </row>
    <row r="2564" spans="2:43" x14ac:dyDescent="0.2">
      <c r="B2564" s="249"/>
      <c r="C2564" s="249"/>
      <c r="D2564" s="249"/>
      <c r="E2564" s="249"/>
      <c r="F2564" s="249"/>
      <c r="G2564" s="249"/>
      <c r="H2564" s="250" t="s">
        <v>475</v>
      </c>
      <c r="I2564" s="251">
        <f ca="1">IFERROR(ROUND(I2563*I2552,2),"")</f>
        <v>2311.77</v>
      </c>
      <c r="J2564" s="251">
        <f t="shared" ref="J2564" ca="1" si="1180">IFERROR(ROUND(J2563*J2552,2),"")</f>
        <v>1458.61</v>
      </c>
      <c r="K2564" s="251">
        <f t="shared" ref="K2564" ca="1" si="1181">IFERROR(ROUND(K2563*K2552,2),"")</f>
        <v>0</v>
      </c>
      <c r="L2564" s="251">
        <f t="shared" ca="1" si="1163"/>
        <v>3770.38</v>
      </c>
      <c r="M2564" s="251">
        <f t="shared" ref="M2564" ca="1" si="1182">IFERROR(ROUND(M2563*M2552,2),"")</f>
        <v>267.55</v>
      </c>
      <c r="N2564" s="252">
        <f t="shared" ca="1" si="1164"/>
        <v>4037.9300000000003</v>
      </c>
      <c r="O2564" s="229" t="str">
        <f t="shared" si="1167"/>
        <v/>
      </c>
      <c r="P2564" s="230">
        <f t="shared" si="1162"/>
        <v>0</v>
      </c>
      <c r="AP2564" s="242">
        <f ca="1">SUMIFS('Ведомость расчета мин. платы'!$S$10:$S$209,'Ведомость расчета мин. платы'!$AE$10:$AE$209,CONCATENATE(B2553,"/",D2553,"/",E2553,"/",F2553,"/",H2563))</f>
        <v>4037.93</v>
      </c>
      <c r="AQ2564" s="253">
        <f t="shared" ref="AQ2564" ca="1" si="1183">AP2564-N2564</f>
        <v>0</v>
      </c>
    </row>
    <row r="2565" spans="2:43" x14ac:dyDescent="0.2">
      <c r="B2565" s="249"/>
      <c r="C2565" s="249"/>
      <c r="D2565" s="249"/>
      <c r="E2565" s="249"/>
      <c r="F2565" s="249"/>
      <c r="G2565" s="249"/>
      <c r="H2565" s="254" t="s">
        <v>476</v>
      </c>
      <c r="I2565" s="251">
        <f ca="1">SUMIF($O2553:$O2566,1,I2553:I2564)</f>
        <v>112.69</v>
      </c>
      <c r="J2565" s="251">
        <f ca="1">SUMIF($O2553:$O2566,1,J2553:J2564)</f>
        <v>151.9</v>
      </c>
      <c r="K2565" s="251">
        <f ca="1">SUMIF($O2553:$O2566,1,K2553:K2564)</f>
        <v>12.79</v>
      </c>
      <c r="L2565" s="251">
        <f t="shared" ca="1" si="1163"/>
        <v>277.38000000000005</v>
      </c>
      <c r="M2565" s="251">
        <f ca="1">SUMIF($O2553:$O2566,1,M2553:M2564)</f>
        <v>935.3</v>
      </c>
      <c r="N2565" s="252">
        <f t="shared" ca="1" si="1164"/>
        <v>1212.68</v>
      </c>
      <c r="AP2565" s="242"/>
      <c r="AQ2565" s="253"/>
    </row>
    <row r="2566" spans="2:43" x14ac:dyDescent="0.2">
      <c r="B2566" s="249"/>
      <c r="C2566" s="249"/>
      <c r="D2566" s="249"/>
      <c r="E2566" s="249"/>
      <c r="F2566" s="249"/>
      <c r="G2566" s="249"/>
      <c r="H2566" s="254" t="s">
        <v>491</v>
      </c>
      <c r="I2566" s="251">
        <f ca="1">SUMIF(H2553:H2564,"стоимость",I2553:I2564)</f>
        <v>3578.2200000000003</v>
      </c>
      <c r="J2566" s="251">
        <f ca="1">SUMIF(H2553:H2564,"стоимость",J2553:J2564)</f>
        <v>6329.82</v>
      </c>
      <c r="K2566" s="251">
        <f ca="1">SUMIF(H2553:H2564,"стоимость",K2553:K2564)</f>
        <v>479.55</v>
      </c>
      <c r="L2566" s="251">
        <f ca="1">IFERROR(SUM(I2566:K2566),"")</f>
        <v>10387.59</v>
      </c>
      <c r="M2566" s="251">
        <f ca="1">SUMIF(H2553:H2564,"стоимость",M2553:M2564)</f>
        <v>1846.1099999999994</v>
      </c>
      <c r="N2566" s="252">
        <f ca="1">IFERROR(SUM(L2566:M2566),"")</f>
        <v>12233.699999999999</v>
      </c>
      <c r="AP2566" s="242">
        <f ca="1">SUMIFS('Ведомость расчета мин. платы'!$S$10:$S$209,'Ведомость расчета мин. платы'!$J$10:$J$209,"Итого",'Ведомость расчета мин. платы'!$AC$10:$AC$209,CONCATENATE(B2553,"/",D2553,"/",E2553,"/",F2553))</f>
        <v>12233.7</v>
      </c>
      <c r="AQ2566" s="253">
        <f ca="1">AP2566-N2566</f>
        <v>0</v>
      </c>
    </row>
    <row r="2567" spans="2:43" x14ac:dyDescent="0.2">
      <c r="B2567" s="255"/>
      <c r="C2567" s="255"/>
      <c r="D2567" s="255"/>
      <c r="E2567" s="255"/>
      <c r="F2567" s="255"/>
      <c r="G2567" s="256"/>
      <c r="H2567" s="257"/>
      <c r="I2567" s="258"/>
      <c r="J2567" s="258"/>
      <c r="K2567" s="258"/>
      <c r="L2567" s="258"/>
      <c r="M2567" s="258"/>
      <c r="N2567" s="258"/>
      <c r="P2567" s="230">
        <f t="shared" ref="P2567:P2585" si="1184">IF(A2567&gt;0,1,0)</f>
        <v>0</v>
      </c>
    </row>
    <row r="2568" spans="2:43" x14ac:dyDescent="0.2">
      <c r="B2568" s="282" t="s">
        <v>477</v>
      </c>
      <c r="C2568" s="282"/>
      <c r="D2568" s="282"/>
      <c r="E2568" s="282"/>
      <c r="F2568" s="259"/>
      <c r="G2568" s="225"/>
      <c r="H2568" s="201"/>
      <c r="I2568" s="226"/>
      <c r="J2568" s="258"/>
      <c r="K2568" s="258"/>
      <c r="L2568" s="258"/>
      <c r="M2568" s="258"/>
      <c r="N2568" s="258"/>
      <c r="P2568" s="230">
        <f t="shared" si="1184"/>
        <v>0</v>
      </c>
    </row>
    <row r="2569" spans="2:43" x14ac:dyDescent="0.2">
      <c r="B2569" s="283" t="s">
        <v>525</v>
      </c>
      <c r="C2569" s="283"/>
      <c r="D2569" s="283"/>
      <c r="E2569" s="283"/>
      <c r="F2569" s="283"/>
      <c r="G2569" s="283"/>
      <c r="H2569" s="283"/>
      <c r="I2569" s="283"/>
      <c r="J2569" s="261"/>
      <c r="K2569" s="261"/>
      <c r="L2569" s="261"/>
      <c r="M2569" s="261"/>
      <c r="N2569" s="261"/>
      <c r="P2569" s="230">
        <f t="shared" si="1184"/>
        <v>0</v>
      </c>
    </row>
    <row r="2570" spans="2:43" x14ac:dyDescent="0.2">
      <c r="B2570" s="284" t="s">
        <v>478</v>
      </c>
      <c r="C2570" s="284"/>
      <c r="D2570" s="284"/>
      <c r="E2570" s="284"/>
      <c r="F2570" s="284"/>
      <c r="G2570" s="284"/>
      <c r="H2570" s="284"/>
      <c r="I2570" s="284"/>
      <c r="J2570" s="258"/>
      <c r="K2570" s="258"/>
      <c r="L2570" s="258"/>
      <c r="M2570" s="258"/>
      <c r="N2570" s="258"/>
      <c r="P2570" s="230">
        <f t="shared" si="1184"/>
        <v>0</v>
      </c>
    </row>
    <row r="2571" spans="2:43" x14ac:dyDescent="0.2">
      <c r="B2571" s="284" t="s">
        <v>479</v>
      </c>
      <c r="C2571" s="284"/>
      <c r="D2571" s="284"/>
      <c r="E2571" s="284"/>
      <c r="F2571" s="284"/>
      <c r="G2571" s="284"/>
      <c r="H2571" s="284"/>
      <c r="I2571" s="284"/>
      <c r="J2571" s="258"/>
      <c r="K2571" s="258"/>
      <c r="L2571" s="258"/>
      <c r="M2571" s="258"/>
      <c r="N2571" s="258"/>
      <c r="P2571" s="230">
        <f t="shared" si="1184"/>
        <v>0</v>
      </c>
    </row>
    <row r="2572" spans="2:43" x14ac:dyDescent="0.2">
      <c r="B2572" s="284" t="s">
        <v>480</v>
      </c>
      <c r="C2572" s="284"/>
      <c r="D2572" s="284"/>
      <c r="E2572" s="284"/>
      <c r="F2572" s="284"/>
      <c r="G2572" s="284"/>
      <c r="H2572" s="284"/>
      <c r="I2572" s="284"/>
      <c r="J2572" s="258"/>
      <c r="K2572" s="258"/>
      <c r="L2572" s="258"/>
      <c r="M2572" s="258"/>
      <c r="N2572" s="258"/>
      <c r="P2572" s="230">
        <f t="shared" si="1184"/>
        <v>0</v>
      </c>
    </row>
    <row r="2573" spans="2:43" x14ac:dyDescent="0.2">
      <c r="B2573" s="284" t="s">
        <v>481</v>
      </c>
      <c r="C2573" s="284"/>
      <c r="D2573" s="284"/>
      <c r="E2573" s="284"/>
      <c r="F2573" s="284"/>
      <c r="G2573" s="284"/>
      <c r="H2573" s="284"/>
      <c r="I2573" s="284"/>
      <c r="J2573" s="226"/>
      <c r="K2573" s="226"/>
      <c r="L2573" s="226"/>
      <c r="M2573" s="226"/>
      <c r="N2573" s="226"/>
      <c r="P2573" s="230">
        <f t="shared" si="1184"/>
        <v>0</v>
      </c>
    </row>
    <row r="2574" spans="2:43" x14ac:dyDescent="0.2">
      <c r="B2574" s="284" t="s">
        <v>482</v>
      </c>
      <c r="C2574" s="284"/>
      <c r="D2574" s="284"/>
      <c r="E2574" s="284"/>
      <c r="F2574" s="284"/>
      <c r="G2574" s="284"/>
      <c r="H2574" s="284"/>
      <c r="I2574" s="284"/>
      <c r="J2574" s="226"/>
      <c r="K2574" s="226"/>
      <c r="L2574" s="226"/>
      <c r="M2574" s="226"/>
      <c r="N2574" s="226"/>
      <c r="P2574" s="230">
        <f t="shared" si="1184"/>
        <v>0</v>
      </c>
    </row>
    <row r="2575" spans="2:43" x14ac:dyDescent="0.2">
      <c r="B2575" s="284" t="s">
        <v>483</v>
      </c>
      <c r="C2575" s="284"/>
      <c r="D2575" s="284"/>
      <c r="E2575" s="284"/>
      <c r="F2575" s="284"/>
      <c r="G2575" s="284"/>
      <c r="H2575" s="284"/>
      <c r="I2575" s="284"/>
      <c r="J2575" s="226"/>
      <c r="K2575" s="226"/>
      <c r="L2575" s="226"/>
      <c r="M2575" s="226"/>
      <c r="N2575" s="226"/>
      <c r="P2575" s="230">
        <f t="shared" si="1184"/>
        <v>0</v>
      </c>
    </row>
    <row r="2576" spans="2:43" x14ac:dyDescent="0.2">
      <c r="B2576" s="284" t="s">
        <v>484</v>
      </c>
      <c r="C2576" s="284"/>
      <c r="D2576" s="284"/>
      <c r="E2576" s="284"/>
      <c r="F2576" s="284"/>
      <c r="G2576" s="284"/>
      <c r="H2576" s="284"/>
      <c r="I2576" s="284"/>
      <c r="J2576" s="226"/>
      <c r="K2576" s="226"/>
      <c r="L2576" s="226"/>
      <c r="M2576" s="226"/>
      <c r="N2576" s="226"/>
      <c r="P2576" s="230">
        <f t="shared" si="1184"/>
        <v>0</v>
      </c>
    </row>
    <row r="2577" spans="1:16" x14ac:dyDescent="0.2">
      <c r="B2577" s="264"/>
      <c r="C2577" s="264"/>
      <c r="D2577" s="264"/>
      <c r="E2577" s="264"/>
      <c r="F2577" s="264"/>
      <c r="G2577" s="264"/>
      <c r="H2577" s="264"/>
      <c r="I2577" s="265"/>
      <c r="J2577" s="226"/>
      <c r="K2577" s="226"/>
      <c r="L2577" s="226"/>
      <c r="M2577" s="226"/>
      <c r="N2577" s="226"/>
      <c r="P2577" s="230">
        <f t="shared" si="1184"/>
        <v>0</v>
      </c>
    </row>
    <row r="2578" spans="1:16" x14ac:dyDescent="0.2">
      <c r="B2578" s="225" t="s">
        <v>485</v>
      </c>
      <c r="C2578" s="225"/>
      <c r="D2578" s="225"/>
      <c r="E2578" s="225"/>
      <c r="F2578" s="225"/>
      <c r="G2578" s="225"/>
      <c r="H2578" s="201"/>
      <c r="I2578" s="226"/>
      <c r="J2578" s="226" t="s">
        <v>486</v>
      </c>
      <c r="K2578" s="226"/>
      <c r="L2578" s="226"/>
      <c r="M2578" s="226"/>
      <c r="N2578" s="226"/>
      <c r="P2578" s="230">
        <f t="shared" si="1184"/>
        <v>0</v>
      </c>
    </row>
    <row r="2579" spans="1:16" x14ac:dyDescent="0.2">
      <c r="B2579" s="266" t="s">
        <v>524</v>
      </c>
      <c r="C2579" s="266"/>
      <c r="D2579" s="225"/>
      <c r="E2579" s="225"/>
      <c r="F2579" s="225"/>
      <c r="G2579" s="225"/>
      <c r="H2579" s="201"/>
      <c r="I2579" s="226"/>
      <c r="J2579" s="267"/>
      <c r="K2579" s="267"/>
      <c r="L2579" s="267"/>
      <c r="M2579" s="226"/>
      <c r="N2579" s="226"/>
      <c r="P2579" s="230">
        <f t="shared" si="1184"/>
        <v>0</v>
      </c>
    </row>
    <row r="2580" spans="1:16" x14ac:dyDescent="0.2">
      <c r="B2580" s="268" t="s">
        <v>487</v>
      </c>
      <c r="C2580" s="225"/>
      <c r="D2580" s="225"/>
      <c r="E2580" s="225"/>
      <c r="F2580" s="225"/>
      <c r="G2580" s="225"/>
      <c r="H2580" s="201"/>
      <c r="I2580" s="226"/>
      <c r="J2580" s="226" t="s">
        <v>487</v>
      </c>
      <c r="K2580" s="226"/>
      <c r="L2580" s="226"/>
      <c r="M2580" s="226"/>
      <c r="N2580" s="226"/>
      <c r="P2580" s="230">
        <f t="shared" si="1184"/>
        <v>0</v>
      </c>
    </row>
    <row r="2581" spans="1:16" x14ac:dyDescent="0.2">
      <c r="B2581" s="225"/>
      <c r="C2581" s="225"/>
      <c r="D2581" s="225"/>
      <c r="E2581" s="225"/>
      <c r="F2581" s="225"/>
      <c r="G2581" s="225"/>
      <c r="H2581" s="201"/>
      <c r="I2581" s="226"/>
      <c r="J2581" s="226"/>
      <c r="K2581" s="226"/>
      <c r="L2581" s="226"/>
      <c r="M2581" s="226"/>
      <c r="N2581" s="226"/>
      <c r="P2581" s="230">
        <f t="shared" si="1184"/>
        <v>0</v>
      </c>
    </row>
    <row r="2582" spans="1:16" x14ac:dyDescent="0.2">
      <c r="B2582" s="266"/>
      <c r="C2582" s="266"/>
      <c r="D2582" s="225"/>
      <c r="E2582" s="225"/>
      <c r="F2582" s="225"/>
      <c r="G2582" s="225"/>
      <c r="H2582" s="201"/>
      <c r="I2582" s="226"/>
      <c r="J2582" s="267"/>
      <c r="K2582" s="267"/>
      <c r="L2582" s="267"/>
      <c r="M2582" s="226"/>
      <c r="N2582" s="226"/>
      <c r="P2582" s="230">
        <f t="shared" si="1184"/>
        <v>0</v>
      </c>
    </row>
    <row r="2583" spans="1:16" x14ac:dyDescent="0.2">
      <c r="B2583" s="269" t="s">
        <v>488</v>
      </c>
      <c r="C2583" s="225"/>
      <c r="D2583" s="225"/>
      <c r="E2583" s="225"/>
      <c r="F2583" s="225"/>
      <c r="G2583" s="225"/>
      <c r="H2583" s="201"/>
      <c r="I2583" s="226"/>
      <c r="J2583" s="285" t="s">
        <v>488</v>
      </c>
      <c r="K2583" s="285"/>
      <c r="L2583" s="285"/>
      <c r="M2583" s="226"/>
      <c r="N2583" s="226"/>
      <c r="P2583" s="230">
        <f t="shared" si="1184"/>
        <v>0</v>
      </c>
    </row>
    <row r="2584" spans="1:16" x14ac:dyDescent="0.2">
      <c r="B2584" s="225"/>
      <c r="C2584" s="225"/>
      <c r="D2584" s="225"/>
      <c r="E2584" s="225"/>
      <c r="F2584" s="225"/>
      <c r="G2584" s="225"/>
      <c r="H2584" s="201"/>
      <c r="I2584" s="226"/>
      <c r="J2584" s="226"/>
      <c r="K2584" s="226"/>
      <c r="L2584" s="226"/>
      <c r="M2584" s="226"/>
      <c r="N2584" s="226"/>
      <c r="P2584" s="230">
        <f t="shared" si="1184"/>
        <v>0</v>
      </c>
    </row>
    <row r="2585" spans="1:16" x14ac:dyDescent="0.2">
      <c r="B2585" s="264" t="s">
        <v>489</v>
      </c>
      <c r="C2585" s="225"/>
      <c r="D2585" s="225"/>
      <c r="E2585" s="225"/>
      <c r="F2585" s="225"/>
      <c r="G2585" s="225"/>
      <c r="H2585" s="201"/>
      <c r="I2585" s="226"/>
      <c r="J2585" s="226" t="s">
        <v>489</v>
      </c>
      <c r="K2585" s="226"/>
      <c r="L2585" s="226"/>
      <c r="M2585" s="226"/>
      <c r="N2585" s="226"/>
      <c r="P2585" s="230">
        <f t="shared" si="1184"/>
        <v>0</v>
      </c>
    </row>
    <row r="2586" spans="1:16" x14ac:dyDescent="0.2">
      <c r="A2586" s="272"/>
      <c r="B2586" s="225"/>
      <c r="C2586" s="225"/>
      <c r="D2586" s="225"/>
      <c r="E2586" s="225"/>
      <c r="F2586" s="225"/>
      <c r="G2586" s="225"/>
      <c r="H2586" s="201"/>
      <c r="I2586" s="226"/>
      <c r="J2586" s="226"/>
      <c r="K2586" s="226"/>
      <c r="M2586" s="226"/>
      <c r="N2586" s="228"/>
    </row>
    <row r="2587" spans="1:16" x14ac:dyDescent="0.2">
      <c r="A2587" s="260"/>
      <c r="B2587" s="225"/>
      <c r="C2587" s="225"/>
      <c r="D2587" s="225"/>
      <c r="E2587" s="225"/>
      <c r="F2587" s="225"/>
      <c r="G2587" s="225"/>
      <c r="H2587" s="201"/>
      <c r="I2587" s="226"/>
      <c r="J2587" s="226"/>
      <c r="K2587" s="226"/>
      <c r="M2587" s="226"/>
      <c r="N2587" s="228" t="s">
        <v>455</v>
      </c>
      <c r="P2587" s="230">
        <f t="shared" ref="P2587:P2604" si="1185">IF(A2587&gt;0,1,0)</f>
        <v>0</v>
      </c>
    </row>
    <row r="2588" spans="1:16" x14ac:dyDescent="0.2">
      <c r="B2588" s="225"/>
      <c r="C2588" s="225"/>
      <c r="D2588" s="225"/>
      <c r="E2588" s="225"/>
      <c r="F2588" s="225"/>
      <c r="G2588" s="225"/>
      <c r="H2588" s="201"/>
      <c r="I2588" s="226"/>
      <c r="J2588" s="226"/>
      <c r="K2588" s="226"/>
      <c r="M2588" s="226"/>
      <c r="N2588" s="228" t="s">
        <v>456</v>
      </c>
      <c r="P2588" s="230">
        <f t="shared" si="1185"/>
        <v>0</v>
      </c>
    </row>
    <row r="2589" spans="1:16" x14ac:dyDescent="0.2">
      <c r="B2589" s="225"/>
      <c r="C2589" s="225"/>
      <c r="D2589" s="225"/>
      <c r="E2589" s="225"/>
      <c r="F2589" s="225"/>
      <c r="G2589" s="225"/>
      <c r="H2589" s="201"/>
      <c r="I2589" s="226"/>
      <c r="J2589" s="226"/>
      <c r="K2589" s="226"/>
      <c r="M2589" s="226"/>
      <c r="N2589" s="228" t="s">
        <v>457</v>
      </c>
      <c r="P2589" s="230">
        <f t="shared" si="1185"/>
        <v>0</v>
      </c>
    </row>
    <row r="2590" spans="1:16" x14ac:dyDescent="0.2">
      <c r="B2590" s="225"/>
      <c r="C2590" s="225"/>
      <c r="D2590" s="225"/>
      <c r="E2590" s="225"/>
      <c r="F2590" s="225"/>
      <c r="G2590" s="225"/>
      <c r="H2590" s="201"/>
      <c r="I2590" s="226"/>
      <c r="J2590" s="226"/>
      <c r="K2590" s="226"/>
      <c r="L2590" s="226"/>
      <c r="M2590" s="226"/>
      <c r="N2590" s="226"/>
      <c r="P2590" s="230">
        <f t="shared" si="1185"/>
        <v>0</v>
      </c>
    </row>
    <row r="2591" spans="1:16" x14ac:dyDescent="0.2">
      <c r="B2591" s="225"/>
      <c r="C2591" s="286" t="s">
        <v>458</v>
      </c>
      <c r="D2591" s="286"/>
      <c r="E2591" s="286"/>
      <c r="F2591" s="286"/>
      <c r="G2591" s="286"/>
      <c r="H2591" s="286"/>
      <c r="I2591" s="286"/>
      <c r="J2591" s="286"/>
      <c r="K2591" s="286"/>
      <c r="L2591" s="286"/>
      <c r="M2591" s="226"/>
      <c r="N2591" s="226"/>
      <c r="P2591" s="230">
        <f t="shared" si="1185"/>
        <v>0</v>
      </c>
    </row>
    <row r="2592" spans="1:16" x14ac:dyDescent="0.2">
      <c r="B2592" s="225"/>
      <c r="C2592" s="286" t="s">
        <v>459</v>
      </c>
      <c r="D2592" s="286"/>
      <c r="E2592" s="286"/>
      <c r="F2592" s="286"/>
      <c r="G2592" s="286"/>
      <c r="H2592" s="286"/>
      <c r="I2592" s="286"/>
      <c r="J2592" s="286"/>
      <c r="K2592" s="286"/>
      <c r="L2592" s="286"/>
      <c r="M2592" s="226"/>
      <c r="N2592" s="226"/>
      <c r="P2592" s="230">
        <f t="shared" si="1185"/>
        <v>0</v>
      </c>
    </row>
    <row r="2593" spans="1:43" x14ac:dyDescent="0.2">
      <c r="B2593" s="225" t="s">
        <v>460</v>
      </c>
      <c r="C2593" s="234"/>
      <c r="D2593" s="234"/>
      <c r="E2593" s="234"/>
      <c r="F2593" s="234"/>
      <c r="G2593" s="234"/>
      <c r="H2593" s="234"/>
      <c r="I2593" s="235"/>
      <c r="J2593" s="235"/>
      <c r="K2593" s="235"/>
      <c r="L2593" s="287" t="s">
        <v>461</v>
      </c>
      <c r="M2593" s="287"/>
      <c r="N2593" s="287"/>
      <c r="P2593" s="230">
        <f t="shared" si="1185"/>
        <v>0</v>
      </c>
    </row>
    <row r="2594" spans="1:43" x14ac:dyDescent="0.2">
      <c r="B2594" s="225"/>
      <c r="C2594" s="234"/>
      <c r="D2594" s="234"/>
      <c r="E2594" s="234"/>
      <c r="F2594" s="234"/>
      <c r="G2594" s="234"/>
      <c r="H2594" s="234"/>
      <c r="I2594" s="235"/>
      <c r="J2594" s="235"/>
      <c r="K2594" s="235"/>
      <c r="L2594" s="235"/>
      <c r="M2594" s="235"/>
      <c r="N2594" s="235"/>
      <c r="P2594" s="230">
        <f t="shared" si="1185"/>
        <v>0</v>
      </c>
    </row>
    <row r="2595" spans="1:43" x14ac:dyDescent="0.2">
      <c r="B2595" s="225" t="s">
        <v>2038</v>
      </c>
      <c r="C2595" s="234"/>
      <c r="D2595" s="234"/>
      <c r="E2595" s="234"/>
      <c r="F2595" s="234"/>
      <c r="G2595" s="234"/>
      <c r="H2595" s="234"/>
      <c r="I2595" s="235"/>
      <c r="J2595" s="235"/>
      <c r="K2595" s="235"/>
      <c r="L2595" s="235"/>
      <c r="M2595" s="235"/>
      <c r="N2595" s="235"/>
      <c r="P2595" s="230">
        <f t="shared" si="1185"/>
        <v>0</v>
      </c>
    </row>
    <row r="2596" spans="1:43" x14ac:dyDescent="0.2">
      <c r="B2596" s="225" t="s">
        <v>462</v>
      </c>
      <c r="C2596" s="234"/>
      <c r="D2596" s="234"/>
      <c r="E2596" s="234"/>
      <c r="F2596" s="234"/>
      <c r="G2596" s="234"/>
      <c r="H2596" s="234"/>
      <c r="I2596" s="235"/>
      <c r="J2596" s="235"/>
      <c r="K2596" s="235"/>
      <c r="L2596" s="235"/>
      <c r="M2596" s="235"/>
      <c r="N2596" s="235"/>
      <c r="P2596" s="230">
        <f t="shared" si="1185"/>
        <v>0</v>
      </c>
    </row>
    <row r="2597" spans="1:43" x14ac:dyDescent="0.2">
      <c r="B2597" s="225" t="s">
        <v>2037</v>
      </c>
      <c r="C2597" s="234"/>
      <c r="D2597" s="234"/>
      <c r="E2597" s="234"/>
      <c r="F2597" s="234"/>
      <c r="G2597" s="234"/>
      <c r="H2597" s="234"/>
      <c r="I2597" s="235"/>
      <c r="J2597" s="235"/>
      <c r="K2597" s="235"/>
      <c r="L2597" s="235"/>
      <c r="M2597" s="235"/>
      <c r="N2597" s="235"/>
      <c r="P2597" s="230">
        <f t="shared" si="1185"/>
        <v>0</v>
      </c>
    </row>
    <row r="2598" spans="1:43" x14ac:dyDescent="0.2">
      <c r="B2598" s="225" t="s">
        <v>2052</v>
      </c>
      <c r="C2598" s="234"/>
      <c r="D2598" s="234"/>
      <c r="E2598" s="234"/>
      <c r="F2598" s="234"/>
      <c r="G2598" s="234"/>
      <c r="H2598" s="234"/>
      <c r="I2598" s="235"/>
      <c r="J2598" s="235"/>
      <c r="K2598" s="235"/>
      <c r="L2598" s="235"/>
      <c r="M2598" s="235"/>
      <c r="N2598" s="235"/>
      <c r="P2598" s="230">
        <f t="shared" si="1185"/>
        <v>0</v>
      </c>
    </row>
    <row r="2599" spans="1:43" x14ac:dyDescent="0.2">
      <c r="B2599" s="225"/>
      <c r="C2599" s="225"/>
      <c r="D2599" s="225"/>
      <c r="E2599" s="225"/>
      <c r="F2599" s="225"/>
      <c r="G2599" s="225"/>
      <c r="H2599" s="201"/>
      <c r="I2599" s="226"/>
      <c r="J2599" s="226"/>
      <c r="K2599" s="226"/>
      <c r="L2599" s="226"/>
      <c r="M2599" s="226"/>
      <c r="N2599" s="226"/>
      <c r="P2599" s="230">
        <f t="shared" si="1185"/>
        <v>0</v>
      </c>
    </row>
    <row r="2600" spans="1:43" x14ac:dyDescent="0.2">
      <c r="B2600" s="288" t="s">
        <v>106</v>
      </c>
      <c r="C2600" s="290" t="s">
        <v>463</v>
      </c>
      <c r="D2600" s="288" t="s">
        <v>464</v>
      </c>
      <c r="E2600" s="288" t="s">
        <v>465</v>
      </c>
      <c r="F2600" s="288" t="s">
        <v>490</v>
      </c>
      <c r="G2600" s="288" t="s">
        <v>466</v>
      </c>
      <c r="H2600" s="292" t="s">
        <v>8</v>
      </c>
      <c r="I2600" s="294" t="s">
        <v>467</v>
      </c>
      <c r="J2600" s="295"/>
      <c r="K2600" s="295"/>
      <c r="L2600" s="296"/>
      <c r="M2600" s="297" t="s">
        <v>468</v>
      </c>
      <c r="N2600" s="299" t="s">
        <v>469</v>
      </c>
      <c r="P2600" s="230">
        <f t="shared" si="1185"/>
        <v>0</v>
      </c>
    </row>
    <row r="2601" spans="1:43" x14ac:dyDescent="0.2">
      <c r="B2601" s="289"/>
      <c r="C2601" s="291"/>
      <c r="D2601" s="289"/>
      <c r="E2601" s="289"/>
      <c r="F2601" s="289"/>
      <c r="G2601" s="289"/>
      <c r="H2601" s="293"/>
      <c r="I2601" s="236" t="s">
        <v>470</v>
      </c>
      <c r="J2601" s="236" t="s">
        <v>471</v>
      </c>
      <c r="K2601" s="236" t="s">
        <v>472</v>
      </c>
      <c r="L2601" s="236" t="s">
        <v>473</v>
      </c>
      <c r="M2601" s="298"/>
      <c r="N2601" s="300"/>
      <c r="P2601" s="230">
        <f t="shared" si="1185"/>
        <v>0</v>
      </c>
    </row>
    <row r="2602" spans="1:43" x14ac:dyDescent="0.2">
      <c r="A2602" s="224" t="str">
        <f>CONCATENATE("Лот"," ",A2603)</f>
        <v>Лот 48</v>
      </c>
      <c r="B2602" s="273" t="s">
        <v>2087</v>
      </c>
      <c r="C2602" s="274"/>
      <c r="D2602" s="274"/>
      <c r="E2602" s="274"/>
      <c r="F2602" s="274"/>
      <c r="G2602" s="275"/>
      <c r="H2602" s="238" t="s">
        <v>17</v>
      </c>
      <c r="I2602" s="270">
        <f ca="1">ROUND(VLOOKUP($H2602,$AJ$4:$AN$13,2,0)*$Q2604*1.51,2)</f>
        <v>120.15</v>
      </c>
      <c r="J2602" s="270">
        <f ca="1">ROUND(VLOOKUP($H2602,$AJ$4:$AN$13,3,0)*$Q2604*1.51,2)</f>
        <v>85.62</v>
      </c>
      <c r="K2602" s="270">
        <f ca="1">ROUND(VLOOKUP($H2602,$AJ$4:$AN$13,4,0)*$Q2604*1.51,2)</f>
        <v>43.38</v>
      </c>
      <c r="L2602" s="270"/>
      <c r="M2602" s="270">
        <f ca="1">ROUND(VLOOKUP($H2602,$AJ$4:$AN$13,5,0)*$Q2604*1.51,2)</f>
        <v>6.85</v>
      </c>
      <c r="N2602" s="270"/>
      <c r="P2602" s="230">
        <f t="shared" si="1185"/>
        <v>1</v>
      </c>
    </row>
    <row r="2603" spans="1:43" x14ac:dyDescent="0.2">
      <c r="A2603" s="224">
        <f>A2548+1</f>
        <v>48</v>
      </c>
      <c r="B2603" s="276"/>
      <c r="C2603" s="277"/>
      <c r="D2603" s="277"/>
      <c r="E2603" s="277"/>
      <c r="F2603" s="277"/>
      <c r="G2603" s="278"/>
      <c r="H2603" s="238" t="s">
        <v>25</v>
      </c>
      <c r="I2603" s="270">
        <f ca="1">ROUND(VLOOKUP($H2603,$AJ$4:$AN$13,2,0)*$Q2604*1.51,2)</f>
        <v>898.69</v>
      </c>
      <c r="J2603" s="270">
        <f ca="1">ROUND(VLOOKUP($H2603,$AJ$4:$AN$13,3,0)*$Q2604*1.51,2)</f>
        <v>642.13</v>
      </c>
      <c r="K2603" s="270">
        <f ca="1">ROUND(VLOOKUP($H2603,$AJ$4:$AN$13,4,0)*$Q2604*1.51,2)</f>
        <v>323.06</v>
      </c>
      <c r="L2603" s="270"/>
      <c r="M2603" s="270">
        <f ca="1">ROUND(VLOOKUP($H2603,$AJ$4:$AN$13,5,0)*$Q2604*1.51,2)</f>
        <v>27.97</v>
      </c>
      <c r="N2603" s="270"/>
      <c r="P2603" s="230">
        <f t="shared" si="1185"/>
        <v>1</v>
      </c>
      <c r="Q2603" s="240" t="s">
        <v>2045</v>
      </c>
      <c r="R2603" s="240" t="s">
        <v>2046</v>
      </c>
    </row>
    <row r="2604" spans="1:43" x14ac:dyDescent="0.2">
      <c r="B2604" s="276"/>
      <c r="C2604" s="277"/>
      <c r="D2604" s="277"/>
      <c r="E2604" s="277"/>
      <c r="F2604" s="277"/>
      <c r="G2604" s="278"/>
      <c r="H2604" s="238" t="s">
        <v>19</v>
      </c>
      <c r="I2604" s="270">
        <f ca="1">ROUND(VLOOKUP($H2604,$AJ$4:$AN$13,2,0)*$Q2604*1.51,2)</f>
        <v>71.349999999999994</v>
      </c>
      <c r="J2604" s="270">
        <f ca="1">ROUND(VLOOKUP($H2604,$AJ$4:$AN$13,3,0)*$Q2604*1.51,2)</f>
        <v>51.94</v>
      </c>
      <c r="K2604" s="270">
        <f ca="1">ROUND(VLOOKUP($H2604,$AJ$4:$AN$13,4,0)*$Q2604*1.51,2)</f>
        <v>26.54</v>
      </c>
      <c r="L2604" s="270"/>
      <c r="M2604" s="270">
        <f ca="1">ROUND(VLOOKUP($H2604,$AJ$4:$AN$13,5,0)*$Q2604*1.51,2)</f>
        <v>1.43</v>
      </c>
      <c r="N2604" s="270"/>
      <c r="P2604" s="230">
        <f t="shared" si="1185"/>
        <v>0</v>
      </c>
      <c r="Q2604" s="123">
        <f ca="1">IFERROR(IF(R2604="","",IF(OR(R2604&lt;100,R2604=100),0.9,IF(OR(AND(R2604&gt;100,R2604&lt;150),R2604=150),1,IF(R2604&gt;150,1.05,"")))),"0")</f>
        <v>1.05</v>
      </c>
      <c r="R2604" s="123">
        <f ca="1">N2620/G2608</f>
        <v>178.93692307692305</v>
      </c>
    </row>
    <row r="2605" spans="1:43" x14ac:dyDescent="0.2">
      <c r="B2605" s="276"/>
      <c r="C2605" s="277"/>
      <c r="D2605" s="277"/>
      <c r="E2605" s="277"/>
      <c r="F2605" s="277"/>
      <c r="G2605" s="278"/>
      <c r="H2605" s="238" t="s">
        <v>268</v>
      </c>
      <c r="I2605" s="270">
        <f ca="1">ROUND(VLOOKUP($H2605,$AJ$4:$AN$13,2,0)*$Q2604*1.51,2)</f>
        <v>898.69</v>
      </c>
      <c r="J2605" s="270">
        <f ca="1">ROUND(VLOOKUP($H2605,$AJ$4:$AN$13,3,0)*$Q2604*1.51,2)</f>
        <v>642.13</v>
      </c>
      <c r="K2605" s="270">
        <f ca="1">ROUND(VLOOKUP($H2605,$AJ$4:$AN$13,4,0)*$Q2604*1.51,2)</f>
        <v>323.06</v>
      </c>
      <c r="L2605" s="270"/>
      <c r="M2605" s="270">
        <f ca="1">ROUND(VLOOKUP($H2605,$AJ$4:$AN$13,5,0)*$Q2604*1.51,2)</f>
        <v>27.97</v>
      </c>
      <c r="N2605" s="270"/>
    </row>
    <row r="2606" spans="1:43" x14ac:dyDescent="0.2">
      <c r="B2606" s="276"/>
      <c r="C2606" s="277"/>
      <c r="D2606" s="277"/>
      <c r="E2606" s="277"/>
      <c r="F2606" s="277"/>
      <c r="G2606" s="278"/>
      <c r="H2606" s="238" t="s">
        <v>40</v>
      </c>
      <c r="I2606" s="270">
        <f ca="1">ROUND(VLOOKUP($H2606,$AJ$4:$AN$13,2,0)*$Q2604*1.51,2)</f>
        <v>71.349999999999994</v>
      </c>
      <c r="J2606" s="270">
        <f ca="1">ROUND(VLOOKUP($H2606,$AJ$4:$AN$13,3,0)*$Q2604*1.51,2)</f>
        <v>51.94</v>
      </c>
      <c r="K2606" s="270">
        <f ca="1">ROUND(VLOOKUP($H2606,$AJ$4:$AN$13,4,0)*$Q2604*1.51,2)</f>
        <v>26.54</v>
      </c>
      <c r="L2606" s="270"/>
      <c r="M2606" s="270">
        <f ca="1">ROUND(VLOOKUP($H2606,$AJ$4:$AN$13,5,0)*$Q2604*1.51,2)</f>
        <v>1.43</v>
      </c>
      <c r="N2606" s="270"/>
      <c r="P2606" s="230">
        <f t="shared" ref="P2606:P2619" si="1186">IF(A2606&gt;0,1,0)</f>
        <v>0</v>
      </c>
    </row>
    <row r="2607" spans="1:43" x14ac:dyDescent="0.2">
      <c r="B2607" s="279"/>
      <c r="C2607" s="280"/>
      <c r="D2607" s="280"/>
      <c r="E2607" s="280"/>
      <c r="F2607" s="280"/>
      <c r="G2607" s="281"/>
      <c r="H2607" s="238" t="s">
        <v>18</v>
      </c>
      <c r="I2607" s="270">
        <f ca="1">ROUND(VLOOKUP($H2607,$AJ$4:$AN$13,2,0)*$Q2604*1.51,2)</f>
        <v>22.83</v>
      </c>
      <c r="J2607" s="270">
        <f ca="1">ROUND(VLOOKUP($H2607,$AJ$4:$AN$13,3,0)*$Q2604*1.51,2)</f>
        <v>17.41</v>
      </c>
      <c r="K2607" s="270">
        <f ca="1">ROUND(VLOOKUP($H2607,$AJ$4:$AN$13,4,0)*$Q2604*1.51,2)</f>
        <v>8.85</v>
      </c>
      <c r="L2607" s="270"/>
      <c r="M2607" s="270">
        <f ca="1">ROUND(VLOOKUP($H2607,$AJ$4:$AN$13,5,0)*$Q2604*1.51*1,2)</f>
        <v>0.56999999999999995</v>
      </c>
      <c r="N2607" s="270"/>
      <c r="P2607" s="230">
        <f t="shared" si="1186"/>
        <v>0</v>
      </c>
      <c r="AP2607" s="241" t="s">
        <v>2053</v>
      </c>
      <c r="AQ2607" s="242"/>
    </row>
    <row r="2608" spans="1:43" x14ac:dyDescent="0.2">
      <c r="A2608" s="224">
        <f>A2553+37</f>
        <v>1739</v>
      </c>
      <c r="B2608" s="243" t="str">
        <f ca="1">OFFSET(ЛОТЫ!$L$5,A2608,0,1,1)</f>
        <v>Тумбинское</v>
      </c>
      <c r="C2608" s="244" t="s">
        <v>474</v>
      </c>
      <c r="D2608" s="243">
        <f ca="1">OFFSET(ЛОТЫ!$M$5,A2608,0,1,1)</f>
        <v>54</v>
      </c>
      <c r="E2608" s="243">
        <f ca="1">OFFSET(ЛОТЫ!$N$5,A2608,0,1,1)</f>
        <v>9</v>
      </c>
      <c r="F2608" s="243">
        <f ca="1">OFFSET(ЛОТЫ!$O$5,A2608,0,1,1)</f>
        <v>2</v>
      </c>
      <c r="G2608" s="271">
        <f ca="1">IFERROR(INDEX('Ведомость расчета мин. платы'!$G$10:$AC$214,MATCH(CONCATENATE(B2608,"/",D2608,"/",E2608,"/",F2608),'Ведомость расчета мин. платы'!$AC$10:$AC$214,0),1),"")</f>
        <v>6.5</v>
      </c>
      <c r="H2608" s="246" t="s">
        <v>17</v>
      </c>
      <c r="I2608" s="247">
        <f ca="1">IFERROR(INDEX('Ведомость расчета мин. платы'!$J$10:$AE$214,MATCH(CONCATENATE(РАСЧЕТ!B2608,"/",РАСЧЕТ!D2608,"/",РАСЧЕТ!E2608,"/",F2608,"/",H2608),'Ведомость расчета мин. платы'!$AE$10:$AE$214,0),2),"")</f>
        <v>7.8</v>
      </c>
      <c r="J2608" s="247">
        <f ca="1">IFERROR(INDEX('Ведомость расчета мин. платы'!$J$10:$AE$214,MATCH(CONCATENATE(РАСЧЕТ!B2608,"/",РАСЧЕТ!D2608,"/",РАСЧЕТ!E2608,"/",F2608,"/",H2608),'Ведомость расчета мин. платы'!$AE$10:$AE$214,0),3),"")</f>
        <v>34.130000000000003</v>
      </c>
      <c r="K2608" s="247">
        <f ca="1">IFERROR(INDEX('Ведомость расчета мин. платы'!$J$10:$AE$214,MATCH(CONCATENATE(РАСЧЕТ!B2608,"/",РАСЧЕТ!D2608,"/",РАСЧЕТ!E2608,"/",F2608,"/",H2608),'Ведомость расчета мин. платы'!$AE$10:$AE$214,0),4),"")</f>
        <v>5.27</v>
      </c>
      <c r="L2608" s="248">
        <f t="shared" ref="L2608:L2620" ca="1" si="1187">IFERROR(SUM(I2608:K2608),"")</f>
        <v>47.2</v>
      </c>
      <c r="M2608" s="214">
        <f ca="1">IFERROR(INDEX('Ведомость расчета мин. платы'!$J$10:$AE$214,MATCH(CONCATENATE(РАСЧЕТ!B2608,"/",РАСЧЕТ!D2608,"/",РАСЧЕТ!E2608,"/",F2608,"/",H2608),'Ведомость расчета мин. платы'!$AE$10:$AE$214,0),6),"")</f>
        <v>189.22</v>
      </c>
      <c r="N2608" s="214">
        <f t="shared" ref="N2608:N2620" ca="1" si="1188">IFERROR(SUM(L2608:M2608),"")</f>
        <v>236.42000000000002</v>
      </c>
      <c r="O2608" s="229">
        <f>IF(H2608="стоимость","",1)</f>
        <v>1</v>
      </c>
      <c r="P2608" s="230">
        <f t="shared" si="1186"/>
        <v>1</v>
      </c>
      <c r="AP2608" s="242"/>
      <c r="AQ2608" s="242"/>
    </row>
    <row r="2609" spans="2:43" x14ac:dyDescent="0.2">
      <c r="B2609" s="249"/>
      <c r="C2609" s="249"/>
      <c r="D2609" s="249"/>
      <c r="E2609" s="249"/>
      <c r="F2609" s="249"/>
      <c r="G2609" s="249"/>
      <c r="H2609" s="250" t="s">
        <v>475</v>
      </c>
      <c r="I2609" s="251">
        <f ca="1">IFERROR(ROUND(I2608*I2602,2),"")</f>
        <v>937.17</v>
      </c>
      <c r="J2609" s="251">
        <f t="shared" ref="J2609" ca="1" si="1189">IFERROR(ROUND(J2608*J2602,2),"")</f>
        <v>2922.21</v>
      </c>
      <c r="K2609" s="251">
        <f t="shared" ref="K2609" ca="1" si="1190">IFERROR(ROUND(K2608*K2602,2),"")</f>
        <v>228.61</v>
      </c>
      <c r="L2609" s="251">
        <f t="shared" ca="1" si="1187"/>
        <v>4087.9900000000002</v>
      </c>
      <c r="M2609" s="251">
        <f t="shared" ref="M2609" ca="1" si="1191">IFERROR(ROUND(M2608*M2602,2),"")</f>
        <v>1296.1600000000001</v>
      </c>
      <c r="N2609" s="252">
        <f t="shared" ca="1" si="1188"/>
        <v>5384.1500000000005</v>
      </c>
      <c r="O2609" s="229" t="str">
        <f t="shared" ref="O2609:O2619" si="1192">IF(H2609="стоимость","",1)</f>
        <v/>
      </c>
      <c r="P2609" s="230">
        <f t="shared" si="1186"/>
        <v>0</v>
      </c>
      <c r="AP2609" s="242">
        <f ca="1">SUMIFS('Ведомость расчета мин. платы'!$S$10:$S$209,'Ведомость расчета мин. платы'!$AE$10:$AE$209,CONCATENATE(B2608,"/",D2608,"/",E2608,"/",F2608,"/",H2608))</f>
        <v>5384.15</v>
      </c>
      <c r="AQ2609" s="253">
        <f t="shared" ref="AQ2609" ca="1" si="1193">AP2609-N2609</f>
        <v>0</v>
      </c>
    </row>
    <row r="2610" spans="2:43" x14ac:dyDescent="0.2">
      <c r="B2610" s="249"/>
      <c r="C2610" s="249"/>
      <c r="D2610" s="249"/>
      <c r="E2610" s="249"/>
      <c r="F2610" s="249"/>
      <c r="G2610" s="249"/>
      <c r="H2610" s="246" t="s">
        <v>25</v>
      </c>
      <c r="I2610" s="247" t="str">
        <f ca="1">IFERROR(INDEX('Ведомость расчета мин. платы'!$J$10:$AE$214,MATCH(CONCATENATE(РАСЧЕТ!B2608,"/",РАСЧЕТ!D2608,"/",РАСЧЕТ!E2608,"/",F2608,"/",H2610),'Ведомость расчета мин. платы'!$AE$10:$AE$214,0),2),"")</f>
        <v/>
      </c>
      <c r="J2610" s="247" t="str">
        <f ca="1">IFERROR(INDEX('Ведомость расчета мин. платы'!$J$10:$AE$214,MATCH(CONCATENATE(РАСЧЕТ!B2608,"/",РАСЧЕТ!D2608,"/",РАСЧЕТ!E2608,"/",F2608,"/",H2610),'Ведомость расчета мин. платы'!$AE$10:$AE$214,0),3),"")</f>
        <v/>
      </c>
      <c r="K2610" s="247" t="str">
        <f ca="1">IFERROR(INDEX('Ведомость расчета мин. платы'!$J$10:$AE$214,MATCH(CONCATENATE(РАСЧЕТ!B2608,"/",РАСЧЕТ!D2608,"/",РАСЧЕТ!E2608,"/",F2608,"/",H2610),'Ведомость расчета мин. платы'!$AE$10:$AE$214,0),4),"")</f>
        <v/>
      </c>
      <c r="L2610" s="248">
        <f t="shared" ca="1" si="1187"/>
        <v>0</v>
      </c>
      <c r="M2610" s="214" t="str">
        <f ca="1">IFERROR(INDEX('Ведомость расчета мин. платы'!$J$10:$AE$214,MATCH(CONCATENATE(РАСЧЕТ!B2608,"/",РАСЧЕТ!D2608,"/",РАСЧЕТ!E2608,"/",F2608,"/",H2610),'Ведомость расчета мин. платы'!$AE$10:$AE$214,0),6),"")</f>
        <v/>
      </c>
      <c r="N2610" s="214">
        <f t="shared" ca="1" si="1188"/>
        <v>0</v>
      </c>
      <c r="O2610" s="229">
        <f t="shared" si="1192"/>
        <v>1</v>
      </c>
      <c r="P2610" s="230">
        <f t="shared" si="1186"/>
        <v>0</v>
      </c>
      <c r="AP2610" s="242"/>
      <c r="AQ2610" s="253"/>
    </row>
    <row r="2611" spans="2:43" x14ac:dyDescent="0.2">
      <c r="B2611" s="249"/>
      <c r="C2611" s="249"/>
      <c r="D2611" s="249"/>
      <c r="E2611" s="249"/>
      <c r="F2611" s="249"/>
      <c r="G2611" s="249"/>
      <c r="H2611" s="250" t="s">
        <v>475</v>
      </c>
      <c r="I2611" s="251" t="str">
        <f ca="1">IFERROR(ROUND(I2610*I2603,2),"")</f>
        <v/>
      </c>
      <c r="J2611" s="251" t="str">
        <f t="shared" ref="J2611" ca="1" si="1194">IFERROR(ROUND(J2610*J2603,2),"")</f>
        <v/>
      </c>
      <c r="K2611" s="251" t="str">
        <f t="shared" ref="K2611" ca="1" si="1195">IFERROR(ROUND(K2610*K2603,2),"")</f>
        <v/>
      </c>
      <c r="L2611" s="251">
        <f t="shared" ca="1" si="1187"/>
        <v>0</v>
      </c>
      <c r="M2611" s="251" t="str">
        <f t="shared" ref="M2611" ca="1" si="1196">IFERROR(ROUND(M2610*M2603,2),"")</f>
        <v/>
      </c>
      <c r="N2611" s="252">
        <f t="shared" ca="1" si="1188"/>
        <v>0</v>
      </c>
      <c r="O2611" s="229" t="str">
        <f t="shared" si="1192"/>
        <v/>
      </c>
      <c r="P2611" s="230">
        <f t="shared" si="1186"/>
        <v>0</v>
      </c>
      <c r="AP2611" s="242">
        <f ca="1">SUMIFS('Ведомость расчета мин. платы'!$S$10:$S$209,'Ведомость расчета мин. платы'!$AE$10:$AE$209,CONCATENATE(B2608,"/",D2608,"/",E2608,"/",F2608,"/",H2610))</f>
        <v>0</v>
      </c>
      <c r="AQ2611" s="253">
        <f t="shared" ref="AQ2611" ca="1" si="1197">AP2611-N2611</f>
        <v>0</v>
      </c>
    </row>
    <row r="2612" spans="2:43" x14ac:dyDescent="0.2">
      <c r="B2612" s="249"/>
      <c r="C2612" s="249"/>
      <c r="D2612" s="249"/>
      <c r="E2612" s="249"/>
      <c r="F2612" s="249"/>
      <c r="G2612" s="249"/>
      <c r="H2612" s="205" t="s">
        <v>19</v>
      </c>
      <c r="I2612" s="248">
        <f ca="1">IFERROR(INDEX('Ведомость расчета мин. платы'!$J$10:$AE$214,MATCH(CONCATENATE(РАСЧЕТ!B2608,"/",РАСЧЕТ!D2608,"/",РАСЧЕТ!E2608,"/",F2608,"/",H2612),'Ведомость расчета мин. платы'!$AE$10:$AE$214,0),2),"")</f>
        <v>1.85</v>
      </c>
      <c r="J2612" s="248">
        <f ca="1">IFERROR(INDEX('Ведомость расчета мин. платы'!$J$10:$AE$214,MATCH(CONCATENATE(РАСЧЕТ!B2608,"/",РАСЧЕТ!D2608,"/",РАСЧЕТ!E2608,"/",F2608,"/",H2612),'Ведомость расчета мин. платы'!$AE$10:$AE$214,0),3),"")</f>
        <v>36.15</v>
      </c>
      <c r="K2612" s="248">
        <f ca="1">IFERROR(INDEX('Ведомость расчета мин. платы'!$J$10:$AE$214,MATCH(CONCATENATE(РАСЧЕТ!B2608,"/",РАСЧЕТ!D2608,"/",РАСЧЕТ!E2608,"/",F2608,"/",H2612),'Ведомость расчета мин. платы'!$AE$10:$AE$214,0),4),"")</f>
        <v>7.93</v>
      </c>
      <c r="L2612" s="248">
        <f t="shared" ca="1" si="1187"/>
        <v>45.93</v>
      </c>
      <c r="M2612" s="248">
        <f ca="1">IFERROR(INDEX('Ведомость расчета мин. платы'!$J$10:$AE$214,MATCH(CONCATENATE(РАСЧЕТ!B2608,"/",РАСЧЕТ!D2608,"/",РАСЧЕТ!E2608,"/",F2608,"/",H2612),'Ведомость расчета мин. платы'!$AE$10:$AE$214,0),6),"")</f>
        <v>264.52</v>
      </c>
      <c r="N2612" s="214">
        <f t="shared" ca="1" si="1188"/>
        <v>310.45</v>
      </c>
      <c r="O2612" s="229">
        <f t="shared" si="1192"/>
        <v>1</v>
      </c>
      <c r="P2612" s="230">
        <f t="shared" si="1186"/>
        <v>0</v>
      </c>
      <c r="AP2612" s="242"/>
      <c r="AQ2612" s="253"/>
    </row>
    <row r="2613" spans="2:43" x14ac:dyDescent="0.2">
      <c r="B2613" s="249"/>
      <c r="C2613" s="249"/>
      <c r="D2613" s="249"/>
      <c r="E2613" s="249"/>
      <c r="F2613" s="249"/>
      <c r="G2613" s="249"/>
      <c r="H2613" s="250" t="s">
        <v>475</v>
      </c>
      <c r="I2613" s="251">
        <f ca="1">IFERROR(ROUND(I2612*I2604,2),"")</f>
        <v>132</v>
      </c>
      <c r="J2613" s="251">
        <f t="shared" ref="J2613" ca="1" si="1198">IFERROR(ROUND(J2612*J2604,2),"")</f>
        <v>1877.63</v>
      </c>
      <c r="K2613" s="251">
        <f t="shared" ref="K2613" ca="1" si="1199">IFERROR(ROUND(K2612*K2604,2),"")</f>
        <v>210.46</v>
      </c>
      <c r="L2613" s="251">
        <f t="shared" ca="1" si="1187"/>
        <v>2220.09</v>
      </c>
      <c r="M2613" s="251">
        <v>378.26999999999975</v>
      </c>
      <c r="N2613" s="252">
        <f t="shared" ca="1" si="1188"/>
        <v>2598.3599999999997</v>
      </c>
      <c r="O2613" s="229" t="str">
        <f t="shared" si="1192"/>
        <v/>
      </c>
      <c r="P2613" s="230">
        <f t="shared" si="1186"/>
        <v>0</v>
      </c>
      <c r="AP2613" s="242">
        <f ca="1">SUMIFS('Ведомость расчета мин. платы'!$S$10:$S$209,'Ведомость расчета мин. платы'!$AE$10:$AE$209,CONCATENATE(B2608,"/",D2608,"/",E2608,"/",F2608,"/",H2612))</f>
        <v>2598.36</v>
      </c>
      <c r="AQ2613" s="253">
        <f t="shared" ref="AQ2613" ca="1" si="1200">AP2613-N2613</f>
        <v>0</v>
      </c>
    </row>
    <row r="2614" spans="2:43" x14ac:dyDescent="0.2">
      <c r="B2614" s="249"/>
      <c r="C2614" s="249"/>
      <c r="D2614" s="249"/>
      <c r="E2614" s="249"/>
      <c r="F2614" s="249"/>
      <c r="G2614" s="249"/>
      <c r="H2614" s="205" t="s">
        <v>268</v>
      </c>
      <c r="I2614" s="248" t="str">
        <f ca="1">IFERROR(INDEX('Ведомость расчета мин. платы'!$J$10:$AE$214,MATCH(CONCATENATE(РАСЧЕТ!B2608,"/",РАСЧЕТ!D2608,"/",РАСЧЕТ!E2608,"/",F2608,"/",H2614),'Ведомость расчета мин. платы'!$AE$10:$AE$214,0),2),"")</f>
        <v/>
      </c>
      <c r="J2614" s="248" t="str">
        <f ca="1">IFERROR(INDEX('Ведомость расчета мин. платы'!$J$10:$AE$214,MATCH(CONCATENATE(РАСЧЕТ!B2608,"/",РАСЧЕТ!D2608,"/",РАСЧЕТ!E2608,"/",F2608,"/",H2614),'Ведомость расчета мин. платы'!$AE$10:$AE$214,0),3),"")</f>
        <v/>
      </c>
      <c r="K2614" s="248" t="str">
        <f ca="1">IFERROR(INDEX('Ведомость расчета мин. платы'!$J$10:$AE$214,MATCH(CONCATENATE(РАСЧЕТ!B2608,"/",РАСЧЕТ!D2608,"/",РАСЧЕТ!E2608,"/",F2608,"/",H2614),'Ведомость расчета мин. платы'!$AE$10:$AE$214,0),4),"")</f>
        <v/>
      </c>
      <c r="L2614" s="248">
        <f t="shared" ca="1" si="1187"/>
        <v>0</v>
      </c>
      <c r="M2614" s="248" t="str">
        <f ca="1">IFERROR(INDEX('Ведомость расчета мин. платы'!$J$10:$AE$214,MATCH(CONCATENATE(РАСЧЕТ!B2608,"/",РАСЧЕТ!D2608,"/",РАСЧЕТ!E2608,"/",F2608,"/",H2614),'Ведомость расчета мин. платы'!$AE$10:$AE$214,0),6),"")</f>
        <v/>
      </c>
      <c r="N2614" s="214">
        <f t="shared" ca="1" si="1188"/>
        <v>0</v>
      </c>
      <c r="O2614" s="229">
        <f t="shared" si="1192"/>
        <v>1</v>
      </c>
      <c r="P2614" s="230">
        <f t="shared" si="1186"/>
        <v>0</v>
      </c>
      <c r="AP2614" s="242"/>
      <c r="AQ2614" s="253"/>
    </row>
    <row r="2615" spans="2:43" x14ac:dyDescent="0.2">
      <c r="B2615" s="249"/>
      <c r="C2615" s="249"/>
      <c r="D2615" s="249"/>
      <c r="E2615" s="249"/>
      <c r="F2615" s="249"/>
      <c r="G2615" s="249"/>
      <c r="H2615" s="250" t="s">
        <v>475</v>
      </c>
      <c r="I2615" s="251" t="str">
        <f ca="1">IFERROR(ROUND(I2614*I2607,2),"")</f>
        <v/>
      </c>
      <c r="J2615" s="251" t="str">
        <f ca="1">IFERROR(ROUND(J2614*J2605,2),"")</f>
        <v/>
      </c>
      <c r="K2615" s="251" t="str">
        <f ca="1">IFERROR(ROUND(K2614*K2605,2),"")</f>
        <v/>
      </c>
      <c r="L2615" s="251">
        <f t="shared" ca="1" si="1187"/>
        <v>0</v>
      </c>
      <c r="M2615" s="251" t="str">
        <f ca="1">IFERROR(ROUND(M2614*M2605,2),"")</f>
        <v/>
      </c>
      <c r="N2615" s="252">
        <f t="shared" ca="1" si="1188"/>
        <v>0</v>
      </c>
      <c r="O2615" s="229" t="str">
        <f t="shared" si="1192"/>
        <v/>
      </c>
      <c r="P2615" s="230">
        <f t="shared" si="1186"/>
        <v>0</v>
      </c>
      <c r="AP2615" s="242">
        <f ca="1">SUMIFS('Ведомость расчета мин. платы'!$S$10:$S$209,'Ведомость расчета мин. платы'!$AE$10:$AE$209,CONCATENATE(B2608,"/",D2608,"/",E2608,"/",F2608,"/",H2614))</f>
        <v>0</v>
      </c>
      <c r="AQ2615" s="253">
        <f t="shared" ref="AQ2615" ca="1" si="1201">AP2615-N2615</f>
        <v>0</v>
      </c>
    </row>
    <row r="2616" spans="2:43" x14ac:dyDescent="0.2">
      <c r="B2616" s="249"/>
      <c r="C2616" s="249"/>
      <c r="D2616" s="249"/>
      <c r="E2616" s="249"/>
      <c r="F2616" s="249"/>
      <c r="G2616" s="249"/>
      <c r="H2616" s="205" t="s">
        <v>40</v>
      </c>
      <c r="I2616" s="248" t="str">
        <f ca="1">IFERROR(INDEX('Ведомость расчета мин. платы'!$J$10:$AE$214,MATCH(CONCATENATE(РАСЧЕТ!B2608,"/",РАСЧЕТ!D2608,"/",РАСЧЕТ!E2608,"/",F2608,"/",H2616),'Ведомость расчета мин. платы'!$AE$10:$AE$214,0),2),"")</f>
        <v/>
      </c>
      <c r="J2616" s="248" t="str">
        <f ca="1">IFERROR(INDEX('Ведомость расчета мин. платы'!$J$10:$AE$214,MATCH(CONCATENATE(РАСЧЕТ!B2608,"/",РАСЧЕТ!D2608,"/",РАСЧЕТ!E2608,"/",F2608,"/",H2616),'Ведомость расчета мин. платы'!$AE$10:$AE$214,0),3),"")</f>
        <v/>
      </c>
      <c r="K2616" s="248" t="str">
        <f ca="1">IFERROR(INDEX('Ведомость расчета мин. платы'!$J$10:$AE$214,MATCH(CONCATENATE(РАСЧЕТ!B2608,"/",РАСЧЕТ!D2608,"/",РАСЧЕТ!E2608,"/",F2608,"/",H2616),'Ведомость расчета мин. платы'!$AE$10:$AE$214,0),4),"")</f>
        <v/>
      </c>
      <c r="L2616" s="248">
        <f t="shared" ca="1" si="1187"/>
        <v>0</v>
      </c>
      <c r="M2616" s="248" t="str">
        <f ca="1">IFERROR(INDEX('Ведомость расчета мин. платы'!$J$10:$AE$214,MATCH(CONCATENATE(РАСЧЕТ!B2608,"/",РАСЧЕТ!D2608,"/",РАСЧЕТ!E2608,"/",F2608,"/",H2616),'Ведомость расчета мин. платы'!$AE$10:$AE$214,0),6),"")</f>
        <v/>
      </c>
      <c r="N2616" s="214">
        <f t="shared" ca="1" si="1188"/>
        <v>0</v>
      </c>
      <c r="O2616" s="229">
        <f t="shared" si="1192"/>
        <v>1</v>
      </c>
      <c r="P2616" s="230">
        <f t="shared" si="1186"/>
        <v>0</v>
      </c>
      <c r="AP2616" s="242"/>
      <c r="AQ2616" s="253"/>
    </row>
    <row r="2617" spans="2:43" x14ac:dyDescent="0.2">
      <c r="B2617" s="249"/>
      <c r="C2617" s="249"/>
      <c r="D2617" s="249"/>
      <c r="E2617" s="249"/>
      <c r="F2617" s="249"/>
      <c r="G2617" s="249"/>
      <c r="H2617" s="250" t="s">
        <v>475</v>
      </c>
      <c r="I2617" s="251" t="str">
        <f ca="1">IFERROR(ROUND(I2616*I2606,2),"")</f>
        <v/>
      </c>
      <c r="J2617" s="251" t="str">
        <f t="shared" ref="J2617" ca="1" si="1202">IFERROR(ROUND(J2616*J2606,2),"")</f>
        <v/>
      </c>
      <c r="K2617" s="251" t="str">
        <f t="shared" ref="K2617" ca="1" si="1203">IFERROR(ROUND(K2616*K2606,2),"")</f>
        <v/>
      </c>
      <c r="L2617" s="251">
        <f t="shared" ca="1" si="1187"/>
        <v>0</v>
      </c>
      <c r="M2617" s="251" t="str">
        <f t="shared" ref="M2617" ca="1" si="1204">IFERROR(ROUND(M2616*M2606,2),"")</f>
        <v/>
      </c>
      <c r="N2617" s="252">
        <f t="shared" ca="1" si="1188"/>
        <v>0</v>
      </c>
      <c r="O2617" s="229" t="str">
        <f t="shared" si="1192"/>
        <v/>
      </c>
      <c r="P2617" s="230">
        <f t="shared" si="1186"/>
        <v>0</v>
      </c>
      <c r="AP2617" s="242">
        <f ca="1">SUMIFS('Ведомость расчета мин. платы'!$S$10:$S$209,'Ведомость расчета мин. платы'!$AE$10:$AE$209,CONCATENATE(B2608,"/",D2608,"/",E2608,"/",F2608,"/",H2616))</f>
        <v>0</v>
      </c>
      <c r="AQ2617" s="253">
        <f t="shared" ref="AQ2617" ca="1" si="1205">AP2617-N2617</f>
        <v>0</v>
      </c>
    </row>
    <row r="2618" spans="2:43" x14ac:dyDescent="0.2">
      <c r="B2618" s="249"/>
      <c r="C2618" s="249"/>
      <c r="D2618" s="249"/>
      <c r="E2618" s="249"/>
      <c r="F2618" s="249"/>
      <c r="G2618" s="249"/>
      <c r="H2618" s="205" t="s">
        <v>18</v>
      </c>
      <c r="I2618" s="248">
        <f ca="1">IFERROR(INDEX('Ведомость расчета мин. платы'!$J$10:$AE$214,MATCH(CONCATENATE(РАСЧЕТ!B2608,"/",РАСЧЕТ!D2608,"/",РАСЧЕТ!E2608,"/",F2608,"/",H2618),'Ведомость расчета мин. платы'!$AE$10:$AE$214,0),2),"")</f>
        <v>121.42</v>
      </c>
      <c r="J2618" s="248">
        <f ca="1">IFERROR(INDEX('Ведомость расчета мин. платы'!$J$10:$AE$214,MATCH(CONCATENATE(РАСЧЕТ!B2608,"/",РАСЧЕТ!D2608,"/",РАСЧЕТ!E2608,"/",F2608,"/",H2618),'Ведомость расчета мин. платы'!$AE$10:$AE$214,0),3),"")</f>
        <v>83.92</v>
      </c>
      <c r="K2618" s="248">
        <f ca="1">IFERROR(INDEX('Ведомость расчета мин. платы'!$J$10:$AE$214,MATCH(CONCATENATE(РАСЧЕТ!B2608,"/",РАСЧЕТ!D2608,"/",РАСЧЕТ!E2608,"/",F2608,"/",H2618),'Ведомость расчета мин. платы'!$AE$10:$AE$214,0),4),"")</f>
        <v>0</v>
      </c>
      <c r="L2618" s="248">
        <f t="shared" ca="1" si="1187"/>
        <v>205.34</v>
      </c>
      <c r="M2618" s="248">
        <f ca="1">IFERROR(INDEX('Ведомость расчета мин. платы'!$J$10:$AE$214,MATCH(CONCATENATE(РАСЧЕТ!B2608,"/",РАСЧЕТ!D2608,"/",РАСЧЕТ!E2608,"/",F2608,"/",H2618),'Ведомость расчета мин. платы'!$AE$10:$AE$214,0),6),"")</f>
        <v>410.88</v>
      </c>
      <c r="N2618" s="214">
        <f t="shared" ca="1" si="1188"/>
        <v>616.22</v>
      </c>
      <c r="O2618" s="229">
        <f t="shared" si="1192"/>
        <v>1</v>
      </c>
      <c r="P2618" s="230">
        <f t="shared" si="1186"/>
        <v>0</v>
      </c>
      <c r="AP2618" s="242"/>
      <c r="AQ2618" s="253"/>
    </row>
    <row r="2619" spans="2:43" x14ac:dyDescent="0.2">
      <c r="B2619" s="249"/>
      <c r="C2619" s="249"/>
      <c r="D2619" s="249"/>
      <c r="E2619" s="249"/>
      <c r="F2619" s="249"/>
      <c r="G2619" s="249"/>
      <c r="H2619" s="250" t="s">
        <v>475</v>
      </c>
      <c r="I2619" s="251">
        <f ca="1">IFERROR(ROUND(I2618*I2607,2),"")</f>
        <v>2772.02</v>
      </c>
      <c r="J2619" s="251">
        <f t="shared" ref="J2619" ca="1" si="1206">IFERROR(ROUND(J2618*J2607,2),"")</f>
        <v>1461.05</v>
      </c>
      <c r="K2619" s="251">
        <f t="shared" ref="K2619" ca="1" si="1207">IFERROR(ROUND(K2618*K2607,2),"")</f>
        <v>0</v>
      </c>
      <c r="L2619" s="251">
        <f t="shared" ca="1" si="1187"/>
        <v>4233.07</v>
      </c>
      <c r="M2619" s="251">
        <v>234.21000000000021</v>
      </c>
      <c r="N2619" s="252">
        <f t="shared" ca="1" si="1188"/>
        <v>4467.28</v>
      </c>
      <c r="O2619" s="229" t="str">
        <f t="shared" si="1192"/>
        <v/>
      </c>
      <c r="P2619" s="230">
        <f t="shared" si="1186"/>
        <v>0</v>
      </c>
      <c r="AP2619" s="242">
        <f ca="1">SUMIFS('Ведомость расчета мин. платы'!$S$10:$S$209,'Ведомость расчета мин. платы'!$AE$10:$AE$209,CONCATENATE(B2608,"/",D2608,"/",E2608,"/",F2608,"/",H2618))</f>
        <v>4467.28</v>
      </c>
      <c r="AQ2619" s="253">
        <f t="shared" ref="AQ2619" ca="1" si="1208">AP2619-N2619</f>
        <v>0</v>
      </c>
    </row>
    <row r="2620" spans="2:43" x14ac:dyDescent="0.2">
      <c r="B2620" s="249"/>
      <c r="C2620" s="249"/>
      <c r="D2620" s="249"/>
      <c r="E2620" s="249"/>
      <c r="F2620" s="249"/>
      <c r="G2620" s="249"/>
      <c r="H2620" s="254" t="s">
        <v>476</v>
      </c>
      <c r="I2620" s="251">
        <f ca="1">SUMIF($O2608:$O2621,1,I2608:I2619)</f>
        <v>131.07</v>
      </c>
      <c r="J2620" s="251">
        <f ca="1">SUMIF($O2608:$O2621,1,J2608:J2619)</f>
        <v>154.19999999999999</v>
      </c>
      <c r="K2620" s="251">
        <f ca="1">SUMIF($O2608:$O2621,1,K2608:K2619)</f>
        <v>13.2</v>
      </c>
      <c r="L2620" s="251">
        <f t="shared" ca="1" si="1187"/>
        <v>298.46999999999997</v>
      </c>
      <c r="M2620" s="251">
        <f ca="1">SUMIF($O2608:$O2621,1,M2608:M2619)</f>
        <v>864.62</v>
      </c>
      <c r="N2620" s="252">
        <f t="shared" ca="1" si="1188"/>
        <v>1163.0899999999999</v>
      </c>
      <c r="AP2620" s="242"/>
      <c r="AQ2620" s="253"/>
    </row>
    <row r="2621" spans="2:43" x14ac:dyDescent="0.2">
      <c r="B2621" s="249"/>
      <c r="C2621" s="249"/>
      <c r="D2621" s="249"/>
      <c r="E2621" s="249"/>
      <c r="F2621" s="249"/>
      <c r="G2621" s="249"/>
      <c r="H2621" s="254" t="s">
        <v>491</v>
      </c>
      <c r="I2621" s="251">
        <f ca="1">SUMIF(H2608:H2619,"стоимость",I2608:I2619)</f>
        <v>3841.19</v>
      </c>
      <c r="J2621" s="251">
        <f ca="1">SUMIF(H2608:H2619,"стоимость",J2608:J2619)</f>
        <v>6260.89</v>
      </c>
      <c r="K2621" s="251">
        <f ca="1">SUMIF(H2608:H2619,"стоимость",K2608:K2619)</f>
        <v>439.07000000000005</v>
      </c>
      <c r="L2621" s="251">
        <f ca="1">IFERROR(SUM(I2621:K2621),"")</f>
        <v>10541.15</v>
      </c>
      <c r="M2621" s="251">
        <f ca="1">SUMIF(H2608:H2619,"стоимость",M2608:M2619)</f>
        <v>1908.64</v>
      </c>
      <c r="N2621" s="252">
        <f ca="1">IFERROR(SUM(L2621:M2621),"")</f>
        <v>12449.789999999999</v>
      </c>
      <c r="AP2621" s="242">
        <f ca="1">SUMIFS('Ведомость расчета мин. платы'!$S$10:$S$209,'Ведомость расчета мин. платы'!$J$10:$J$209,"Итого",'Ведомость расчета мин. платы'!$AC$10:$AC$209,CONCATENATE(B2608,"/",D2608,"/",E2608,"/",F2608))</f>
        <v>12449.79</v>
      </c>
      <c r="AQ2621" s="253">
        <f ca="1">AP2621-N2621</f>
        <v>0</v>
      </c>
    </row>
    <row r="2622" spans="2:43" x14ac:dyDescent="0.2">
      <c r="B2622" s="255"/>
      <c r="C2622" s="255"/>
      <c r="D2622" s="255"/>
      <c r="E2622" s="255"/>
      <c r="F2622" s="255"/>
      <c r="G2622" s="256"/>
      <c r="H2622" s="257"/>
      <c r="I2622" s="258"/>
      <c r="J2622" s="258"/>
      <c r="K2622" s="258"/>
      <c r="L2622" s="258"/>
      <c r="M2622" s="258"/>
      <c r="N2622" s="258"/>
      <c r="P2622" s="230">
        <f t="shared" ref="P2622:P2640" si="1209">IF(A2622&gt;0,1,0)</f>
        <v>0</v>
      </c>
    </row>
    <row r="2623" spans="2:43" x14ac:dyDescent="0.2">
      <c r="B2623" s="282" t="s">
        <v>477</v>
      </c>
      <c r="C2623" s="282"/>
      <c r="D2623" s="282"/>
      <c r="E2623" s="282"/>
      <c r="F2623" s="259"/>
      <c r="G2623" s="225"/>
      <c r="H2623" s="201"/>
      <c r="I2623" s="226"/>
      <c r="J2623" s="258"/>
      <c r="K2623" s="258"/>
      <c r="L2623" s="258"/>
      <c r="M2623" s="258"/>
      <c r="N2623" s="258"/>
      <c r="P2623" s="230">
        <f t="shared" si="1209"/>
        <v>0</v>
      </c>
    </row>
    <row r="2624" spans="2:43" x14ac:dyDescent="0.2">
      <c r="B2624" s="283" t="s">
        <v>525</v>
      </c>
      <c r="C2624" s="283"/>
      <c r="D2624" s="283"/>
      <c r="E2624" s="283"/>
      <c r="F2624" s="283"/>
      <c r="G2624" s="283"/>
      <c r="H2624" s="283"/>
      <c r="I2624" s="283"/>
      <c r="J2624" s="261"/>
      <c r="K2624" s="261"/>
      <c r="L2624" s="261"/>
      <c r="M2624" s="261"/>
      <c r="N2624" s="261"/>
      <c r="P2624" s="230">
        <f t="shared" si="1209"/>
        <v>0</v>
      </c>
    </row>
    <row r="2625" spans="2:16" x14ac:dyDescent="0.2">
      <c r="B2625" s="284" t="s">
        <v>478</v>
      </c>
      <c r="C2625" s="284"/>
      <c r="D2625" s="284"/>
      <c r="E2625" s="284"/>
      <c r="F2625" s="284"/>
      <c r="G2625" s="284"/>
      <c r="H2625" s="284"/>
      <c r="I2625" s="284"/>
      <c r="J2625" s="258"/>
      <c r="K2625" s="258"/>
      <c r="L2625" s="258"/>
      <c r="M2625" s="258"/>
      <c r="N2625" s="258"/>
      <c r="P2625" s="230">
        <f t="shared" si="1209"/>
        <v>0</v>
      </c>
    </row>
    <row r="2626" spans="2:16" x14ac:dyDescent="0.2">
      <c r="B2626" s="284" t="s">
        <v>479</v>
      </c>
      <c r="C2626" s="284"/>
      <c r="D2626" s="284"/>
      <c r="E2626" s="284"/>
      <c r="F2626" s="284"/>
      <c r="G2626" s="284"/>
      <c r="H2626" s="284"/>
      <c r="I2626" s="284"/>
      <c r="J2626" s="258"/>
      <c r="K2626" s="258"/>
      <c r="L2626" s="258"/>
      <c r="M2626" s="258"/>
      <c r="N2626" s="258"/>
      <c r="P2626" s="230">
        <f t="shared" si="1209"/>
        <v>0</v>
      </c>
    </row>
    <row r="2627" spans="2:16" x14ac:dyDescent="0.2">
      <c r="B2627" s="284" t="s">
        <v>480</v>
      </c>
      <c r="C2627" s="284"/>
      <c r="D2627" s="284"/>
      <c r="E2627" s="284"/>
      <c r="F2627" s="284"/>
      <c r="G2627" s="284"/>
      <c r="H2627" s="284"/>
      <c r="I2627" s="284"/>
      <c r="J2627" s="258"/>
      <c r="K2627" s="258"/>
      <c r="L2627" s="258"/>
      <c r="M2627" s="258"/>
      <c r="N2627" s="258"/>
      <c r="P2627" s="230">
        <f t="shared" si="1209"/>
        <v>0</v>
      </c>
    </row>
    <row r="2628" spans="2:16" x14ac:dyDescent="0.2">
      <c r="B2628" s="284" t="s">
        <v>481</v>
      </c>
      <c r="C2628" s="284"/>
      <c r="D2628" s="284"/>
      <c r="E2628" s="284"/>
      <c r="F2628" s="284"/>
      <c r="G2628" s="284"/>
      <c r="H2628" s="284"/>
      <c r="I2628" s="284"/>
      <c r="J2628" s="226"/>
      <c r="K2628" s="226"/>
      <c r="L2628" s="226"/>
      <c r="M2628" s="226"/>
      <c r="N2628" s="226"/>
      <c r="P2628" s="230">
        <f t="shared" si="1209"/>
        <v>0</v>
      </c>
    </row>
    <row r="2629" spans="2:16" x14ac:dyDescent="0.2">
      <c r="B2629" s="284" t="s">
        <v>482</v>
      </c>
      <c r="C2629" s="284"/>
      <c r="D2629" s="284"/>
      <c r="E2629" s="284"/>
      <c r="F2629" s="284"/>
      <c r="G2629" s="284"/>
      <c r="H2629" s="284"/>
      <c r="I2629" s="284"/>
      <c r="J2629" s="226"/>
      <c r="K2629" s="226"/>
      <c r="L2629" s="226"/>
      <c r="M2629" s="226"/>
      <c r="N2629" s="226"/>
      <c r="P2629" s="230">
        <f t="shared" si="1209"/>
        <v>0</v>
      </c>
    </row>
    <row r="2630" spans="2:16" x14ac:dyDescent="0.2">
      <c r="B2630" s="284" t="s">
        <v>483</v>
      </c>
      <c r="C2630" s="284"/>
      <c r="D2630" s="284"/>
      <c r="E2630" s="284"/>
      <c r="F2630" s="284"/>
      <c r="G2630" s="284"/>
      <c r="H2630" s="284"/>
      <c r="I2630" s="284"/>
      <c r="J2630" s="226"/>
      <c r="K2630" s="226"/>
      <c r="L2630" s="226"/>
      <c r="M2630" s="226"/>
      <c r="N2630" s="226"/>
      <c r="P2630" s="230">
        <f t="shared" si="1209"/>
        <v>0</v>
      </c>
    </row>
    <row r="2631" spans="2:16" x14ac:dyDescent="0.2">
      <c r="B2631" s="284" t="s">
        <v>484</v>
      </c>
      <c r="C2631" s="284"/>
      <c r="D2631" s="284"/>
      <c r="E2631" s="284"/>
      <c r="F2631" s="284"/>
      <c r="G2631" s="284"/>
      <c r="H2631" s="284"/>
      <c r="I2631" s="284"/>
      <c r="J2631" s="226"/>
      <c r="K2631" s="226"/>
      <c r="L2631" s="226"/>
      <c r="M2631" s="226"/>
      <c r="N2631" s="226"/>
      <c r="P2631" s="230">
        <f t="shared" si="1209"/>
        <v>0</v>
      </c>
    </row>
    <row r="2632" spans="2:16" x14ac:dyDescent="0.2">
      <c r="B2632" s="264"/>
      <c r="C2632" s="264"/>
      <c r="D2632" s="264"/>
      <c r="E2632" s="264"/>
      <c r="F2632" s="264"/>
      <c r="G2632" s="264"/>
      <c r="H2632" s="264"/>
      <c r="I2632" s="265"/>
      <c r="J2632" s="226"/>
      <c r="K2632" s="226"/>
      <c r="L2632" s="226"/>
      <c r="M2632" s="226"/>
      <c r="N2632" s="226"/>
      <c r="P2632" s="230">
        <f t="shared" si="1209"/>
        <v>0</v>
      </c>
    </row>
    <row r="2633" spans="2:16" x14ac:dyDescent="0.2">
      <c r="B2633" s="225" t="s">
        <v>485</v>
      </c>
      <c r="C2633" s="225"/>
      <c r="D2633" s="225"/>
      <c r="E2633" s="225"/>
      <c r="F2633" s="225"/>
      <c r="G2633" s="225"/>
      <c r="H2633" s="201"/>
      <c r="I2633" s="226"/>
      <c r="J2633" s="226" t="s">
        <v>486</v>
      </c>
      <c r="K2633" s="226"/>
      <c r="L2633" s="226"/>
      <c r="M2633" s="226"/>
      <c r="N2633" s="226"/>
      <c r="P2633" s="230">
        <f t="shared" si="1209"/>
        <v>0</v>
      </c>
    </row>
    <row r="2634" spans="2:16" x14ac:dyDescent="0.2">
      <c r="B2634" s="266" t="s">
        <v>524</v>
      </c>
      <c r="C2634" s="266"/>
      <c r="D2634" s="225"/>
      <c r="E2634" s="225"/>
      <c r="F2634" s="225"/>
      <c r="G2634" s="225"/>
      <c r="H2634" s="201"/>
      <c r="I2634" s="226"/>
      <c r="J2634" s="267"/>
      <c r="K2634" s="267"/>
      <c r="L2634" s="267"/>
      <c r="M2634" s="226"/>
      <c r="N2634" s="226"/>
      <c r="P2634" s="230">
        <f t="shared" si="1209"/>
        <v>0</v>
      </c>
    </row>
    <row r="2635" spans="2:16" x14ac:dyDescent="0.2">
      <c r="B2635" s="268" t="s">
        <v>487</v>
      </c>
      <c r="C2635" s="225"/>
      <c r="D2635" s="225"/>
      <c r="E2635" s="225"/>
      <c r="F2635" s="225"/>
      <c r="G2635" s="225"/>
      <c r="H2635" s="201"/>
      <c r="I2635" s="226"/>
      <c r="J2635" s="226" t="s">
        <v>487</v>
      </c>
      <c r="K2635" s="226"/>
      <c r="L2635" s="226"/>
      <c r="M2635" s="226"/>
      <c r="N2635" s="226"/>
      <c r="P2635" s="230">
        <f t="shared" si="1209"/>
        <v>0</v>
      </c>
    </row>
    <row r="2636" spans="2:16" x14ac:dyDescent="0.2">
      <c r="B2636" s="225"/>
      <c r="C2636" s="225"/>
      <c r="D2636" s="225"/>
      <c r="E2636" s="225"/>
      <c r="F2636" s="225"/>
      <c r="G2636" s="225"/>
      <c r="H2636" s="201"/>
      <c r="I2636" s="226"/>
      <c r="J2636" s="226"/>
      <c r="K2636" s="226"/>
      <c r="L2636" s="226"/>
      <c r="M2636" s="226"/>
      <c r="N2636" s="226"/>
      <c r="P2636" s="230">
        <f t="shared" si="1209"/>
        <v>0</v>
      </c>
    </row>
    <row r="2637" spans="2:16" x14ac:dyDescent="0.2">
      <c r="B2637" s="266"/>
      <c r="C2637" s="266"/>
      <c r="D2637" s="225"/>
      <c r="E2637" s="225"/>
      <c r="F2637" s="225"/>
      <c r="G2637" s="225"/>
      <c r="H2637" s="201"/>
      <c r="I2637" s="226"/>
      <c r="J2637" s="267"/>
      <c r="K2637" s="267"/>
      <c r="L2637" s="267"/>
      <c r="M2637" s="226"/>
      <c r="N2637" s="226"/>
      <c r="P2637" s="230">
        <f t="shared" si="1209"/>
        <v>0</v>
      </c>
    </row>
    <row r="2638" spans="2:16" x14ac:dyDescent="0.2">
      <c r="B2638" s="269" t="s">
        <v>488</v>
      </c>
      <c r="C2638" s="225"/>
      <c r="D2638" s="225"/>
      <c r="E2638" s="225"/>
      <c r="F2638" s="225"/>
      <c r="G2638" s="225"/>
      <c r="H2638" s="201"/>
      <c r="I2638" s="226"/>
      <c r="J2638" s="285" t="s">
        <v>488</v>
      </c>
      <c r="K2638" s="285"/>
      <c r="L2638" s="285"/>
      <c r="M2638" s="226"/>
      <c r="N2638" s="226"/>
      <c r="P2638" s="230">
        <f t="shared" si="1209"/>
        <v>0</v>
      </c>
    </row>
    <row r="2639" spans="2:16" x14ac:dyDescent="0.2">
      <c r="B2639" s="225"/>
      <c r="C2639" s="225"/>
      <c r="D2639" s="225"/>
      <c r="E2639" s="225"/>
      <c r="F2639" s="225"/>
      <c r="G2639" s="225"/>
      <c r="H2639" s="201"/>
      <c r="I2639" s="226"/>
      <c r="J2639" s="226"/>
      <c r="K2639" s="226"/>
      <c r="L2639" s="226"/>
      <c r="M2639" s="226"/>
      <c r="N2639" s="226"/>
      <c r="P2639" s="230">
        <f t="shared" si="1209"/>
        <v>0</v>
      </c>
    </row>
    <row r="2640" spans="2:16" x14ac:dyDescent="0.2">
      <c r="B2640" s="264" t="s">
        <v>489</v>
      </c>
      <c r="C2640" s="225"/>
      <c r="D2640" s="225"/>
      <c r="E2640" s="225"/>
      <c r="F2640" s="225"/>
      <c r="G2640" s="225"/>
      <c r="H2640" s="201"/>
      <c r="I2640" s="226"/>
      <c r="J2640" s="226" t="s">
        <v>489</v>
      </c>
      <c r="K2640" s="226"/>
      <c r="L2640" s="226"/>
      <c r="M2640" s="226"/>
      <c r="N2640" s="226"/>
      <c r="P2640" s="230">
        <f t="shared" si="1209"/>
        <v>0</v>
      </c>
    </row>
    <row r="2641" spans="1:16" x14ac:dyDescent="0.2">
      <c r="A2641" s="272"/>
      <c r="B2641" s="225"/>
      <c r="C2641" s="225"/>
      <c r="D2641" s="225"/>
      <c r="E2641" s="225"/>
      <c r="F2641" s="225"/>
      <c r="G2641" s="225"/>
      <c r="H2641" s="201"/>
      <c r="I2641" s="226"/>
      <c r="J2641" s="226"/>
      <c r="K2641" s="226"/>
      <c r="M2641" s="226"/>
      <c r="N2641" s="228"/>
    </row>
    <row r="2642" spans="1:16" x14ac:dyDescent="0.2">
      <c r="A2642" s="260"/>
      <c r="B2642" s="225"/>
      <c r="C2642" s="225"/>
      <c r="D2642" s="225"/>
      <c r="E2642" s="225"/>
      <c r="F2642" s="225"/>
      <c r="G2642" s="225"/>
      <c r="H2642" s="201"/>
      <c r="I2642" s="226"/>
      <c r="J2642" s="226"/>
      <c r="K2642" s="226"/>
      <c r="M2642" s="226"/>
      <c r="N2642" s="228" t="s">
        <v>455</v>
      </c>
      <c r="P2642" s="230">
        <f t="shared" ref="P2642:P2659" si="1210">IF(A2642&gt;0,1,0)</f>
        <v>0</v>
      </c>
    </row>
    <row r="2643" spans="1:16" x14ac:dyDescent="0.2">
      <c r="B2643" s="225"/>
      <c r="C2643" s="225"/>
      <c r="D2643" s="225"/>
      <c r="E2643" s="225"/>
      <c r="F2643" s="225"/>
      <c r="G2643" s="225"/>
      <c r="H2643" s="201"/>
      <c r="I2643" s="226"/>
      <c r="J2643" s="226"/>
      <c r="K2643" s="226"/>
      <c r="M2643" s="226"/>
      <c r="N2643" s="228" t="s">
        <v>456</v>
      </c>
      <c r="P2643" s="230">
        <f t="shared" si="1210"/>
        <v>0</v>
      </c>
    </row>
    <row r="2644" spans="1:16" x14ac:dyDescent="0.2">
      <c r="B2644" s="225"/>
      <c r="C2644" s="225"/>
      <c r="D2644" s="225"/>
      <c r="E2644" s="225"/>
      <c r="F2644" s="225"/>
      <c r="G2644" s="225"/>
      <c r="H2644" s="201"/>
      <c r="I2644" s="226"/>
      <c r="J2644" s="226"/>
      <c r="K2644" s="226"/>
      <c r="M2644" s="226"/>
      <c r="N2644" s="228" t="s">
        <v>457</v>
      </c>
      <c r="P2644" s="230">
        <f t="shared" si="1210"/>
        <v>0</v>
      </c>
    </row>
    <row r="2645" spans="1:16" x14ac:dyDescent="0.2">
      <c r="B2645" s="225"/>
      <c r="C2645" s="225"/>
      <c r="D2645" s="225"/>
      <c r="E2645" s="225"/>
      <c r="F2645" s="225"/>
      <c r="G2645" s="225"/>
      <c r="H2645" s="201"/>
      <c r="I2645" s="226"/>
      <c r="J2645" s="226"/>
      <c r="K2645" s="226"/>
      <c r="L2645" s="226"/>
      <c r="M2645" s="226"/>
      <c r="N2645" s="226"/>
      <c r="P2645" s="230">
        <f t="shared" si="1210"/>
        <v>0</v>
      </c>
    </row>
    <row r="2646" spans="1:16" x14ac:dyDescent="0.2">
      <c r="B2646" s="225"/>
      <c r="C2646" s="286" t="s">
        <v>458</v>
      </c>
      <c r="D2646" s="286"/>
      <c r="E2646" s="286"/>
      <c r="F2646" s="286"/>
      <c r="G2646" s="286"/>
      <c r="H2646" s="286"/>
      <c r="I2646" s="286"/>
      <c r="J2646" s="286"/>
      <c r="K2646" s="286"/>
      <c r="L2646" s="286"/>
      <c r="M2646" s="226"/>
      <c r="N2646" s="226"/>
      <c r="P2646" s="230">
        <f t="shared" si="1210"/>
        <v>0</v>
      </c>
    </row>
    <row r="2647" spans="1:16" x14ac:dyDescent="0.2">
      <c r="B2647" s="225"/>
      <c r="C2647" s="286" t="s">
        <v>459</v>
      </c>
      <c r="D2647" s="286"/>
      <c r="E2647" s="286"/>
      <c r="F2647" s="286"/>
      <c r="G2647" s="286"/>
      <c r="H2647" s="286"/>
      <c r="I2647" s="286"/>
      <c r="J2647" s="286"/>
      <c r="K2647" s="286"/>
      <c r="L2647" s="286"/>
      <c r="M2647" s="226"/>
      <c r="N2647" s="226"/>
      <c r="P2647" s="230">
        <f t="shared" si="1210"/>
        <v>0</v>
      </c>
    </row>
    <row r="2648" spans="1:16" x14ac:dyDescent="0.2">
      <c r="B2648" s="225" t="s">
        <v>460</v>
      </c>
      <c r="C2648" s="234"/>
      <c r="D2648" s="234"/>
      <c r="E2648" s="234"/>
      <c r="F2648" s="234"/>
      <c r="G2648" s="234"/>
      <c r="H2648" s="234"/>
      <c r="I2648" s="235"/>
      <c r="J2648" s="235"/>
      <c r="K2648" s="235"/>
      <c r="L2648" s="287" t="s">
        <v>461</v>
      </c>
      <c r="M2648" s="287"/>
      <c r="N2648" s="287"/>
      <c r="P2648" s="230">
        <f t="shared" si="1210"/>
        <v>0</v>
      </c>
    </row>
    <row r="2649" spans="1:16" x14ac:dyDescent="0.2">
      <c r="B2649" s="225"/>
      <c r="C2649" s="234"/>
      <c r="D2649" s="234"/>
      <c r="E2649" s="234"/>
      <c r="F2649" s="234"/>
      <c r="G2649" s="234"/>
      <c r="H2649" s="234"/>
      <c r="I2649" s="235"/>
      <c r="J2649" s="235"/>
      <c r="K2649" s="235"/>
      <c r="L2649" s="235"/>
      <c r="M2649" s="235"/>
      <c r="N2649" s="235"/>
      <c r="P2649" s="230">
        <f t="shared" si="1210"/>
        <v>0</v>
      </c>
    </row>
    <row r="2650" spans="1:16" x14ac:dyDescent="0.2">
      <c r="B2650" s="225" t="s">
        <v>2038</v>
      </c>
      <c r="C2650" s="234"/>
      <c r="D2650" s="234"/>
      <c r="E2650" s="234"/>
      <c r="F2650" s="234"/>
      <c r="G2650" s="234"/>
      <c r="H2650" s="234"/>
      <c r="I2650" s="235"/>
      <c r="J2650" s="235"/>
      <c r="K2650" s="235"/>
      <c r="L2650" s="235"/>
      <c r="M2650" s="235"/>
      <c r="N2650" s="235"/>
      <c r="P2650" s="230">
        <f t="shared" si="1210"/>
        <v>0</v>
      </c>
    </row>
    <row r="2651" spans="1:16" x14ac:dyDescent="0.2">
      <c r="B2651" s="225" t="s">
        <v>462</v>
      </c>
      <c r="C2651" s="234"/>
      <c r="D2651" s="234"/>
      <c r="E2651" s="234"/>
      <c r="F2651" s="234"/>
      <c r="G2651" s="234"/>
      <c r="H2651" s="234"/>
      <c r="I2651" s="235"/>
      <c r="J2651" s="235"/>
      <c r="K2651" s="235"/>
      <c r="L2651" s="235"/>
      <c r="M2651" s="235"/>
      <c r="N2651" s="235"/>
      <c r="P2651" s="230">
        <f t="shared" si="1210"/>
        <v>0</v>
      </c>
    </row>
    <row r="2652" spans="1:16" x14ac:dyDescent="0.2">
      <c r="B2652" s="225" t="s">
        <v>2037</v>
      </c>
      <c r="C2652" s="234"/>
      <c r="D2652" s="234"/>
      <c r="E2652" s="234"/>
      <c r="F2652" s="234"/>
      <c r="G2652" s="234"/>
      <c r="H2652" s="234"/>
      <c r="I2652" s="235"/>
      <c r="J2652" s="235"/>
      <c r="K2652" s="235"/>
      <c r="L2652" s="235"/>
      <c r="M2652" s="235"/>
      <c r="N2652" s="235"/>
      <c r="P2652" s="230">
        <f t="shared" si="1210"/>
        <v>0</v>
      </c>
    </row>
    <row r="2653" spans="1:16" x14ac:dyDescent="0.2">
      <c r="B2653" s="225" t="s">
        <v>2052</v>
      </c>
      <c r="C2653" s="234"/>
      <c r="D2653" s="234"/>
      <c r="E2653" s="234"/>
      <c r="F2653" s="234"/>
      <c r="G2653" s="234"/>
      <c r="H2653" s="234"/>
      <c r="I2653" s="235"/>
      <c r="J2653" s="235"/>
      <c r="K2653" s="235"/>
      <c r="L2653" s="235"/>
      <c r="M2653" s="235"/>
      <c r="N2653" s="235"/>
      <c r="P2653" s="230">
        <f t="shared" si="1210"/>
        <v>0</v>
      </c>
    </row>
    <row r="2654" spans="1:16" x14ac:dyDescent="0.2">
      <c r="B2654" s="225"/>
      <c r="C2654" s="225"/>
      <c r="D2654" s="225"/>
      <c r="E2654" s="225"/>
      <c r="F2654" s="225"/>
      <c r="G2654" s="225"/>
      <c r="H2654" s="201"/>
      <c r="I2654" s="226"/>
      <c r="J2654" s="226"/>
      <c r="K2654" s="226"/>
      <c r="L2654" s="226"/>
      <c r="M2654" s="226"/>
      <c r="N2654" s="226"/>
      <c r="P2654" s="230">
        <f t="shared" si="1210"/>
        <v>0</v>
      </c>
    </row>
    <row r="2655" spans="1:16" x14ac:dyDescent="0.2">
      <c r="B2655" s="288" t="s">
        <v>106</v>
      </c>
      <c r="C2655" s="290" t="s">
        <v>463</v>
      </c>
      <c r="D2655" s="288" t="s">
        <v>464</v>
      </c>
      <c r="E2655" s="288" t="s">
        <v>465</v>
      </c>
      <c r="F2655" s="288" t="s">
        <v>490</v>
      </c>
      <c r="G2655" s="288" t="s">
        <v>466</v>
      </c>
      <c r="H2655" s="292" t="s">
        <v>8</v>
      </c>
      <c r="I2655" s="294" t="s">
        <v>467</v>
      </c>
      <c r="J2655" s="295"/>
      <c r="K2655" s="295"/>
      <c r="L2655" s="296"/>
      <c r="M2655" s="297" t="s">
        <v>468</v>
      </c>
      <c r="N2655" s="299" t="s">
        <v>469</v>
      </c>
      <c r="P2655" s="230">
        <f t="shared" si="1210"/>
        <v>0</v>
      </c>
    </row>
    <row r="2656" spans="1:16" x14ac:dyDescent="0.2">
      <c r="B2656" s="289"/>
      <c r="C2656" s="291"/>
      <c r="D2656" s="289"/>
      <c r="E2656" s="289"/>
      <c r="F2656" s="289"/>
      <c r="G2656" s="289"/>
      <c r="H2656" s="293"/>
      <c r="I2656" s="236" t="s">
        <v>470</v>
      </c>
      <c r="J2656" s="236" t="s">
        <v>471</v>
      </c>
      <c r="K2656" s="236" t="s">
        <v>472</v>
      </c>
      <c r="L2656" s="236" t="s">
        <v>473</v>
      </c>
      <c r="M2656" s="298"/>
      <c r="N2656" s="300"/>
      <c r="P2656" s="230">
        <f t="shared" si="1210"/>
        <v>0</v>
      </c>
    </row>
    <row r="2657" spans="1:43" x14ac:dyDescent="0.2">
      <c r="A2657" s="224" t="str">
        <f>CONCATENATE("Лот"," ",A2658)</f>
        <v>Лот 49</v>
      </c>
      <c r="B2657" s="273" t="s">
        <v>2087</v>
      </c>
      <c r="C2657" s="274"/>
      <c r="D2657" s="274"/>
      <c r="E2657" s="274"/>
      <c r="F2657" s="274"/>
      <c r="G2657" s="275"/>
      <c r="H2657" s="238" t="s">
        <v>17</v>
      </c>
      <c r="I2657" s="270">
        <f ca="1">ROUND(VLOOKUP($H2657,$AJ$4:$AN$13,2,0)*$Q2659*1.51,2)</f>
        <v>114.43</v>
      </c>
      <c r="J2657" s="270">
        <f ca="1">ROUND(VLOOKUP($H2657,$AJ$4:$AN$13,3,0)*$Q2659*1.51,2)</f>
        <v>81.540000000000006</v>
      </c>
      <c r="K2657" s="270">
        <f ca="1">ROUND(VLOOKUP($H2657,$AJ$4:$AN$13,4,0)*$Q2659*1.51,2)</f>
        <v>41.31</v>
      </c>
      <c r="L2657" s="270"/>
      <c r="M2657" s="270">
        <f ca="1">ROUND(VLOOKUP($H2657,$AJ$4:$AN$13,5,0)*$Q2659*1.51,2)</f>
        <v>6.52</v>
      </c>
      <c r="N2657" s="270"/>
      <c r="P2657" s="230">
        <f t="shared" si="1210"/>
        <v>1</v>
      </c>
    </row>
    <row r="2658" spans="1:43" x14ac:dyDescent="0.2">
      <c r="A2658" s="224">
        <f>A2603+1</f>
        <v>49</v>
      </c>
      <c r="B2658" s="276"/>
      <c r="C2658" s="277"/>
      <c r="D2658" s="277"/>
      <c r="E2658" s="277"/>
      <c r="F2658" s="277"/>
      <c r="G2658" s="278"/>
      <c r="H2658" s="238" t="s">
        <v>25</v>
      </c>
      <c r="I2658" s="270">
        <f ca="1">ROUND(VLOOKUP($H2658,$AJ$4:$AN$13,2,0)*$Q2659*1.51,2)</f>
        <v>855.9</v>
      </c>
      <c r="J2658" s="270">
        <f ca="1">ROUND(VLOOKUP($H2658,$AJ$4:$AN$13,3,0)*$Q2659*1.51,2)</f>
        <v>611.54999999999995</v>
      </c>
      <c r="K2658" s="270">
        <f ca="1">ROUND(VLOOKUP($H2658,$AJ$4:$AN$13,4,0)*$Q2659*1.51,2)</f>
        <v>307.68</v>
      </c>
      <c r="L2658" s="270"/>
      <c r="M2658" s="270">
        <f ca="1">ROUND(VLOOKUP($H2658,$AJ$4:$AN$13,5,0)*$Q2659*1.51,2)</f>
        <v>26.64</v>
      </c>
      <c r="N2658" s="270"/>
      <c r="P2658" s="230">
        <f t="shared" si="1210"/>
        <v>1</v>
      </c>
      <c r="Q2658" s="240" t="s">
        <v>2045</v>
      </c>
      <c r="R2658" s="240" t="s">
        <v>2046</v>
      </c>
    </row>
    <row r="2659" spans="1:43" x14ac:dyDescent="0.2">
      <c r="B2659" s="276"/>
      <c r="C2659" s="277"/>
      <c r="D2659" s="277"/>
      <c r="E2659" s="277"/>
      <c r="F2659" s="277"/>
      <c r="G2659" s="278"/>
      <c r="H2659" s="238" t="s">
        <v>19</v>
      </c>
      <c r="I2659" s="270">
        <f ca="1">ROUND(VLOOKUP($H2659,$AJ$4:$AN$13,2,0)*$Q2659*1.51,2)</f>
        <v>67.95</v>
      </c>
      <c r="J2659" s="270">
        <f ca="1">ROUND(VLOOKUP($H2659,$AJ$4:$AN$13,3,0)*$Q2659*1.51,2)</f>
        <v>49.47</v>
      </c>
      <c r="K2659" s="270">
        <f ca="1">ROUND(VLOOKUP($H2659,$AJ$4:$AN$13,4,0)*$Q2659*1.51,2)</f>
        <v>25.28</v>
      </c>
      <c r="L2659" s="270"/>
      <c r="M2659" s="270">
        <f ca="1">ROUND(VLOOKUP($H2659,$AJ$4:$AN$13,5,0)*$Q2659*1.51,2)</f>
        <v>1.36</v>
      </c>
      <c r="N2659" s="270"/>
      <c r="P2659" s="230">
        <f t="shared" si="1210"/>
        <v>0</v>
      </c>
      <c r="Q2659" s="123">
        <f ca="1">IFERROR(IF(R2659="","",IF(OR(R2659&lt;100,R2659=100),0.9,IF(OR(AND(R2659&gt;100,R2659&lt;150),R2659=150),1,IF(R2659&gt;150,1.05,"")))),"0")</f>
        <v>1</v>
      </c>
      <c r="R2659" s="123">
        <f ca="1">N2675/G2663</f>
        <v>120.03333333333335</v>
      </c>
    </row>
    <row r="2660" spans="1:43" x14ac:dyDescent="0.2">
      <c r="B2660" s="276"/>
      <c r="C2660" s="277"/>
      <c r="D2660" s="277"/>
      <c r="E2660" s="277"/>
      <c r="F2660" s="277"/>
      <c r="G2660" s="278"/>
      <c r="H2660" s="238" t="s">
        <v>268</v>
      </c>
      <c r="I2660" s="270">
        <f ca="1">ROUND(VLOOKUP($H2660,$AJ$4:$AN$13,2,0)*$Q2659*1.51,2)</f>
        <v>855.9</v>
      </c>
      <c r="J2660" s="270">
        <f ca="1">ROUND(VLOOKUP($H2660,$AJ$4:$AN$13,3,0)*$Q2659*1.51,2)</f>
        <v>611.54999999999995</v>
      </c>
      <c r="K2660" s="270">
        <f ca="1">ROUND(VLOOKUP($H2660,$AJ$4:$AN$13,4,0)*$Q2659*1.51,2)</f>
        <v>307.68</v>
      </c>
      <c r="L2660" s="270"/>
      <c r="M2660" s="270">
        <f ca="1">ROUND(VLOOKUP($H2660,$AJ$4:$AN$13,5,0)*$Q2659*1.51,2)</f>
        <v>26.64</v>
      </c>
      <c r="N2660" s="270"/>
    </row>
    <row r="2661" spans="1:43" x14ac:dyDescent="0.2">
      <c r="B2661" s="276"/>
      <c r="C2661" s="277"/>
      <c r="D2661" s="277"/>
      <c r="E2661" s="277"/>
      <c r="F2661" s="277"/>
      <c r="G2661" s="278"/>
      <c r="H2661" s="238" t="s">
        <v>40</v>
      </c>
      <c r="I2661" s="270">
        <f ca="1">ROUND(VLOOKUP($H2661,$AJ$4:$AN$13,2,0)*$Q2659*1.51,2)</f>
        <v>67.95</v>
      </c>
      <c r="J2661" s="270">
        <f ca="1">ROUND(VLOOKUP($H2661,$AJ$4:$AN$13,3,0)*$Q2659*1.51,2)</f>
        <v>49.47</v>
      </c>
      <c r="K2661" s="270">
        <f ca="1">ROUND(VLOOKUP($H2661,$AJ$4:$AN$13,4,0)*$Q2659*1.51,2)</f>
        <v>25.28</v>
      </c>
      <c r="L2661" s="270"/>
      <c r="M2661" s="270">
        <f ca="1">ROUND(VLOOKUP($H2661,$AJ$4:$AN$13,5,0)*$Q2659*1.51,2)</f>
        <v>1.36</v>
      </c>
      <c r="N2661" s="270"/>
      <c r="P2661" s="230">
        <f t="shared" ref="P2661:P2674" si="1211">IF(A2661&gt;0,1,0)</f>
        <v>0</v>
      </c>
    </row>
    <row r="2662" spans="1:43" x14ac:dyDescent="0.2">
      <c r="B2662" s="279"/>
      <c r="C2662" s="280"/>
      <c r="D2662" s="280"/>
      <c r="E2662" s="280"/>
      <c r="F2662" s="280"/>
      <c r="G2662" s="281"/>
      <c r="H2662" s="238" t="s">
        <v>18</v>
      </c>
      <c r="I2662" s="270">
        <f ca="1">ROUND(VLOOKUP($H2662,$AJ$4:$AN$13,2,0)*$Q2659*1.51,2)</f>
        <v>21.74</v>
      </c>
      <c r="J2662" s="270">
        <f ca="1">ROUND(VLOOKUP($H2662,$AJ$4:$AN$13,3,0)*$Q2659*1.51,2)</f>
        <v>16.579999999999998</v>
      </c>
      <c r="K2662" s="270">
        <f ca="1">ROUND(VLOOKUP($H2662,$AJ$4:$AN$13,4,0)*$Q2659*1.51,2)</f>
        <v>8.43</v>
      </c>
      <c r="L2662" s="270"/>
      <c r="M2662" s="270">
        <f ca="1">ROUND(VLOOKUP($H2662,$AJ$4:$AN$13,5,0)*$Q2659*1.51*1,2)</f>
        <v>0.54</v>
      </c>
      <c r="N2662" s="270"/>
      <c r="P2662" s="230">
        <f t="shared" si="1211"/>
        <v>0</v>
      </c>
      <c r="AP2662" s="241" t="s">
        <v>2053</v>
      </c>
      <c r="AQ2662" s="242"/>
    </row>
    <row r="2663" spans="1:43" x14ac:dyDescent="0.2">
      <c r="A2663" s="224">
        <f>A2608+37</f>
        <v>1776</v>
      </c>
      <c r="B2663" s="243" t="str">
        <f ca="1">OFFSET(ЛОТЫ!$L$5,A2663,0,1,1)</f>
        <v>Тумбинское</v>
      </c>
      <c r="C2663" s="244" t="s">
        <v>474</v>
      </c>
      <c r="D2663" s="243">
        <f ca="1">OFFSET(ЛОТЫ!$M$5,A2663,0,1,1)</f>
        <v>57</v>
      </c>
      <c r="E2663" s="243">
        <f ca="1">OFFSET(ЛОТЫ!$N$5,A2663,0,1,1)</f>
        <v>19</v>
      </c>
      <c r="F2663" s="243">
        <f ca="1">OFFSET(ЛОТЫ!$O$5,A2663,0,1,1)</f>
        <v>1</v>
      </c>
      <c r="G2663" s="271">
        <f ca="1">IFERROR(INDEX('Ведомость расчета мин. платы'!$G$10:$AC$214,MATCH(CONCATENATE(B2663,"/",D2663,"/",E2663,"/",F2663),'Ведомость расчета мин. платы'!$AC$10:$AC$214,0),1),"")</f>
        <v>3</v>
      </c>
      <c r="H2663" s="246" t="s">
        <v>17</v>
      </c>
      <c r="I2663" s="247">
        <f ca="1">IFERROR(INDEX('Ведомость расчета мин. платы'!$J$10:$AE$214,MATCH(CONCATENATE(РАСЧЕТ!B2663,"/",РАСЧЕТ!D2663,"/",РАСЧЕТ!E2663,"/",F2663,"/",H2663),'Ведомость расчета мин. платы'!$AE$10:$AE$214,0),2),"")</f>
        <v>42.82</v>
      </c>
      <c r="J2663" s="247">
        <f ca="1">IFERROR(INDEX('Ведомость расчета мин. платы'!$J$10:$AE$214,MATCH(CONCATENATE(РАСЧЕТ!B2663,"/",РАСЧЕТ!D2663,"/",РАСЧЕТ!E2663,"/",F2663,"/",H2663),'Ведомость расчета мин. платы'!$AE$10:$AE$214,0),3),"")</f>
        <v>53.76</v>
      </c>
      <c r="K2663" s="247">
        <f ca="1">IFERROR(INDEX('Ведомость расчета мин. платы'!$J$10:$AE$214,MATCH(CONCATENATE(РАСЧЕТ!B2663,"/",РАСЧЕТ!D2663,"/",РАСЧЕТ!E2663,"/",F2663,"/",H2663),'Ведомость расчета мин. платы'!$AE$10:$AE$214,0),4),"")</f>
        <v>1.8</v>
      </c>
      <c r="L2663" s="248">
        <f t="shared" ref="L2663:L2675" ca="1" si="1212">IFERROR(SUM(I2663:K2663),"")</f>
        <v>98.38</v>
      </c>
      <c r="M2663" s="214">
        <f ca="1">IFERROR(INDEX('Ведомость расчета мин. платы'!$J$10:$AE$214,MATCH(CONCATENATE(РАСЧЕТ!B2663,"/",РАСЧЕТ!D2663,"/",РАСЧЕТ!E2663,"/",F2663,"/",H2663),'Ведомость расчета мин. платы'!$AE$10:$AE$214,0),6),"")</f>
        <v>118.15</v>
      </c>
      <c r="N2663" s="214">
        <f t="shared" ref="N2663:N2675" ca="1" si="1213">IFERROR(SUM(L2663:M2663),"")</f>
        <v>216.53</v>
      </c>
      <c r="O2663" s="229">
        <f>IF(H2663="стоимость","",1)</f>
        <v>1</v>
      </c>
      <c r="P2663" s="230">
        <f t="shared" si="1211"/>
        <v>1</v>
      </c>
      <c r="AP2663" s="242"/>
      <c r="AQ2663" s="242"/>
    </row>
    <row r="2664" spans="1:43" x14ac:dyDescent="0.2">
      <c r="B2664" s="249"/>
      <c r="C2664" s="249"/>
      <c r="D2664" s="249"/>
      <c r="E2664" s="249"/>
      <c r="F2664" s="249"/>
      <c r="G2664" s="249"/>
      <c r="H2664" s="250" t="s">
        <v>475</v>
      </c>
      <c r="I2664" s="251">
        <f ca="1">IFERROR(ROUND(I2663*I2657,2),"")</f>
        <v>4899.8900000000003</v>
      </c>
      <c r="J2664" s="251">
        <f t="shared" ref="J2664" ca="1" si="1214">IFERROR(ROUND(J2663*J2657,2),"")</f>
        <v>4383.59</v>
      </c>
      <c r="K2664" s="251">
        <f t="shared" ref="K2664" ca="1" si="1215">IFERROR(ROUND(K2663*K2657,2),"")</f>
        <v>74.36</v>
      </c>
      <c r="L2664" s="251">
        <f t="shared" ca="1" si="1212"/>
        <v>9357.84</v>
      </c>
      <c r="M2664" s="251">
        <f t="shared" ref="M2664" ca="1" si="1216">IFERROR(ROUND(M2663*M2657,2),"")</f>
        <v>770.34</v>
      </c>
      <c r="N2664" s="252">
        <f t="shared" ca="1" si="1213"/>
        <v>10128.18</v>
      </c>
      <c r="O2664" s="229" t="str">
        <f t="shared" ref="O2664:O2674" si="1217">IF(H2664="стоимость","",1)</f>
        <v/>
      </c>
      <c r="P2664" s="230">
        <f t="shared" si="1211"/>
        <v>0</v>
      </c>
      <c r="AP2664" s="242">
        <f ca="1">SUMIFS('Ведомость расчета мин. платы'!$S$10:$S$209,'Ведомость расчета мин. платы'!$AE$10:$AE$209,CONCATENATE(B2663,"/",D2663,"/",E2663,"/",F2663,"/",H2663))</f>
        <v>10128.18</v>
      </c>
      <c r="AQ2664" s="253">
        <f t="shared" ref="AQ2664" ca="1" si="1218">AP2664-N2664</f>
        <v>0</v>
      </c>
    </row>
    <row r="2665" spans="1:43" x14ac:dyDescent="0.2">
      <c r="B2665" s="249"/>
      <c r="C2665" s="249"/>
      <c r="D2665" s="249"/>
      <c r="E2665" s="249"/>
      <c r="F2665" s="249"/>
      <c r="G2665" s="249"/>
      <c r="H2665" s="246" t="s">
        <v>25</v>
      </c>
      <c r="I2665" s="247" t="str">
        <f ca="1">IFERROR(INDEX('Ведомость расчета мин. платы'!$J$10:$AE$214,MATCH(CONCATENATE(РАСЧЕТ!B2663,"/",РАСЧЕТ!D2663,"/",РАСЧЕТ!E2663,"/",F2663,"/",H2665),'Ведомость расчета мин. платы'!$AE$10:$AE$214,0),2),"")</f>
        <v/>
      </c>
      <c r="J2665" s="247" t="str">
        <f ca="1">IFERROR(INDEX('Ведомость расчета мин. платы'!$J$10:$AE$214,MATCH(CONCATENATE(РАСЧЕТ!B2663,"/",РАСЧЕТ!D2663,"/",РАСЧЕТ!E2663,"/",F2663,"/",H2665),'Ведомость расчета мин. платы'!$AE$10:$AE$214,0),3),"")</f>
        <v/>
      </c>
      <c r="K2665" s="247" t="str">
        <f ca="1">IFERROR(INDEX('Ведомость расчета мин. платы'!$J$10:$AE$214,MATCH(CONCATENATE(РАСЧЕТ!B2663,"/",РАСЧЕТ!D2663,"/",РАСЧЕТ!E2663,"/",F2663,"/",H2665),'Ведомость расчета мин. платы'!$AE$10:$AE$214,0),4),"")</f>
        <v/>
      </c>
      <c r="L2665" s="248">
        <f t="shared" ca="1" si="1212"/>
        <v>0</v>
      </c>
      <c r="M2665" s="214" t="str">
        <f ca="1">IFERROR(INDEX('Ведомость расчета мин. платы'!$J$10:$AE$214,MATCH(CONCATENATE(РАСЧЕТ!B2663,"/",РАСЧЕТ!D2663,"/",РАСЧЕТ!E2663,"/",F2663,"/",H2665),'Ведомость расчета мин. платы'!$AE$10:$AE$214,0),6),"")</f>
        <v/>
      </c>
      <c r="N2665" s="214">
        <f t="shared" ca="1" si="1213"/>
        <v>0</v>
      </c>
      <c r="O2665" s="229">
        <f t="shared" si="1217"/>
        <v>1</v>
      </c>
      <c r="P2665" s="230">
        <f t="shared" si="1211"/>
        <v>0</v>
      </c>
      <c r="AP2665" s="242"/>
      <c r="AQ2665" s="253"/>
    </row>
    <row r="2666" spans="1:43" x14ac:dyDescent="0.2">
      <c r="B2666" s="249"/>
      <c r="C2666" s="249"/>
      <c r="D2666" s="249"/>
      <c r="E2666" s="249"/>
      <c r="F2666" s="249"/>
      <c r="G2666" s="249"/>
      <c r="H2666" s="250" t="s">
        <v>475</v>
      </c>
      <c r="I2666" s="251" t="str">
        <f ca="1">IFERROR(ROUND(I2665*I2658,2),"")</f>
        <v/>
      </c>
      <c r="J2666" s="251" t="str">
        <f t="shared" ref="J2666" ca="1" si="1219">IFERROR(ROUND(J2665*J2658,2),"")</f>
        <v/>
      </c>
      <c r="K2666" s="251" t="str">
        <f t="shared" ref="K2666" ca="1" si="1220">IFERROR(ROUND(K2665*K2658,2),"")</f>
        <v/>
      </c>
      <c r="L2666" s="251">
        <f t="shared" ca="1" si="1212"/>
        <v>0</v>
      </c>
      <c r="M2666" s="251" t="str">
        <f t="shared" ref="M2666" ca="1" si="1221">IFERROR(ROUND(M2665*M2658,2),"")</f>
        <v/>
      </c>
      <c r="N2666" s="252">
        <f t="shared" ca="1" si="1213"/>
        <v>0</v>
      </c>
      <c r="O2666" s="229" t="str">
        <f t="shared" si="1217"/>
        <v/>
      </c>
      <c r="P2666" s="230">
        <f t="shared" si="1211"/>
        <v>0</v>
      </c>
      <c r="AP2666" s="242">
        <f ca="1">SUMIFS('Ведомость расчета мин. платы'!$S$10:$S$209,'Ведомость расчета мин. платы'!$AE$10:$AE$209,CONCATENATE(B2663,"/",D2663,"/",E2663,"/",F2663,"/",H2665))</f>
        <v>0</v>
      </c>
      <c r="AQ2666" s="253">
        <f t="shared" ref="AQ2666" ca="1" si="1222">AP2666-N2666</f>
        <v>0</v>
      </c>
    </row>
    <row r="2667" spans="1:43" x14ac:dyDescent="0.2">
      <c r="B2667" s="249"/>
      <c r="C2667" s="249"/>
      <c r="D2667" s="249"/>
      <c r="E2667" s="249"/>
      <c r="F2667" s="249"/>
      <c r="G2667" s="249"/>
      <c r="H2667" s="205" t="s">
        <v>19</v>
      </c>
      <c r="I2667" s="248" t="str">
        <f ca="1">IFERROR(INDEX('Ведомость расчета мин. платы'!$J$10:$AE$214,MATCH(CONCATENATE(РАСЧЕТ!B2663,"/",РАСЧЕТ!D2663,"/",РАСЧЕТ!E2663,"/",F2663,"/",H2667),'Ведомость расчета мин. платы'!$AE$10:$AE$214,0),2),"")</f>
        <v/>
      </c>
      <c r="J2667" s="248" t="str">
        <f ca="1">IFERROR(INDEX('Ведомость расчета мин. платы'!$J$10:$AE$214,MATCH(CONCATENATE(РАСЧЕТ!B2663,"/",РАСЧЕТ!D2663,"/",РАСЧЕТ!E2663,"/",F2663,"/",H2667),'Ведомость расчета мин. платы'!$AE$10:$AE$214,0),3),"")</f>
        <v/>
      </c>
      <c r="K2667" s="248" t="str">
        <f ca="1">IFERROR(INDEX('Ведомость расчета мин. платы'!$J$10:$AE$214,MATCH(CONCATENATE(РАСЧЕТ!B2663,"/",РАСЧЕТ!D2663,"/",РАСЧЕТ!E2663,"/",F2663,"/",H2667),'Ведомость расчета мин. платы'!$AE$10:$AE$214,0),4),"")</f>
        <v/>
      </c>
      <c r="L2667" s="248">
        <f t="shared" ca="1" si="1212"/>
        <v>0</v>
      </c>
      <c r="M2667" s="248" t="str">
        <f ca="1">IFERROR(INDEX('Ведомость расчета мин. платы'!$J$10:$AE$214,MATCH(CONCATENATE(РАСЧЕТ!B2663,"/",РАСЧЕТ!D2663,"/",РАСЧЕТ!E2663,"/",F2663,"/",H2667),'Ведомость расчета мин. платы'!$AE$10:$AE$214,0),6),"")</f>
        <v/>
      </c>
      <c r="N2667" s="214">
        <f t="shared" ca="1" si="1213"/>
        <v>0</v>
      </c>
      <c r="O2667" s="229">
        <f t="shared" si="1217"/>
        <v>1</v>
      </c>
      <c r="P2667" s="230">
        <f t="shared" si="1211"/>
        <v>0</v>
      </c>
      <c r="AP2667" s="242"/>
      <c r="AQ2667" s="253"/>
    </row>
    <row r="2668" spans="1:43" x14ac:dyDescent="0.2">
      <c r="B2668" s="249"/>
      <c r="C2668" s="249"/>
      <c r="D2668" s="249"/>
      <c r="E2668" s="249"/>
      <c r="F2668" s="249"/>
      <c r="G2668" s="249"/>
      <c r="H2668" s="250" t="s">
        <v>475</v>
      </c>
      <c r="I2668" s="251" t="str">
        <f ca="1">IFERROR(ROUND(I2667*I2659,2),"")</f>
        <v/>
      </c>
      <c r="J2668" s="251" t="str">
        <f t="shared" ref="J2668" ca="1" si="1223">IFERROR(ROUND(J2667*J2659,2),"")</f>
        <v/>
      </c>
      <c r="K2668" s="251" t="str">
        <f t="shared" ref="K2668" ca="1" si="1224">IFERROR(ROUND(K2667*K2659,2),"")</f>
        <v/>
      </c>
      <c r="L2668" s="251">
        <f t="shared" ca="1" si="1212"/>
        <v>0</v>
      </c>
      <c r="M2668" s="251" t="str">
        <f t="shared" ref="M2668" ca="1" si="1225">IFERROR(ROUND(M2667*M2659,2),"")</f>
        <v/>
      </c>
      <c r="N2668" s="252">
        <f t="shared" ca="1" si="1213"/>
        <v>0</v>
      </c>
      <c r="O2668" s="229" t="str">
        <f t="shared" si="1217"/>
        <v/>
      </c>
      <c r="P2668" s="230">
        <f t="shared" si="1211"/>
        <v>0</v>
      </c>
      <c r="AP2668" s="242">
        <f ca="1">SUMIFS('Ведомость расчета мин. платы'!$S$10:$S$209,'Ведомость расчета мин. платы'!$AE$10:$AE$209,CONCATENATE(B2663,"/",D2663,"/",E2663,"/",F2663,"/",H2667))</f>
        <v>0</v>
      </c>
      <c r="AQ2668" s="253">
        <f t="shared" ref="AQ2668" ca="1" si="1226">AP2668-N2668</f>
        <v>0</v>
      </c>
    </row>
    <row r="2669" spans="1:43" x14ac:dyDescent="0.2">
      <c r="B2669" s="249"/>
      <c r="C2669" s="249"/>
      <c r="D2669" s="249"/>
      <c r="E2669" s="249"/>
      <c r="F2669" s="249"/>
      <c r="G2669" s="249"/>
      <c r="H2669" s="205" t="s">
        <v>268</v>
      </c>
      <c r="I2669" s="248" t="str">
        <f ca="1">IFERROR(INDEX('Ведомость расчета мин. платы'!$J$10:$AE$214,MATCH(CONCATENATE(РАСЧЕТ!B2663,"/",РАСЧЕТ!D2663,"/",РАСЧЕТ!E2663,"/",F2663,"/",H2669),'Ведомость расчета мин. платы'!$AE$10:$AE$214,0),2),"")</f>
        <v/>
      </c>
      <c r="J2669" s="248" t="str">
        <f ca="1">IFERROR(INDEX('Ведомость расчета мин. платы'!$J$10:$AE$214,MATCH(CONCATENATE(РАСЧЕТ!B2663,"/",РАСЧЕТ!D2663,"/",РАСЧЕТ!E2663,"/",F2663,"/",H2669),'Ведомость расчета мин. платы'!$AE$10:$AE$214,0),3),"")</f>
        <v/>
      </c>
      <c r="K2669" s="248" t="str">
        <f ca="1">IFERROR(INDEX('Ведомость расчета мин. платы'!$J$10:$AE$214,MATCH(CONCATENATE(РАСЧЕТ!B2663,"/",РАСЧЕТ!D2663,"/",РАСЧЕТ!E2663,"/",F2663,"/",H2669),'Ведомость расчета мин. платы'!$AE$10:$AE$214,0),4),"")</f>
        <v/>
      </c>
      <c r="L2669" s="248">
        <f t="shared" ca="1" si="1212"/>
        <v>0</v>
      </c>
      <c r="M2669" s="248" t="str">
        <f ca="1">IFERROR(INDEX('Ведомость расчета мин. платы'!$J$10:$AE$214,MATCH(CONCATENATE(РАСЧЕТ!B2663,"/",РАСЧЕТ!D2663,"/",РАСЧЕТ!E2663,"/",F2663,"/",H2669),'Ведомость расчета мин. платы'!$AE$10:$AE$214,0),6),"")</f>
        <v/>
      </c>
      <c r="N2669" s="214">
        <f t="shared" ca="1" si="1213"/>
        <v>0</v>
      </c>
      <c r="O2669" s="229">
        <f t="shared" si="1217"/>
        <v>1</v>
      </c>
      <c r="P2669" s="230">
        <f t="shared" si="1211"/>
        <v>0</v>
      </c>
      <c r="AP2669" s="242"/>
      <c r="AQ2669" s="253"/>
    </row>
    <row r="2670" spans="1:43" x14ac:dyDescent="0.2">
      <c r="B2670" s="249"/>
      <c r="C2670" s="249"/>
      <c r="D2670" s="249"/>
      <c r="E2670" s="249"/>
      <c r="F2670" s="249"/>
      <c r="G2670" s="249"/>
      <c r="H2670" s="250" t="s">
        <v>475</v>
      </c>
      <c r="I2670" s="251" t="str">
        <f ca="1">IFERROR(ROUND(I2669*I2662,2),"")</f>
        <v/>
      </c>
      <c r="J2670" s="251" t="str">
        <f ca="1">IFERROR(ROUND(J2669*J2660,2),"")</f>
        <v/>
      </c>
      <c r="K2670" s="251" t="str">
        <f ca="1">IFERROR(ROUND(K2669*K2660,2),"")</f>
        <v/>
      </c>
      <c r="L2670" s="251">
        <f t="shared" ca="1" si="1212"/>
        <v>0</v>
      </c>
      <c r="M2670" s="251" t="str">
        <f ca="1">IFERROR(ROUND(M2669*M2660,2),"")</f>
        <v/>
      </c>
      <c r="N2670" s="252">
        <f t="shared" ca="1" si="1213"/>
        <v>0</v>
      </c>
      <c r="O2670" s="229" t="str">
        <f t="shared" si="1217"/>
        <v/>
      </c>
      <c r="P2670" s="230">
        <f t="shared" si="1211"/>
        <v>0</v>
      </c>
      <c r="AP2670" s="242">
        <f ca="1">SUMIFS('Ведомость расчета мин. платы'!$S$10:$S$209,'Ведомость расчета мин. платы'!$AE$10:$AE$209,CONCATENATE(B2663,"/",D2663,"/",E2663,"/",F2663,"/",H2669))</f>
        <v>0</v>
      </c>
      <c r="AQ2670" s="253">
        <f t="shared" ref="AQ2670" ca="1" si="1227">AP2670-N2670</f>
        <v>0</v>
      </c>
    </row>
    <row r="2671" spans="1:43" x14ac:dyDescent="0.2">
      <c r="B2671" s="249"/>
      <c r="C2671" s="249"/>
      <c r="D2671" s="249"/>
      <c r="E2671" s="249"/>
      <c r="F2671" s="249"/>
      <c r="G2671" s="249"/>
      <c r="H2671" s="205" t="s">
        <v>40</v>
      </c>
      <c r="I2671" s="248" t="str">
        <f ca="1">IFERROR(INDEX('Ведомость расчета мин. платы'!$J$10:$AE$214,MATCH(CONCATENATE(РАСЧЕТ!B2663,"/",РАСЧЕТ!D2663,"/",РАСЧЕТ!E2663,"/",F2663,"/",H2671),'Ведомость расчета мин. платы'!$AE$10:$AE$214,0),2),"")</f>
        <v/>
      </c>
      <c r="J2671" s="248" t="str">
        <f ca="1">IFERROR(INDEX('Ведомость расчета мин. платы'!$J$10:$AE$214,MATCH(CONCATENATE(РАСЧЕТ!B2663,"/",РАСЧЕТ!D2663,"/",РАСЧЕТ!E2663,"/",F2663,"/",H2671),'Ведомость расчета мин. платы'!$AE$10:$AE$214,0),3),"")</f>
        <v/>
      </c>
      <c r="K2671" s="248" t="str">
        <f ca="1">IFERROR(INDEX('Ведомость расчета мин. платы'!$J$10:$AE$214,MATCH(CONCATENATE(РАСЧЕТ!B2663,"/",РАСЧЕТ!D2663,"/",РАСЧЕТ!E2663,"/",F2663,"/",H2671),'Ведомость расчета мин. платы'!$AE$10:$AE$214,0),4),"")</f>
        <v/>
      </c>
      <c r="L2671" s="248">
        <f t="shared" ca="1" si="1212"/>
        <v>0</v>
      </c>
      <c r="M2671" s="248" t="str">
        <f ca="1">IFERROR(INDEX('Ведомость расчета мин. платы'!$J$10:$AE$214,MATCH(CONCATENATE(РАСЧЕТ!B2663,"/",РАСЧЕТ!D2663,"/",РАСЧЕТ!E2663,"/",F2663,"/",H2671),'Ведомость расчета мин. платы'!$AE$10:$AE$214,0),6),"")</f>
        <v/>
      </c>
      <c r="N2671" s="214">
        <f t="shared" ca="1" si="1213"/>
        <v>0</v>
      </c>
      <c r="O2671" s="229">
        <f t="shared" si="1217"/>
        <v>1</v>
      </c>
      <c r="P2671" s="230">
        <f t="shared" si="1211"/>
        <v>0</v>
      </c>
      <c r="AP2671" s="242"/>
      <c r="AQ2671" s="253"/>
    </row>
    <row r="2672" spans="1:43" x14ac:dyDescent="0.2">
      <c r="B2672" s="249"/>
      <c r="C2672" s="249"/>
      <c r="D2672" s="249"/>
      <c r="E2672" s="249"/>
      <c r="F2672" s="249"/>
      <c r="G2672" s="249"/>
      <c r="H2672" s="250" t="s">
        <v>475</v>
      </c>
      <c r="I2672" s="251" t="str">
        <f ca="1">IFERROR(ROUND(I2671*I2661,2),"")</f>
        <v/>
      </c>
      <c r="J2672" s="251" t="str">
        <f t="shared" ref="J2672" ca="1" si="1228">IFERROR(ROUND(J2671*J2661,2),"")</f>
        <v/>
      </c>
      <c r="K2672" s="251" t="str">
        <f t="shared" ref="K2672" ca="1" si="1229">IFERROR(ROUND(K2671*K2661,2),"")</f>
        <v/>
      </c>
      <c r="L2672" s="251">
        <f t="shared" ca="1" si="1212"/>
        <v>0</v>
      </c>
      <c r="M2672" s="251" t="str">
        <f t="shared" ref="M2672" ca="1" si="1230">IFERROR(ROUND(M2671*M2661,2),"")</f>
        <v/>
      </c>
      <c r="N2672" s="252">
        <f t="shared" ca="1" si="1213"/>
        <v>0</v>
      </c>
      <c r="O2672" s="229" t="str">
        <f t="shared" si="1217"/>
        <v/>
      </c>
      <c r="P2672" s="230">
        <f t="shared" si="1211"/>
        <v>0</v>
      </c>
      <c r="AP2672" s="242">
        <f ca="1">SUMIFS('Ведомость расчета мин. платы'!$S$10:$S$209,'Ведомость расчета мин. платы'!$AE$10:$AE$209,CONCATENATE(B2663,"/",D2663,"/",E2663,"/",F2663,"/",H2671))</f>
        <v>0</v>
      </c>
      <c r="AQ2672" s="253">
        <f t="shared" ref="AQ2672" ca="1" si="1231">AP2672-N2672</f>
        <v>0</v>
      </c>
    </row>
    <row r="2673" spans="2:43" x14ac:dyDescent="0.2">
      <c r="B2673" s="249"/>
      <c r="C2673" s="249"/>
      <c r="D2673" s="249"/>
      <c r="E2673" s="249"/>
      <c r="F2673" s="249"/>
      <c r="G2673" s="249"/>
      <c r="H2673" s="205" t="s">
        <v>18</v>
      </c>
      <c r="I2673" s="248">
        <f ca="1">IFERROR(INDEX('Ведомость расчета мин. платы'!$J$10:$AE$214,MATCH(CONCATENATE(РАСЧЕТ!B2663,"/",РАСЧЕТ!D2663,"/",РАСЧЕТ!E2663,"/",F2663,"/",H2673),'Ведомость расчета мин. платы'!$AE$10:$AE$214,0),2),"")</f>
        <v>21.12</v>
      </c>
      <c r="J2673" s="248">
        <f ca="1">IFERROR(INDEX('Ведомость расчета мин. платы'!$J$10:$AE$214,MATCH(CONCATENATE(РАСЧЕТ!B2663,"/",РАСЧЕТ!D2663,"/",РАСЧЕТ!E2663,"/",F2663,"/",H2673),'Ведомость расчета мин. платы'!$AE$10:$AE$214,0),3),"")</f>
        <v>17.53</v>
      </c>
      <c r="K2673" s="248">
        <f ca="1">IFERROR(INDEX('Ведомость расчета мин. платы'!$J$10:$AE$214,MATCH(CONCATENATE(РАСЧЕТ!B2663,"/",РАСЧЕТ!D2663,"/",РАСЧЕТ!E2663,"/",F2663,"/",H2673),'Ведомость расчета мин. платы'!$AE$10:$AE$214,0),4),"")</f>
        <v>0</v>
      </c>
      <c r="L2673" s="248">
        <f t="shared" ca="1" si="1212"/>
        <v>38.650000000000006</v>
      </c>
      <c r="M2673" s="248">
        <f ca="1">IFERROR(INDEX('Ведомость расчета мин. платы'!$J$10:$AE$214,MATCH(CONCATENATE(РАСЧЕТ!B2663,"/",РАСЧЕТ!D2663,"/",РАСЧЕТ!E2663,"/",F2663,"/",H2673),'Ведомость расчета мин. платы'!$AE$10:$AE$214,0),6),"")</f>
        <v>104.92</v>
      </c>
      <c r="N2673" s="214">
        <f t="shared" ca="1" si="1213"/>
        <v>143.57</v>
      </c>
      <c r="O2673" s="229">
        <f t="shared" si="1217"/>
        <v>1</v>
      </c>
      <c r="P2673" s="230">
        <f t="shared" si="1211"/>
        <v>0</v>
      </c>
      <c r="AP2673" s="242"/>
      <c r="AQ2673" s="253"/>
    </row>
    <row r="2674" spans="2:43" x14ac:dyDescent="0.2">
      <c r="B2674" s="249"/>
      <c r="C2674" s="249"/>
      <c r="D2674" s="249"/>
      <c r="E2674" s="249"/>
      <c r="F2674" s="249"/>
      <c r="G2674" s="249"/>
      <c r="H2674" s="250" t="s">
        <v>475</v>
      </c>
      <c r="I2674" s="251">
        <f ca="1">IFERROR(ROUND(I2673*I2662,2),"")</f>
        <v>459.15</v>
      </c>
      <c r="J2674" s="251">
        <f t="shared" ref="J2674" ca="1" si="1232">IFERROR(ROUND(J2673*J2662,2),"")</f>
        <v>290.64999999999998</v>
      </c>
      <c r="K2674" s="251">
        <f t="shared" ref="K2674" ca="1" si="1233">IFERROR(ROUND(K2673*K2662,2),"")</f>
        <v>0</v>
      </c>
      <c r="L2674" s="251">
        <f t="shared" ca="1" si="1212"/>
        <v>749.8</v>
      </c>
      <c r="M2674" s="251">
        <v>56.650000000000119</v>
      </c>
      <c r="N2674" s="252">
        <f t="shared" ca="1" si="1213"/>
        <v>806.45</v>
      </c>
      <c r="O2674" s="229" t="str">
        <f t="shared" si="1217"/>
        <v/>
      </c>
      <c r="P2674" s="230">
        <f t="shared" si="1211"/>
        <v>0</v>
      </c>
      <c r="AP2674" s="242">
        <f ca="1">SUMIFS('Ведомость расчета мин. платы'!$S$10:$S$209,'Ведомость расчета мин. платы'!$AE$10:$AE$209,CONCATENATE(B2663,"/",D2663,"/",E2663,"/",F2663,"/",H2673))</f>
        <v>806.45</v>
      </c>
      <c r="AQ2674" s="253">
        <f t="shared" ref="AQ2674" ca="1" si="1234">AP2674-N2674</f>
        <v>0</v>
      </c>
    </row>
    <row r="2675" spans="2:43" x14ac:dyDescent="0.2">
      <c r="B2675" s="249"/>
      <c r="C2675" s="249"/>
      <c r="D2675" s="249"/>
      <c r="E2675" s="249"/>
      <c r="F2675" s="249"/>
      <c r="G2675" s="249"/>
      <c r="H2675" s="254" t="s">
        <v>476</v>
      </c>
      <c r="I2675" s="251">
        <f ca="1">SUMIF($O2663:$O2676,1,I2663:I2674)</f>
        <v>63.94</v>
      </c>
      <c r="J2675" s="251">
        <f ca="1">SUMIF($O2663:$O2676,1,J2663:J2674)</f>
        <v>71.289999999999992</v>
      </c>
      <c r="K2675" s="251">
        <f ca="1">SUMIF($O2663:$O2676,1,K2663:K2674)</f>
        <v>1.8</v>
      </c>
      <c r="L2675" s="251">
        <f t="shared" ca="1" si="1212"/>
        <v>137.03</v>
      </c>
      <c r="M2675" s="251">
        <f ca="1">SUMIF($O2663:$O2676,1,M2663:M2674)</f>
        <v>223.07</v>
      </c>
      <c r="N2675" s="252">
        <f t="shared" ca="1" si="1213"/>
        <v>360.1</v>
      </c>
      <c r="AP2675" s="242"/>
      <c r="AQ2675" s="253"/>
    </row>
    <row r="2676" spans="2:43" x14ac:dyDescent="0.2">
      <c r="B2676" s="249"/>
      <c r="C2676" s="249"/>
      <c r="D2676" s="249"/>
      <c r="E2676" s="249"/>
      <c r="F2676" s="249"/>
      <c r="G2676" s="249"/>
      <c r="H2676" s="254" t="s">
        <v>491</v>
      </c>
      <c r="I2676" s="251">
        <f ca="1">SUMIF(H2663:H2674,"стоимость",I2663:I2674)</f>
        <v>5359.04</v>
      </c>
      <c r="J2676" s="251">
        <f ca="1">SUMIF(H2663:H2674,"стоимость",J2663:J2674)</f>
        <v>4674.24</v>
      </c>
      <c r="K2676" s="251">
        <f ca="1">SUMIF(H2663:H2674,"стоимость",K2663:K2674)</f>
        <v>74.36</v>
      </c>
      <c r="L2676" s="251">
        <f ca="1">IFERROR(SUM(I2676:K2676),"")</f>
        <v>10107.64</v>
      </c>
      <c r="M2676" s="251">
        <f ca="1">SUMIF(H2663:H2674,"стоимость",M2663:M2674)</f>
        <v>826.99000000000012</v>
      </c>
      <c r="N2676" s="252">
        <f ca="1">IFERROR(SUM(L2676:M2676),"")</f>
        <v>10934.63</v>
      </c>
      <c r="AP2676" s="242">
        <f ca="1">SUMIFS('Ведомость расчета мин. платы'!$S$10:$S$209,'Ведомость расчета мин. платы'!$J$10:$J$209,"Итого",'Ведомость расчета мин. платы'!$AC$10:$AC$209,CONCATENATE(B2663,"/",D2663,"/",E2663,"/",F2663))</f>
        <v>10934.630000000001</v>
      </c>
      <c r="AQ2676" s="253">
        <f ca="1">AP2676-N2676</f>
        <v>0</v>
      </c>
    </row>
    <row r="2677" spans="2:43" x14ac:dyDescent="0.2">
      <c r="B2677" s="255"/>
      <c r="C2677" s="255"/>
      <c r="D2677" s="255"/>
      <c r="E2677" s="255"/>
      <c r="F2677" s="255"/>
      <c r="G2677" s="256"/>
      <c r="H2677" s="257"/>
      <c r="I2677" s="258"/>
      <c r="J2677" s="258"/>
      <c r="K2677" s="258"/>
      <c r="L2677" s="258"/>
      <c r="M2677" s="258"/>
      <c r="N2677" s="258"/>
      <c r="P2677" s="230">
        <f t="shared" ref="P2677:P2695" si="1235">IF(A2677&gt;0,1,0)</f>
        <v>0</v>
      </c>
    </row>
    <row r="2678" spans="2:43" x14ac:dyDescent="0.2">
      <c r="B2678" s="282" t="s">
        <v>477</v>
      </c>
      <c r="C2678" s="282"/>
      <c r="D2678" s="282"/>
      <c r="E2678" s="282"/>
      <c r="F2678" s="259"/>
      <c r="G2678" s="225"/>
      <c r="H2678" s="201"/>
      <c r="I2678" s="226"/>
      <c r="J2678" s="258"/>
      <c r="K2678" s="258"/>
      <c r="L2678" s="258"/>
      <c r="M2678" s="258"/>
      <c r="N2678" s="258"/>
      <c r="P2678" s="230">
        <f t="shared" si="1235"/>
        <v>0</v>
      </c>
    </row>
    <row r="2679" spans="2:43" x14ac:dyDescent="0.2">
      <c r="B2679" s="283" t="s">
        <v>525</v>
      </c>
      <c r="C2679" s="283"/>
      <c r="D2679" s="283"/>
      <c r="E2679" s="283"/>
      <c r="F2679" s="283"/>
      <c r="G2679" s="283"/>
      <c r="H2679" s="283"/>
      <c r="I2679" s="283"/>
      <c r="J2679" s="261"/>
      <c r="K2679" s="261"/>
      <c r="L2679" s="261"/>
      <c r="M2679" s="261"/>
      <c r="N2679" s="261"/>
      <c r="P2679" s="230">
        <f t="shared" si="1235"/>
        <v>0</v>
      </c>
    </row>
    <row r="2680" spans="2:43" x14ac:dyDescent="0.2">
      <c r="B2680" s="284" t="s">
        <v>478</v>
      </c>
      <c r="C2680" s="284"/>
      <c r="D2680" s="284"/>
      <c r="E2680" s="284"/>
      <c r="F2680" s="284"/>
      <c r="G2680" s="284"/>
      <c r="H2680" s="284"/>
      <c r="I2680" s="284"/>
      <c r="J2680" s="258"/>
      <c r="K2680" s="258"/>
      <c r="L2680" s="258"/>
      <c r="M2680" s="258"/>
      <c r="N2680" s="258"/>
      <c r="P2680" s="230">
        <f t="shared" si="1235"/>
        <v>0</v>
      </c>
    </row>
    <row r="2681" spans="2:43" x14ac:dyDescent="0.2">
      <c r="B2681" s="284" t="s">
        <v>479</v>
      </c>
      <c r="C2681" s="284"/>
      <c r="D2681" s="284"/>
      <c r="E2681" s="284"/>
      <c r="F2681" s="284"/>
      <c r="G2681" s="284"/>
      <c r="H2681" s="284"/>
      <c r="I2681" s="284"/>
      <c r="J2681" s="258"/>
      <c r="K2681" s="258"/>
      <c r="L2681" s="258"/>
      <c r="M2681" s="258"/>
      <c r="N2681" s="258"/>
      <c r="P2681" s="230">
        <f t="shared" si="1235"/>
        <v>0</v>
      </c>
    </row>
    <row r="2682" spans="2:43" x14ac:dyDescent="0.2">
      <c r="B2682" s="284" t="s">
        <v>480</v>
      </c>
      <c r="C2682" s="284"/>
      <c r="D2682" s="284"/>
      <c r="E2682" s="284"/>
      <c r="F2682" s="284"/>
      <c r="G2682" s="284"/>
      <c r="H2682" s="284"/>
      <c r="I2682" s="284"/>
      <c r="J2682" s="258"/>
      <c r="K2682" s="258"/>
      <c r="L2682" s="258"/>
      <c r="M2682" s="258"/>
      <c r="N2682" s="258"/>
      <c r="P2682" s="230">
        <f t="shared" si="1235"/>
        <v>0</v>
      </c>
    </row>
    <row r="2683" spans="2:43" x14ac:dyDescent="0.2">
      <c r="B2683" s="284" t="s">
        <v>481</v>
      </c>
      <c r="C2683" s="284"/>
      <c r="D2683" s="284"/>
      <c r="E2683" s="284"/>
      <c r="F2683" s="284"/>
      <c r="G2683" s="284"/>
      <c r="H2683" s="284"/>
      <c r="I2683" s="284"/>
      <c r="J2683" s="226"/>
      <c r="K2683" s="226"/>
      <c r="L2683" s="226"/>
      <c r="M2683" s="226"/>
      <c r="N2683" s="226"/>
      <c r="P2683" s="230">
        <f t="shared" si="1235"/>
        <v>0</v>
      </c>
    </row>
    <row r="2684" spans="2:43" x14ac:dyDescent="0.2">
      <c r="B2684" s="284" t="s">
        <v>482</v>
      </c>
      <c r="C2684" s="284"/>
      <c r="D2684" s="284"/>
      <c r="E2684" s="284"/>
      <c r="F2684" s="284"/>
      <c r="G2684" s="284"/>
      <c r="H2684" s="284"/>
      <c r="I2684" s="284"/>
      <c r="J2684" s="226"/>
      <c r="K2684" s="226"/>
      <c r="L2684" s="226"/>
      <c r="M2684" s="226"/>
      <c r="N2684" s="226"/>
      <c r="P2684" s="230">
        <f t="shared" si="1235"/>
        <v>0</v>
      </c>
    </row>
    <row r="2685" spans="2:43" x14ac:dyDescent="0.2">
      <c r="B2685" s="284" t="s">
        <v>483</v>
      </c>
      <c r="C2685" s="284"/>
      <c r="D2685" s="284"/>
      <c r="E2685" s="284"/>
      <c r="F2685" s="284"/>
      <c r="G2685" s="284"/>
      <c r="H2685" s="284"/>
      <c r="I2685" s="284"/>
      <c r="J2685" s="226"/>
      <c r="K2685" s="226"/>
      <c r="L2685" s="226"/>
      <c r="M2685" s="226"/>
      <c r="N2685" s="226"/>
      <c r="P2685" s="230">
        <f t="shared" si="1235"/>
        <v>0</v>
      </c>
    </row>
    <row r="2686" spans="2:43" x14ac:dyDescent="0.2">
      <c r="B2686" s="284" t="s">
        <v>484</v>
      </c>
      <c r="C2686" s="284"/>
      <c r="D2686" s="284"/>
      <c r="E2686" s="284"/>
      <c r="F2686" s="284"/>
      <c r="G2686" s="284"/>
      <c r="H2686" s="284"/>
      <c r="I2686" s="284"/>
      <c r="J2686" s="226"/>
      <c r="K2686" s="226"/>
      <c r="L2686" s="226"/>
      <c r="M2686" s="226"/>
      <c r="N2686" s="226"/>
      <c r="P2686" s="230">
        <f t="shared" si="1235"/>
        <v>0</v>
      </c>
    </row>
    <row r="2687" spans="2:43" x14ac:dyDescent="0.2">
      <c r="B2687" s="264"/>
      <c r="C2687" s="264"/>
      <c r="D2687" s="264"/>
      <c r="E2687" s="264"/>
      <c r="F2687" s="264"/>
      <c r="G2687" s="264"/>
      <c r="H2687" s="264"/>
      <c r="I2687" s="265"/>
      <c r="J2687" s="226"/>
      <c r="K2687" s="226"/>
      <c r="L2687" s="226"/>
      <c r="M2687" s="226"/>
      <c r="N2687" s="226"/>
      <c r="P2687" s="230">
        <f t="shared" si="1235"/>
        <v>0</v>
      </c>
    </row>
    <row r="2688" spans="2:43" x14ac:dyDescent="0.2">
      <c r="B2688" s="225" t="s">
        <v>485</v>
      </c>
      <c r="C2688" s="225"/>
      <c r="D2688" s="225"/>
      <c r="E2688" s="225"/>
      <c r="F2688" s="225"/>
      <c r="G2688" s="225"/>
      <c r="H2688" s="201"/>
      <c r="I2688" s="226"/>
      <c r="J2688" s="226" t="s">
        <v>486</v>
      </c>
      <c r="K2688" s="226"/>
      <c r="L2688" s="226"/>
      <c r="M2688" s="226"/>
      <c r="N2688" s="226"/>
      <c r="P2688" s="230">
        <f t="shared" si="1235"/>
        <v>0</v>
      </c>
    </row>
    <row r="2689" spans="1:16" x14ac:dyDescent="0.2">
      <c r="B2689" s="266" t="s">
        <v>524</v>
      </c>
      <c r="C2689" s="266"/>
      <c r="D2689" s="225"/>
      <c r="E2689" s="225"/>
      <c r="F2689" s="225"/>
      <c r="G2689" s="225"/>
      <c r="H2689" s="201"/>
      <c r="I2689" s="226"/>
      <c r="J2689" s="267"/>
      <c r="K2689" s="267"/>
      <c r="L2689" s="267"/>
      <c r="M2689" s="226"/>
      <c r="N2689" s="226"/>
      <c r="P2689" s="230">
        <f t="shared" si="1235"/>
        <v>0</v>
      </c>
    </row>
    <row r="2690" spans="1:16" x14ac:dyDescent="0.2">
      <c r="B2690" s="268" t="s">
        <v>487</v>
      </c>
      <c r="C2690" s="225"/>
      <c r="D2690" s="225"/>
      <c r="E2690" s="225"/>
      <c r="F2690" s="225"/>
      <c r="G2690" s="225"/>
      <c r="H2690" s="201"/>
      <c r="I2690" s="226"/>
      <c r="J2690" s="226" t="s">
        <v>487</v>
      </c>
      <c r="K2690" s="226"/>
      <c r="L2690" s="226"/>
      <c r="M2690" s="226"/>
      <c r="N2690" s="226"/>
      <c r="P2690" s="230">
        <f t="shared" si="1235"/>
        <v>0</v>
      </c>
    </row>
    <row r="2691" spans="1:16" x14ac:dyDescent="0.2">
      <c r="B2691" s="225"/>
      <c r="C2691" s="225"/>
      <c r="D2691" s="225"/>
      <c r="E2691" s="225"/>
      <c r="F2691" s="225"/>
      <c r="G2691" s="225"/>
      <c r="H2691" s="201"/>
      <c r="I2691" s="226"/>
      <c r="J2691" s="226"/>
      <c r="K2691" s="226"/>
      <c r="L2691" s="226"/>
      <c r="M2691" s="226"/>
      <c r="N2691" s="226"/>
      <c r="P2691" s="230">
        <f t="shared" si="1235"/>
        <v>0</v>
      </c>
    </row>
    <row r="2692" spans="1:16" x14ac:dyDescent="0.2">
      <c r="B2692" s="266"/>
      <c r="C2692" s="266"/>
      <c r="D2692" s="225"/>
      <c r="E2692" s="225"/>
      <c r="F2692" s="225"/>
      <c r="G2692" s="225"/>
      <c r="H2692" s="201"/>
      <c r="I2692" s="226"/>
      <c r="J2692" s="267"/>
      <c r="K2692" s="267"/>
      <c r="L2692" s="267"/>
      <c r="M2692" s="226"/>
      <c r="N2692" s="226"/>
      <c r="P2692" s="230">
        <f t="shared" si="1235"/>
        <v>0</v>
      </c>
    </row>
    <row r="2693" spans="1:16" x14ac:dyDescent="0.2">
      <c r="B2693" s="269" t="s">
        <v>488</v>
      </c>
      <c r="C2693" s="225"/>
      <c r="D2693" s="225"/>
      <c r="E2693" s="225"/>
      <c r="F2693" s="225"/>
      <c r="G2693" s="225"/>
      <c r="H2693" s="201"/>
      <c r="I2693" s="226"/>
      <c r="J2693" s="285" t="s">
        <v>488</v>
      </c>
      <c r="K2693" s="285"/>
      <c r="L2693" s="285"/>
      <c r="M2693" s="226"/>
      <c r="N2693" s="226"/>
      <c r="P2693" s="230">
        <f t="shared" si="1235"/>
        <v>0</v>
      </c>
    </row>
    <row r="2694" spans="1:16" x14ac:dyDescent="0.2">
      <c r="B2694" s="225"/>
      <c r="C2694" s="225"/>
      <c r="D2694" s="225"/>
      <c r="E2694" s="225"/>
      <c r="F2694" s="225"/>
      <c r="G2694" s="225"/>
      <c r="H2694" s="201"/>
      <c r="I2694" s="226"/>
      <c r="J2694" s="226"/>
      <c r="K2694" s="226"/>
      <c r="L2694" s="226"/>
      <c r="M2694" s="226"/>
      <c r="N2694" s="226"/>
      <c r="P2694" s="230">
        <f t="shared" si="1235"/>
        <v>0</v>
      </c>
    </row>
    <row r="2695" spans="1:16" x14ac:dyDescent="0.2">
      <c r="B2695" s="264" t="s">
        <v>489</v>
      </c>
      <c r="C2695" s="225"/>
      <c r="D2695" s="225"/>
      <c r="E2695" s="225"/>
      <c r="F2695" s="225"/>
      <c r="G2695" s="225"/>
      <c r="H2695" s="201"/>
      <c r="I2695" s="226"/>
      <c r="J2695" s="226" t="s">
        <v>489</v>
      </c>
      <c r="K2695" s="226"/>
      <c r="L2695" s="226"/>
      <c r="M2695" s="226"/>
      <c r="N2695" s="226"/>
      <c r="P2695" s="230">
        <f t="shared" si="1235"/>
        <v>0</v>
      </c>
    </row>
    <row r="2696" spans="1:16" x14ac:dyDescent="0.2">
      <c r="A2696" s="272"/>
      <c r="B2696" s="225"/>
      <c r="C2696" s="225"/>
      <c r="D2696" s="225"/>
      <c r="E2696" s="225"/>
      <c r="F2696" s="225"/>
      <c r="G2696" s="225"/>
      <c r="H2696" s="201"/>
      <c r="I2696" s="226"/>
      <c r="J2696" s="226"/>
      <c r="K2696" s="226"/>
      <c r="M2696" s="226"/>
      <c r="N2696" s="228"/>
    </row>
    <row r="2697" spans="1:16" x14ac:dyDescent="0.2">
      <c r="A2697" s="260"/>
      <c r="B2697" s="225"/>
      <c r="C2697" s="225"/>
      <c r="D2697" s="225"/>
      <c r="E2697" s="225"/>
      <c r="F2697" s="225"/>
      <c r="G2697" s="225"/>
      <c r="H2697" s="201"/>
      <c r="I2697" s="226"/>
      <c r="J2697" s="226"/>
      <c r="K2697" s="226"/>
      <c r="M2697" s="226"/>
      <c r="N2697" s="228" t="s">
        <v>455</v>
      </c>
      <c r="P2697" s="230">
        <f t="shared" ref="P2697:P2714" si="1236">IF(A2697&gt;0,1,0)</f>
        <v>0</v>
      </c>
    </row>
    <row r="2698" spans="1:16" x14ac:dyDescent="0.2">
      <c r="B2698" s="225"/>
      <c r="C2698" s="225"/>
      <c r="D2698" s="225"/>
      <c r="E2698" s="225"/>
      <c r="F2698" s="225"/>
      <c r="G2698" s="225"/>
      <c r="H2698" s="201"/>
      <c r="I2698" s="226"/>
      <c r="J2698" s="226"/>
      <c r="K2698" s="226"/>
      <c r="M2698" s="226"/>
      <c r="N2698" s="228" t="s">
        <v>456</v>
      </c>
      <c r="P2698" s="230">
        <f t="shared" si="1236"/>
        <v>0</v>
      </c>
    </row>
    <row r="2699" spans="1:16" x14ac:dyDescent="0.2">
      <c r="B2699" s="225"/>
      <c r="C2699" s="225"/>
      <c r="D2699" s="225"/>
      <c r="E2699" s="225"/>
      <c r="F2699" s="225"/>
      <c r="G2699" s="225"/>
      <c r="H2699" s="201"/>
      <c r="I2699" s="226"/>
      <c r="J2699" s="226"/>
      <c r="K2699" s="226"/>
      <c r="M2699" s="226"/>
      <c r="N2699" s="228" t="s">
        <v>457</v>
      </c>
      <c r="P2699" s="230">
        <f t="shared" si="1236"/>
        <v>0</v>
      </c>
    </row>
    <row r="2700" spans="1:16" x14ac:dyDescent="0.2">
      <c r="B2700" s="225"/>
      <c r="C2700" s="225"/>
      <c r="D2700" s="225"/>
      <c r="E2700" s="225"/>
      <c r="F2700" s="225"/>
      <c r="G2700" s="225"/>
      <c r="H2700" s="201"/>
      <c r="I2700" s="226"/>
      <c r="J2700" s="226"/>
      <c r="K2700" s="226"/>
      <c r="L2700" s="226"/>
      <c r="M2700" s="226"/>
      <c r="N2700" s="226"/>
      <c r="P2700" s="230">
        <f t="shared" si="1236"/>
        <v>0</v>
      </c>
    </row>
    <row r="2701" spans="1:16" x14ac:dyDescent="0.2">
      <c r="B2701" s="225"/>
      <c r="C2701" s="286" t="s">
        <v>458</v>
      </c>
      <c r="D2701" s="286"/>
      <c r="E2701" s="286"/>
      <c r="F2701" s="286"/>
      <c r="G2701" s="286"/>
      <c r="H2701" s="286"/>
      <c r="I2701" s="286"/>
      <c r="J2701" s="286"/>
      <c r="K2701" s="286"/>
      <c r="L2701" s="286"/>
      <c r="M2701" s="226"/>
      <c r="N2701" s="226"/>
      <c r="P2701" s="230">
        <f t="shared" si="1236"/>
        <v>0</v>
      </c>
    </row>
    <row r="2702" spans="1:16" x14ac:dyDescent="0.2">
      <c r="B2702" s="225"/>
      <c r="C2702" s="286" t="s">
        <v>459</v>
      </c>
      <c r="D2702" s="286"/>
      <c r="E2702" s="286"/>
      <c r="F2702" s="286"/>
      <c r="G2702" s="286"/>
      <c r="H2702" s="286"/>
      <c r="I2702" s="286"/>
      <c r="J2702" s="286"/>
      <c r="K2702" s="286"/>
      <c r="L2702" s="286"/>
      <c r="M2702" s="226"/>
      <c r="N2702" s="226"/>
      <c r="P2702" s="230">
        <f t="shared" si="1236"/>
        <v>0</v>
      </c>
    </row>
    <row r="2703" spans="1:16" x14ac:dyDescent="0.2">
      <c r="B2703" s="225" t="s">
        <v>460</v>
      </c>
      <c r="C2703" s="234"/>
      <c r="D2703" s="234"/>
      <c r="E2703" s="234"/>
      <c r="F2703" s="234"/>
      <c r="G2703" s="234"/>
      <c r="H2703" s="234"/>
      <c r="I2703" s="235"/>
      <c r="J2703" s="235"/>
      <c r="K2703" s="235"/>
      <c r="L2703" s="287" t="s">
        <v>461</v>
      </c>
      <c r="M2703" s="287"/>
      <c r="N2703" s="287"/>
      <c r="P2703" s="230">
        <f t="shared" si="1236"/>
        <v>0</v>
      </c>
    </row>
    <row r="2704" spans="1:16" x14ac:dyDescent="0.2">
      <c r="B2704" s="225"/>
      <c r="C2704" s="234"/>
      <c r="D2704" s="234"/>
      <c r="E2704" s="234"/>
      <c r="F2704" s="234"/>
      <c r="G2704" s="234"/>
      <c r="H2704" s="234"/>
      <c r="I2704" s="235"/>
      <c r="J2704" s="235"/>
      <c r="K2704" s="235"/>
      <c r="L2704" s="235"/>
      <c r="M2704" s="235"/>
      <c r="N2704" s="235"/>
      <c r="P2704" s="230">
        <f t="shared" si="1236"/>
        <v>0</v>
      </c>
    </row>
    <row r="2705" spans="1:43" x14ac:dyDescent="0.2">
      <c r="B2705" s="225" t="s">
        <v>2038</v>
      </c>
      <c r="C2705" s="234"/>
      <c r="D2705" s="234"/>
      <c r="E2705" s="234"/>
      <c r="F2705" s="234"/>
      <c r="G2705" s="234"/>
      <c r="H2705" s="234"/>
      <c r="I2705" s="235"/>
      <c r="J2705" s="235"/>
      <c r="K2705" s="235"/>
      <c r="L2705" s="235"/>
      <c r="M2705" s="235"/>
      <c r="N2705" s="235"/>
      <c r="P2705" s="230">
        <f t="shared" si="1236"/>
        <v>0</v>
      </c>
    </row>
    <row r="2706" spans="1:43" x14ac:dyDescent="0.2">
      <c r="B2706" s="225" t="s">
        <v>462</v>
      </c>
      <c r="C2706" s="234"/>
      <c r="D2706" s="234"/>
      <c r="E2706" s="234"/>
      <c r="F2706" s="234"/>
      <c r="G2706" s="234"/>
      <c r="H2706" s="234"/>
      <c r="I2706" s="235"/>
      <c r="J2706" s="235"/>
      <c r="K2706" s="235"/>
      <c r="L2706" s="235"/>
      <c r="M2706" s="235"/>
      <c r="N2706" s="235"/>
      <c r="P2706" s="230">
        <f t="shared" si="1236"/>
        <v>0</v>
      </c>
    </row>
    <row r="2707" spans="1:43" x14ac:dyDescent="0.2">
      <c r="B2707" s="225" t="s">
        <v>2037</v>
      </c>
      <c r="C2707" s="234"/>
      <c r="D2707" s="234"/>
      <c r="E2707" s="234"/>
      <c r="F2707" s="234"/>
      <c r="G2707" s="234"/>
      <c r="H2707" s="234"/>
      <c r="I2707" s="235"/>
      <c r="J2707" s="235"/>
      <c r="K2707" s="235"/>
      <c r="L2707" s="235"/>
      <c r="M2707" s="235"/>
      <c r="N2707" s="235"/>
      <c r="P2707" s="230">
        <f t="shared" si="1236"/>
        <v>0</v>
      </c>
    </row>
    <row r="2708" spans="1:43" x14ac:dyDescent="0.2">
      <c r="B2708" s="225" t="s">
        <v>2052</v>
      </c>
      <c r="C2708" s="234"/>
      <c r="D2708" s="234"/>
      <c r="E2708" s="234"/>
      <c r="F2708" s="234"/>
      <c r="G2708" s="234"/>
      <c r="H2708" s="234"/>
      <c r="I2708" s="235"/>
      <c r="J2708" s="235"/>
      <c r="K2708" s="235"/>
      <c r="L2708" s="235"/>
      <c r="M2708" s="235"/>
      <c r="N2708" s="235"/>
      <c r="P2708" s="230">
        <f t="shared" si="1236"/>
        <v>0</v>
      </c>
    </row>
    <row r="2709" spans="1:43" x14ac:dyDescent="0.2">
      <c r="B2709" s="225"/>
      <c r="C2709" s="225"/>
      <c r="D2709" s="225"/>
      <c r="E2709" s="225"/>
      <c r="F2709" s="225"/>
      <c r="G2709" s="225"/>
      <c r="H2709" s="201"/>
      <c r="I2709" s="226"/>
      <c r="J2709" s="226"/>
      <c r="K2709" s="226"/>
      <c r="L2709" s="226"/>
      <c r="M2709" s="226"/>
      <c r="N2709" s="226"/>
      <c r="P2709" s="230">
        <f t="shared" si="1236"/>
        <v>0</v>
      </c>
    </row>
    <row r="2710" spans="1:43" x14ac:dyDescent="0.2">
      <c r="B2710" s="288" t="s">
        <v>106</v>
      </c>
      <c r="C2710" s="290" t="s">
        <v>463</v>
      </c>
      <c r="D2710" s="288" t="s">
        <v>464</v>
      </c>
      <c r="E2710" s="288" t="s">
        <v>465</v>
      </c>
      <c r="F2710" s="288" t="s">
        <v>490</v>
      </c>
      <c r="G2710" s="288" t="s">
        <v>466</v>
      </c>
      <c r="H2710" s="292" t="s">
        <v>8</v>
      </c>
      <c r="I2710" s="294" t="s">
        <v>467</v>
      </c>
      <c r="J2710" s="295"/>
      <c r="K2710" s="295"/>
      <c r="L2710" s="296"/>
      <c r="M2710" s="297" t="s">
        <v>468</v>
      </c>
      <c r="N2710" s="299" t="s">
        <v>469</v>
      </c>
      <c r="P2710" s="230">
        <f t="shared" si="1236"/>
        <v>0</v>
      </c>
    </row>
    <row r="2711" spans="1:43" x14ac:dyDescent="0.2">
      <c r="B2711" s="289"/>
      <c r="C2711" s="291"/>
      <c r="D2711" s="289"/>
      <c r="E2711" s="289"/>
      <c r="F2711" s="289"/>
      <c r="G2711" s="289"/>
      <c r="H2711" s="293"/>
      <c r="I2711" s="236" t="s">
        <v>470</v>
      </c>
      <c r="J2711" s="236" t="s">
        <v>471</v>
      </c>
      <c r="K2711" s="236" t="s">
        <v>472</v>
      </c>
      <c r="L2711" s="236" t="s">
        <v>473</v>
      </c>
      <c r="M2711" s="298"/>
      <c r="N2711" s="300"/>
      <c r="P2711" s="230">
        <f t="shared" si="1236"/>
        <v>0</v>
      </c>
    </row>
    <row r="2712" spans="1:43" x14ac:dyDescent="0.2">
      <c r="A2712" s="224" t="str">
        <f>CONCATENATE("Лот"," ",A2713)</f>
        <v>Лот 50</v>
      </c>
      <c r="B2712" s="273" t="s">
        <v>2087</v>
      </c>
      <c r="C2712" s="274"/>
      <c r="D2712" s="274"/>
      <c r="E2712" s="274"/>
      <c r="F2712" s="274"/>
      <c r="G2712" s="275"/>
      <c r="H2712" s="238" t="s">
        <v>17</v>
      </c>
      <c r="I2712" s="270">
        <f ca="1">ROUND(VLOOKUP($H2712,$AJ$4:$AN$13,2,0)*$Q2714*1.51,2)</f>
        <v>114.43</v>
      </c>
      <c r="J2712" s="270">
        <f ca="1">ROUND(VLOOKUP($H2712,$AJ$4:$AN$13,3,0)*$Q2714*1.51,2)</f>
        <v>81.540000000000006</v>
      </c>
      <c r="K2712" s="270">
        <f ca="1">ROUND(VLOOKUP($H2712,$AJ$4:$AN$13,4,0)*$Q2714*1.51,2)</f>
        <v>41.31</v>
      </c>
      <c r="L2712" s="270"/>
      <c r="M2712" s="270">
        <f ca="1">ROUND(VLOOKUP($H2712,$AJ$4:$AN$13,5,0)*$Q2714*1.51,2)</f>
        <v>6.52</v>
      </c>
      <c r="N2712" s="270"/>
      <c r="P2712" s="230">
        <f t="shared" si="1236"/>
        <v>1</v>
      </c>
    </row>
    <row r="2713" spans="1:43" x14ac:dyDescent="0.2">
      <c r="A2713" s="224">
        <f>A2658+1</f>
        <v>50</v>
      </c>
      <c r="B2713" s="276"/>
      <c r="C2713" s="277"/>
      <c r="D2713" s="277"/>
      <c r="E2713" s="277"/>
      <c r="F2713" s="277"/>
      <c r="G2713" s="278"/>
      <c r="H2713" s="238" t="s">
        <v>25</v>
      </c>
      <c r="I2713" s="270">
        <f ca="1">ROUND(VLOOKUP($H2713,$AJ$4:$AN$13,2,0)*$Q2714*1.51,2)</f>
        <v>855.9</v>
      </c>
      <c r="J2713" s="270">
        <f ca="1">ROUND(VLOOKUP($H2713,$AJ$4:$AN$13,3,0)*$Q2714*1.51,2)</f>
        <v>611.54999999999995</v>
      </c>
      <c r="K2713" s="270">
        <f ca="1">ROUND(VLOOKUP($H2713,$AJ$4:$AN$13,4,0)*$Q2714*1.51,2)</f>
        <v>307.68</v>
      </c>
      <c r="L2713" s="270"/>
      <c r="M2713" s="270">
        <f ca="1">ROUND(VLOOKUP($H2713,$AJ$4:$AN$13,5,0)*$Q2714*1.51,2)</f>
        <v>26.64</v>
      </c>
      <c r="N2713" s="270"/>
      <c r="P2713" s="230">
        <f t="shared" si="1236"/>
        <v>1</v>
      </c>
      <c r="Q2713" s="240" t="s">
        <v>2045</v>
      </c>
      <c r="R2713" s="240" t="s">
        <v>2046</v>
      </c>
    </row>
    <row r="2714" spans="1:43" x14ac:dyDescent="0.2">
      <c r="B2714" s="276"/>
      <c r="C2714" s="277"/>
      <c r="D2714" s="277"/>
      <c r="E2714" s="277"/>
      <c r="F2714" s="277"/>
      <c r="G2714" s="278"/>
      <c r="H2714" s="238" t="s">
        <v>19</v>
      </c>
      <c r="I2714" s="270">
        <f ca="1">ROUND(VLOOKUP($H2714,$AJ$4:$AN$13,2,0)*$Q2714*1.51,2)</f>
        <v>67.95</v>
      </c>
      <c r="J2714" s="270">
        <f ca="1">ROUND(VLOOKUP($H2714,$AJ$4:$AN$13,3,0)*$Q2714*1.51,2)</f>
        <v>49.47</v>
      </c>
      <c r="K2714" s="270">
        <f ca="1">ROUND(VLOOKUP($H2714,$AJ$4:$AN$13,4,0)*$Q2714*1.51,2)</f>
        <v>25.28</v>
      </c>
      <c r="L2714" s="270"/>
      <c r="M2714" s="270">
        <f ca="1">ROUND(VLOOKUP($H2714,$AJ$4:$AN$13,5,0)*$Q2714*1.51,2)</f>
        <v>1.36</v>
      </c>
      <c r="N2714" s="270"/>
      <c r="P2714" s="230">
        <f t="shared" si="1236"/>
        <v>0</v>
      </c>
      <c r="Q2714" s="123">
        <f ca="1">IFERROR(IF(R2714="","",IF(OR(R2714&lt;100,R2714=100),0.9,IF(OR(AND(R2714&gt;100,R2714&lt;150),R2714=150),1,IF(R2714&gt;150,1.05,"")))),"0")</f>
        <v>1</v>
      </c>
      <c r="R2714" s="123">
        <f ca="1">N2730/G2718</f>
        <v>127.992</v>
      </c>
    </row>
    <row r="2715" spans="1:43" x14ac:dyDescent="0.2">
      <c r="B2715" s="276"/>
      <c r="C2715" s="277"/>
      <c r="D2715" s="277"/>
      <c r="E2715" s="277"/>
      <c r="F2715" s="277"/>
      <c r="G2715" s="278"/>
      <c r="H2715" s="238" t="s">
        <v>268</v>
      </c>
      <c r="I2715" s="270">
        <f ca="1">ROUND(VLOOKUP($H2715,$AJ$4:$AN$13,2,0)*$Q2714*1.51,2)</f>
        <v>855.9</v>
      </c>
      <c r="J2715" s="270">
        <f ca="1">ROUND(VLOOKUP($H2715,$AJ$4:$AN$13,3,0)*$Q2714*1.51,2)</f>
        <v>611.54999999999995</v>
      </c>
      <c r="K2715" s="270">
        <f ca="1">ROUND(VLOOKUP($H2715,$AJ$4:$AN$13,4,0)*$Q2714*1.51,2)</f>
        <v>307.68</v>
      </c>
      <c r="L2715" s="270"/>
      <c r="M2715" s="270">
        <f ca="1">ROUND(VLOOKUP($H2715,$AJ$4:$AN$13,5,0)*$Q2714*1.51,2)</f>
        <v>26.64</v>
      </c>
      <c r="N2715" s="270"/>
    </row>
    <row r="2716" spans="1:43" x14ac:dyDescent="0.2">
      <c r="B2716" s="276"/>
      <c r="C2716" s="277"/>
      <c r="D2716" s="277"/>
      <c r="E2716" s="277"/>
      <c r="F2716" s="277"/>
      <c r="G2716" s="278"/>
      <c r="H2716" s="238" t="s">
        <v>40</v>
      </c>
      <c r="I2716" s="270">
        <f ca="1">ROUND(VLOOKUP($H2716,$AJ$4:$AN$13,2,0)*$Q2714*1.51,2)</f>
        <v>67.95</v>
      </c>
      <c r="J2716" s="270">
        <f ca="1">ROUND(VLOOKUP($H2716,$AJ$4:$AN$13,3,0)*$Q2714*1.51,2)</f>
        <v>49.47</v>
      </c>
      <c r="K2716" s="270">
        <f ca="1">ROUND(VLOOKUP($H2716,$AJ$4:$AN$13,4,0)*$Q2714*1.51,2)</f>
        <v>25.28</v>
      </c>
      <c r="L2716" s="270"/>
      <c r="M2716" s="270">
        <f ca="1">ROUND(VLOOKUP($H2716,$AJ$4:$AN$13,5,0)*$Q2714*1.51,2)</f>
        <v>1.36</v>
      </c>
      <c r="N2716" s="270"/>
      <c r="P2716" s="230">
        <f t="shared" ref="P2716:P2729" si="1237">IF(A2716&gt;0,1,0)</f>
        <v>0</v>
      </c>
    </row>
    <row r="2717" spans="1:43" x14ac:dyDescent="0.2">
      <c r="B2717" s="279"/>
      <c r="C2717" s="280"/>
      <c r="D2717" s="280"/>
      <c r="E2717" s="280"/>
      <c r="F2717" s="280"/>
      <c r="G2717" s="281"/>
      <c r="H2717" s="238" t="s">
        <v>18</v>
      </c>
      <c r="I2717" s="270">
        <f ca="1">ROUND(VLOOKUP($H2717,$AJ$4:$AN$13,2,0)*$Q2714*1.51,2)</f>
        <v>21.74</v>
      </c>
      <c r="J2717" s="270">
        <f ca="1">ROUND(VLOOKUP($H2717,$AJ$4:$AN$13,3,0)*$Q2714*1.51,2)</f>
        <v>16.579999999999998</v>
      </c>
      <c r="K2717" s="270">
        <f ca="1">ROUND(VLOOKUP($H2717,$AJ$4:$AN$13,4,0)*$Q2714*1.51,2)</f>
        <v>8.43</v>
      </c>
      <c r="L2717" s="270"/>
      <c r="M2717" s="270">
        <f ca="1">ROUND(VLOOKUP($H2717,$AJ$4:$AN$13,5,0)*$Q2714*1.51*1,2)</f>
        <v>0.54</v>
      </c>
      <c r="N2717" s="270"/>
      <c r="P2717" s="230">
        <f t="shared" si="1237"/>
        <v>0</v>
      </c>
      <c r="AP2717" s="241" t="s">
        <v>2053</v>
      </c>
      <c r="AQ2717" s="242"/>
    </row>
    <row r="2718" spans="1:43" x14ac:dyDescent="0.2">
      <c r="A2718" s="224">
        <f>A2663+37</f>
        <v>1813</v>
      </c>
      <c r="B2718" s="243" t="str">
        <f ca="1">OFFSET(ЛОТЫ!$L$5,A2718,0,1,1)</f>
        <v>Тумбинское</v>
      </c>
      <c r="C2718" s="244" t="s">
        <v>474</v>
      </c>
      <c r="D2718" s="243">
        <f ca="1">OFFSET(ЛОТЫ!$M$5,A2718,0,1,1)</f>
        <v>68</v>
      </c>
      <c r="E2718" s="243">
        <f ca="1">OFFSET(ЛОТЫ!$N$5,A2718,0,1,1)</f>
        <v>7</v>
      </c>
      <c r="F2718" s="243">
        <f ca="1">OFFSET(ЛОТЫ!$O$5,A2718,0,1,1)</f>
        <v>1</v>
      </c>
      <c r="G2718" s="271">
        <f ca="1">IFERROR(INDEX('Ведомость расчета мин. платы'!$G$10:$AC$214,MATCH(CONCATENATE(B2718,"/",D2718,"/",E2718,"/",F2718),'Ведомость расчета мин. платы'!$AC$10:$AC$214,0),1),"")</f>
        <v>10</v>
      </c>
      <c r="H2718" s="246" t="s">
        <v>17</v>
      </c>
      <c r="I2718" s="247">
        <f ca="1">IFERROR(INDEX('Ведомость расчета мин. платы'!$J$10:$AE$214,MATCH(CONCATENATE(РАСЧЕТ!B2718,"/",РАСЧЕТ!D2718,"/",РАСЧЕТ!E2718,"/",F2718,"/",H2718),'Ведомость расчета мин. платы'!$AE$10:$AE$214,0),2),"")</f>
        <v>8</v>
      </c>
      <c r="J2718" s="247">
        <f ca="1">IFERROR(INDEX('Ведомость расчета мин. платы'!$J$10:$AE$214,MATCH(CONCATENATE(РАСЧЕТ!B2718,"/",РАСЧЕТ!D2718,"/",РАСЧЕТ!E2718,"/",F2718,"/",H2718),'Ведомость расчета мин. платы'!$AE$10:$AE$214,0),3),"")</f>
        <v>41.4</v>
      </c>
      <c r="K2718" s="247">
        <f ca="1">IFERROR(INDEX('Ведомость расчета мин. платы'!$J$10:$AE$214,MATCH(CONCATENATE(РАСЧЕТ!B2718,"/",РАСЧЕТ!D2718,"/",РАСЧЕТ!E2718,"/",F2718,"/",H2718),'Ведомость расчета мин. платы'!$AE$10:$AE$214,0),4),"")</f>
        <v>3.6</v>
      </c>
      <c r="L2718" s="248">
        <f t="shared" ref="L2718:L2730" ca="1" si="1238">IFERROR(SUM(I2718:K2718),"")</f>
        <v>53</v>
      </c>
      <c r="M2718" s="214">
        <f ca="1">IFERROR(INDEX('Ведомость расчета мин. платы'!$J$10:$AE$214,MATCH(CONCATENATE(РАСЧЕТ!B2718,"/",РАСЧЕТ!D2718,"/",РАСЧЕТ!E2718,"/",F2718,"/",H2718),'Ведомость расчета мин. платы'!$AE$10:$AE$214,0),6),"")</f>
        <v>159.4</v>
      </c>
      <c r="N2718" s="214">
        <f t="shared" ref="N2718:N2730" ca="1" si="1239">IFERROR(SUM(L2718:M2718),"")</f>
        <v>212.4</v>
      </c>
      <c r="O2718" s="229">
        <f>IF(H2718="стоимость","",1)</f>
        <v>1</v>
      </c>
      <c r="P2718" s="230">
        <f t="shared" si="1237"/>
        <v>1</v>
      </c>
      <c r="AP2718" s="242"/>
      <c r="AQ2718" s="242"/>
    </row>
    <row r="2719" spans="1:43" x14ac:dyDescent="0.2">
      <c r="B2719" s="249"/>
      <c r="C2719" s="249"/>
      <c r="D2719" s="249"/>
      <c r="E2719" s="249"/>
      <c r="F2719" s="249"/>
      <c r="G2719" s="249"/>
      <c r="H2719" s="250" t="s">
        <v>475</v>
      </c>
      <c r="I2719" s="251">
        <f ca="1">IFERROR(ROUND(I2718*I2712,2),"")</f>
        <v>915.44</v>
      </c>
      <c r="J2719" s="251">
        <f t="shared" ref="J2719" ca="1" si="1240">IFERROR(ROUND(J2718*J2712,2),"")</f>
        <v>3375.76</v>
      </c>
      <c r="K2719" s="251">
        <f t="shared" ref="K2719" ca="1" si="1241">IFERROR(ROUND(K2718*K2712,2),"")</f>
        <v>148.72</v>
      </c>
      <c r="L2719" s="251">
        <f t="shared" ca="1" si="1238"/>
        <v>4439.920000000001</v>
      </c>
      <c r="M2719" s="251">
        <f t="shared" ref="M2719" ca="1" si="1242">IFERROR(ROUND(M2718*M2712,2),"")</f>
        <v>1039.29</v>
      </c>
      <c r="N2719" s="252">
        <f t="shared" ca="1" si="1239"/>
        <v>5479.2100000000009</v>
      </c>
      <c r="O2719" s="229" t="str">
        <f t="shared" ref="O2719:O2729" si="1243">IF(H2719="стоимость","",1)</f>
        <v/>
      </c>
      <c r="P2719" s="230">
        <f t="shared" si="1237"/>
        <v>0</v>
      </c>
      <c r="AP2719" s="242">
        <f ca="1">SUMIFS('Ведомость расчета мин. платы'!$S$10:$S$209,'Ведомость расчета мин. платы'!$AE$10:$AE$209,CONCATENATE(B2718,"/",D2718,"/",E2718,"/",F2718,"/",H2718))</f>
        <v>5479.21</v>
      </c>
      <c r="AQ2719" s="253">
        <f t="shared" ref="AQ2719" ca="1" si="1244">AP2719-N2719</f>
        <v>0</v>
      </c>
    </row>
    <row r="2720" spans="1:43" x14ac:dyDescent="0.2">
      <c r="B2720" s="249"/>
      <c r="C2720" s="249"/>
      <c r="D2720" s="249"/>
      <c r="E2720" s="249"/>
      <c r="F2720" s="249"/>
      <c r="G2720" s="249"/>
      <c r="H2720" s="246" t="s">
        <v>25</v>
      </c>
      <c r="I2720" s="247" t="str">
        <f ca="1">IFERROR(INDEX('Ведомость расчета мин. платы'!$J$10:$AE$214,MATCH(CONCATENATE(РАСЧЕТ!B2718,"/",РАСЧЕТ!D2718,"/",РАСЧЕТ!E2718,"/",F2718,"/",H2720),'Ведомость расчета мин. платы'!$AE$10:$AE$214,0),2),"")</f>
        <v/>
      </c>
      <c r="J2720" s="247" t="str">
        <f ca="1">IFERROR(INDEX('Ведомость расчета мин. платы'!$J$10:$AE$214,MATCH(CONCATENATE(РАСЧЕТ!B2718,"/",РАСЧЕТ!D2718,"/",РАСЧЕТ!E2718,"/",F2718,"/",H2720),'Ведомость расчета мин. платы'!$AE$10:$AE$214,0),3),"")</f>
        <v/>
      </c>
      <c r="K2720" s="247" t="str">
        <f ca="1">IFERROR(INDEX('Ведомость расчета мин. платы'!$J$10:$AE$214,MATCH(CONCATENATE(РАСЧЕТ!B2718,"/",РАСЧЕТ!D2718,"/",РАСЧЕТ!E2718,"/",F2718,"/",H2720),'Ведомость расчета мин. платы'!$AE$10:$AE$214,0),4),"")</f>
        <v/>
      </c>
      <c r="L2720" s="248">
        <f t="shared" ca="1" si="1238"/>
        <v>0</v>
      </c>
      <c r="M2720" s="214" t="str">
        <f ca="1">IFERROR(INDEX('Ведомость расчета мин. платы'!$J$10:$AE$214,MATCH(CONCATENATE(РАСЧЕТ!B2718,"/",РАСЧЕТ!D2718,"/",РАСЧЕТ!E2718,"/",F2718,"/",H2720),'Ведомость расчета мин. платы'!$AE$10:$AE$214,0),6),"")</f>
        <v/>
      </c>
      <c r="N2720" s="214">
        <f t="shared" ca="1" si="1239"/>
        <v>0</v>
      </c>
      <c r="O2720" s="229">
        <f t="shared" si="1243"/>
        <v>1</v>
      </c>
      <c r="P2720" s="230">
        <f t="shared" si="1237"/>
        <v>0</v>
      </c>
      <c r="AP2720" s="242"/>
      <c r="AQ2720" s="253"/>
    </row>
    <row r="2721" spans="2:43" x14ac:dyDescent="0.2">
      <c r="B2721" s="249"/>
      <c r="C2721" s="249"/>
      <c r="D2721" s="249"/>
      <c r="E2721" s="249"/>
      <c r="F2721" s="249"/>
      <c r="G2721" s="249"/>
      <c r="H2721" s="250" t="s">
        <v>475</v>
      </c>
      <c r="I2721" s="251" t="str">
        <f ca="1">IFERROR(ROUND(I2720*I2713,2),"")</f>
        <v/>
      </c>
      <c r="J2721" s="251" t="str">
        <f t="shared" ref="J2721" ca="1" si="1245">IFERROR(ROUND(J2720*J2713,2),"")</f>
        <v/>
      </c>
      <c r="K2721" s="251" t="str">
        <f t="shared" ref="K2721" ca="1" si="1246">IFERROR(ROUND(K2720*K2713,2),"")</f>
        <v/>
      </c>
      <c r="L2721" s="251">
        <f t="shared" ca="1" si="1238"/>
        <v>0</v>
      </c>
      <c r="M2721" s="251" t="str">
        <f t="shared" ref="M2721" ca="1" si="1247">IFERROR(ROUND(M2720*M2713,2),"")</f>
        <v/>
      </c>
      <c r="N2721" s="252">
        <f t="shared" ca="1" si="1239"/>
        <v>0</v>
      </c>
      <c r="O2721" s="229" t="str">
        <f t="shared" si="1243"/>
        <v/>
      </c>
      <c r="P2721" s="230">
        <f t="shared" si="1237"/>
        <v>0</v>
      </c>
      <c r="AP2721" s="242">
        <f ca="1">SUMIFS('Ведомость расчета мин. платы'!$S$10:$S$209,'Ведомость расчета мин. платы'!$AE$10:$AE$209,CONCATENATE(B2718,"/",D2718,"/",E2718,"/",F2718,"/",H2720))</f>
        <v>0</v>
      </c>
      <c r="AQ2721" s="253">
        <f t="shared" ref="AQ2721" ca="1" si="1248">AP2721-N2721</f>
        <v>0</v>
      </c>
    </row>
    <row r="2722" spans="2:43" x14ac:dyDescent="0.2">
      <c r="B2722" s="249"/>
      <c r="C2722" s="249"/>
      <c r="D2722" s="249"/>
      <c r="E2722" s="249"/>
      <c r="F2722" s="249"/>
      <c r="G2722" s="249"/>
      <c r="H2722" s="205" t="s">
        <v>19</v>
      </c>
      <c r="I2722" s="248">
        <f ca="1">IFERROR(INDEX('Ведомость расчета мин. платы'!$J$10:$AE$214,MATCH(CONCATENATE(РАСЧЕТ!B2718,"/",РАСЧЕТ!D2718,"/",РАСЧЕТ!E2718,"/",F2718,"/",H2722),'Ведомость расчета мин. платы'!$AE$10:$AE$214,0),2),"")</f>
        <v>0</v>
      </c>
      <c r="J2722" s="248">
        <f ca="1">IFERROR(INDEX('Ведомость расчета мин. платы'!$J$10:$AE$214,MATCH(CONCATENATE(РАСЧЕТ!B2718,"/",РАСЧЕТ!D2718,"/",РАСЧЕТ!E2718,"/",F2718,"/",H2722),'Ведомость расчета мин. платы'!$AE$10:$AE$214,0),3),"")</f>
        <v>26.04</v>
      </c>
      <c r="K2722" s="248">
        <f ca="1">IFERROR(INDEX('Ведомость расчета мин. платы'!$J$10:$AE$214,MATCH(CONCATENATE(РАСЧЕТ!B2718,"/",РАСЧЕТ!D2718,"/",РАСЧЕТ!E2718,"/",F2718,"/",H2722),'Ведомость расчета мин. платы'!$AE$10:$AE$214,0),4),"")</f>
        <v>8.1199999999999992</v>
      </c>
      <c r="L2722" s="248">
        <f t="shared" ca="1" si="1238"/>
        <v>34.159999999999997</v>
      </c>
      <c r="M2722" s="248">
        <f ca="1">IFERROR(INDEX('Ведомость расчета мин. платы'!$J$10:$AE$214,MATCH(CONCATENATE(РАСЧЕТ!B2718,"/",РАСЧЕТ!D2718,"/",РАСЧЕТ!E2718,"/",F2718,"/",H2722),'Ведомость расчета мин. платы'!$AE$10:$AE$214,0),6),"")</f>
        <v>96.46</v>
      </c>
      <c r="N2722" s="214">
        <f t="shared" ca="1" si="1239"/>
        <v>130.62</v>
      </c>
      <c r="O2722" s="229">
        <f t="shared" si="1243"/>
        <v>1</v>
      </c>
      <c r="P2722" s="230">
        <f t="shared" si="1237"/>
        <v>0</v>
      </c>
      <c r="AP2722" s="242"/>
      <c r="AQ2722" s="253"/>
    </row>
    <row r="2723" spans="2:43" x14ac:dyDescent="0.2">
      <c r="B2723" s="249"/>
      <c r="C2723" s="249"/>
      <c r="D2723" s="249"/>
      <c r="E2723" s="249"/>
      <c r="F2723" s="249"/>
      <c r="G2723" s="249"/>
      <c r="H2723" s="250" t="s">
        <v>475</v>
      </c>
      <c r="I2723" s="251">
        <f ca="1">IFERROR(ROUND(I2722*I2714,2),"")</f>
        <v>0</v>
      </c>
      <c r="J2723" s="251">
        <f ca="1">IFERROR(ROUND(J2722*J2714,2),"")</f>
        <v>1288.2</v>
      </c>
      <c r="K2723" s="251">
        <f ca="1">IFERROR(ROUND(K2722*K2714,2),"")</f>
        <v>205.27</v>
      </c>
      <c r="L2723" s="251">
        <f ca="1">IFERROR(SUM(I2723:K2723),"")</f>
        <v>1493.47</v>
      </c>
      <c r="M2723" s="251">
        <f ca="1">IFERROR(ROUND(M2722*M2714,2),"")</f>
        <v>131.19</v>
      </c>
      <c r="N2723" s="252">
        <f t="shared" ca="1" si="1239"/>
        <v>1624.66</v>
      </c>
      <c r="O2723" s="229" t="str">
        <f t="shared" si="1243"/>
        <v/>
      </c>
      <c r="P2723" s="230">
        <f t="shared" si="1237"/>
        <v>0</v>
      </c>
      <c r="AP2723" s="242">
        <f ca="1">SUMIFS('Ведомость расчета мин. платы'!$S$10:$S$209,'Ведомость расчета мин. платы'!$AE$10:$AE$209,CONCATENATE(B2718,"/",D2718,"/",E2718,"/",F2718,"/",H2722))</f>
        <v>1624.66</v>
      </c>
      <c r="AQ2723" s="253">
        <f t="shared" ref="AQ2723" ca="1" si="1249">AP2723-N2723</f>
        <v>0</v>
      </c>
    </row>
    <row r="2724" spans="2:43" x14ac:dyDescent="0.2">
      <c r="B2724" s="249"/>
      <c r="C2724" s="249"/>
      <c r="D2724" s="249"/>
      <c r="E2724" s="249"/>
      <c r="F2724" s="249"/>
      <c r="G2724" s="249"/>
      <c r="H2724" s="205" t="s">
        <v>268</v>
      </c>
      <c r="I2724" s="248" t="str">
        <f ca="1">IFERROR(INDEX('Ведомость расчета мин. платы'!$J$10:$AE$214,MATCH(CONCATENATE(РАСЧЕТ!B2718,"/",РАСЧЕТ!D2718,"/",РАСЧЕТ!E2718,"/",F2718,"/",H2724),'Ведомость расчета мин. платы'!$AE$10:$AE$214,0),2),"")</f>
        <v/>
      </c>
      <c r="J2724" s="248" t="str">
        <f ca="1">IFERROR(INDEX('Ведомость расчета мин. платы'!$J$10:$AE$214,MATCH(CONCATENATE(РАСЧЕТ!B2718,"/",РАСЧЕТ!D2718,"/",РАСЧЕТ!E2718,"/",F2718,"/",H2724),'Ведомость расчета мин. платы'!$AE$10:$AE$214,0),3),"")</f>
        <v/>
      </c>
      <c r="K2724" s="248" t="str">
        <f ca="1">IFERROR(INDEX('Ведомость расчета мин. платы'!$J$10:$AE$214,MATCH(CONCATENATE(РАСЧЕТ!B2718,"/",РАСЧЕТ!D2718,"/",РАСЧЕТ!E2718,"/",F2718,"/",H2724),'Ведомость расчета мин. платы'!$AE$10:$AE$214,0),4),"")</f>
        <v/>
      </c>
      <c r="L2724" s="248">
        <f t="shared" ca="1" si="1238"/>
        <v>0</v>
      </c>
      <c r="M2724" s="248" t="str">
        <f ca="1">IFERROR(INDEX('Ведомость расчета мин. платы'!$J$10:$AE$214,MATCH(CONCATENATE(РАСЧЕТ!B2718,"/",РАСЧЕТ!D2718,"/",РАСЧЕТ!E2718,"/",F2718,"/",H2724),'Ведомость расчета мин. платы'!$AE$10:$AE$214,0),6),"")</f>
        <v/>
      </c>
      <c r="N2724" s="214">
        <f t="shared" ca="1" si="1239"/>
        <v>0</v>
      </c>
      <c r="O2724" s="229">
        <f t="shared" si="1243"/>
        <v>1</v>
      </c>
      <c r="P2724" s="230">
        <f t="shared" si="1237"/>
        <v>0</v>
      </c>
      <c r="AP2724" s="242"/>
      <c r="AQ2724" s="253"/>
    </row>
    <row r="2725" spans="2:43" x14ac:dyDescent="0.2">
      <c r="B2725" s="249"/>
      <c r="C2725" s="249"/>
      <c r="D2725" s="249"/>
      <c r="E2725" s="249"/>
      <c r="F2725" s="249"/>
      <c r="G2725" s="249"/>
      <c r="H2725" s="250" t="s">
        <v>475</v>
      </c>
      <c r="I2725" s="251" t="str">
        <f ca="1">IFERROR(ROUND(I2724*I2717,2),"")</f>
        <v/>
      </c>
      <c r="J2725" s="251" t="str">
        <f ca="1">IFERROR(ROUND(J2724*J2715,2),"")</f>
        <v/>
      </c>
      <c r="K2725" s="251" t="str">
        <f ca="1">IFERROR(ROUND(K2724*K2715,2),"")</f>
        <v/>
      </c>
      <c r="L2725" s="251">
        <f t="shared" ca="1" si="1238"/>
        <v>0</v>
      </c>
      <c r="M2725" s="251" t="str">
        <f ca="1">IFERROR(ROUND(M2724*M2715,2),"")</f>
        <v/>
      </c>
      <c r="N2725" s="252">
        <f t="shared" ca="1" si="1239"/>
        <v>0</v>
      </c>
      <c r="O2725" s="229" t="str">
        <f t="shared" si="1243"/>
        <v/>
      </c>
      <c r="P2725" s="230">
        <f t="shared" si="1237"/>
        <v>0</v>
      </c>
      <c r="AP2725" s="242">
        <f ca="1">SUMIFS('Ведомость расчета мин. платы'!$S$10:$S$209,'Ведомость расчета мин. платы'!$AE$10:$AE$209,CONCATENATE(B2718,"/",D2718,"/",E2718,"/",F2718,"/",H2724))</f>
        <v>0</v>
      </c>
      <c r="AQ2725" s="253">
        <f t="shared" ref="AQ2725" ca="1" si="1250">AP2725-N2725</f>
        <v>0</v>
      </c>
    </row>
    <row r="2726" spans="2:43" x14ac:dyDescent="0.2">
      <c r="B2726" s="249"/>
      <c r="C2726" s="249"/>
      <c r="D2726" s="249"/>
      <c r="E2726" s="249"/>
      <c r="F2726" s="249"/>
      <c r="G2726" s="249"/>
      <c r="H2726" s="205" t="s">
        <v>40</v>
      </c>
      <c r="I2726" s="248" t="str">
        <f ca="1">IFERROR(INDEX('Ведомость расчета мин. платы'!$J$10:$AE$214,MATCH(CONCATENATE(РАСЧЕТ!B2718,"/",РАСЧЕТ!D2718,"/",РАСЧЕТ!E2718,"/",F2718,"/",H2726),'Ведомость расчета мин. платы'!$AE$10:$AE$214,0),2),"")</f>
        <v/>
      </c>
      <c r="J2726" s="248" t="str">
        <f ca="1">IFERROR(INDEX('Ведомость расчета мин. платы'!$J$10:$AE$214,MATCH(CONCATENATE(РАСЧЕТ!B2718,"/",РАСЧЕТ!D2718,"/",РАСЧЕТ!E2718,"/",F2718,"/",H2726),'Ведомость расчета мин. платы'!$AE$10:$AE$214,0),3),"")</f>
        <v/>
      </c>
      <c r="K2726" s="248" t="str">
        <f ca="1">IFERROR(INDEX('Ведомость расчета мин. платы'!$J$10:$AE$214,MATCH(CONCATENATE(РАСЧЕТ!B2718,"/",РАСЧЕТ!D2718,"/",РАСЧЕТ!E2718,"/",F2718,"/",H2726),'Ведомость расчета мин. платы'!$AE$10:$AE$214,0),4),"")</f>
        <v/>
      </c>
      <c r="L2726" s="248">
        <f t="shared" ca="1" si="1238"/>
        <v>0</v>
      </c>
      <c r="M2726" s="248" t="str">
        <f ca="1">IFERROR(INDEX('Ведомость расчета мин. платы'!$J$10:$AE$214,MATCH(CONCATENATE(РАСЧЕТ!B2718,"/",РАСЧЕТ!D2718,"/",РАСЧЕТ!E2718,"/",F2718,"/",H2726),'Ведомость расчета мин. платы'!$AE$10:$AE$214,0),6),"")</f>
        <v/>
      </c>
      <c r="N2726" s="214">
        <f t="shared" ca="1" si="1239"/>
        <v>0</v>
      </c>
      <c r="O2726" s="229">
        <f t="shared" si="1243"/>
        <v>1</v>
      </c>
      <c r="P2726" s="230">
        <f t="shared" si="1237"/>
        <v>0</v>
      </c>
      <c r="AP2726" s="242"/>
      <c r="AQ2726" s="253"/>
    </row>
    <row r="2727" spans="2:43" x14ac:dyDescent="0.2">
      <c r="B2727" s="249"/>
      <c r="C2727" s="249"/>
      <c r="D2727" s="249"/>
      <c r="E2727" s="249"/>
      <c r="F2727" s="249"/>
      <c r="G2727" s="249"/>
      <c r="H2727" s="250" t="s">
        <v>475</v>
      </c>
      <c r="I2727" s="251" t="str">
        <f ca="1">IFERROR(ROUND(I2726*I2716,2),"")</f>
        <v/>
      </c>
      <c r="J2727" s="251" t="str">
        <f t="shared" ref="J2727" ca="1" si="1251">IFERROR(ROUND(J2726*J2716,2),"")</f>
        <v/>
      </c>
      <c r="K2727" s="251" t="str">
        <f t="shared" ref="K2727" ca="1" si="1252">IFERROR(ROUND(K2726*K2716,2),"")</f>
        <v/>
      </c>
      <c r="L2727" s="251">
        <f t="shared" ca="1" si="1238"/>
        <v>0</v>
      </c>
      <c r="M2727" s="251" t="str">
        <f t="shared" ref="M2727" ca="1" si="1253">IFERROR(ROUND(M2726*M2716,2),"")</f>
        <v/>
      </c>
      <c r="N2727" s="252">
        <f t="shared" ca="1" si="1239"/>
        <v>0</v>
      </c>
      <c r="O2727" s="229" t="str">
        <f t="shared" si="1243"/>
        <v/>
      </c>
      <c r="P2727" s="230">
        <f t="shared" si="1237"/>
        <v>0</v>
      </c>
      <c r="AP2727" s="242">
        <f ca="1">SUMIFS('Ведомость расчета мин. платы'!$S$10:$S$209,'Ведомость расчета мин. платы'!$AE$10:$AE$209,CONCATENATE(B2718,"/",D2718,"/",E2718,"/",F2718,"/",H2726))</f>
        <v>0</v>
      </c>
      <c r="AQ2727" s="253">
        <f t="shared" ref="AQ2727" ca="1" si="1254">AP2727-N2727</f>
        <v>0</v>
      </c>
    </row>
    <row r="2728" spans="2:43" x14ac:dyDescent="0.2">
      <c r="B2728" s="249"/>
      <c r="C2728" s="249"/>
      <c r="D2728" s="249"/>
      <c r="E2728" s="249"/>
      <c r="F2728" s="249"/>
      <c r="G2728" s="249"/>
      <c r="H2728" s="205" t="s">
        <v>18</v>
      </c>
      <c r="I2728" s="248">
        <f ca="1">IFERROR(INDEX('Ведомость расчета мин. платы'!$J$10:$AE$214,MATCH(CONCATENATE(РАСЧЕТ!B2718,"/",РАСЧЕТ!D2718,"/",РАСЧЕТ!E2718,"/",F2718,"/",H2728),'Ведомость расчета мин. платы'!$AE$10:$AE$214,0),2),"")</f>
        <v>62.2</v>
      </c>
      <c r="J2728" s="248">
        <f ca="1">IFERROR(INDEX('Ведомость расчета мин. платы'!$J$10:$AE$214,MATCH(CONCATENATE(РАСЧЕТ!B2718,"/",РАСЧЕТ!D2718,"/",РАСЧЕТ!E2718,"/",F2718,"/",H2728),'Ведомость расчета мин. платы'!$AE$10:$AE$214,0),3),"")</f>
        <v>189</v>
      </c>
      <c r="K2728" s="248">
        <f ca="1">IFERROR(INDEX('Ведомость расчета мин. платы'!$J$10:$AE$214,MATCH(CONCATENATE(РАСЧЕТ!B2718,"/",РАСЧЕТ!D2718,"/",РАСЧЕТ!E2718,"/",F2718,"/",H2728),'Ведомость расчета мин. платы'!$AE$10:$AE$214,0),4),"")</f>
        <v>26.4</v>
      </c>
      <c r="L2728" s="248">
        <f t="shared" ca="1" si="1238"/>
        <v>277.59999999999997</v>
      </c>
      <c r="M2728" s="248">
        <f ca="1">IFERROR(INDEX('Ведомость расчета мин. платы'!$J$10:$AE$214,MATCH(CONCATENATE(РАСЧЕТ!B2718,"/",РАСЧЕТ!D2718,"/",РАСЧЕТ!E2718,"/",F2718,"/",H2728),'Ведомость расчета мин. платы'!$AE$10:$AE$214,0),6),"")</f>
        <v>659.3</v>
      </c>
      <c r="N2728" s="214">
        <f t="shared" ca="1" si="1239"/>
        <v>936.89999999999986</v>
      </c>
      <c r="O2728" s="229">
        <f t="shared" si="1243"/>
        <v>1</v>
      </c>
      <c r="P2728" s="230">
        <f t="shared" si="1237"/>
        <v>0</v>
      </c>
      <c r="AP2728" s="242"/>
      <c r="AQ2728" s="253"/>
    </row>
    <row r="2729" spans="2:43" x14ac:dyDescent="0.2">
      <c r="B2729" s="249"/>
      <c r="C2729" s="249"/>
      <c r="D2729" s="249"/>
      <c r="E2729" s="249"/>
      <c r="F2729" s="249"/>
      <c r="G2729" s="249"/>
      <c r="H2729" s="250" t="s">
        <v>475</v>
      </c>
      <c r="I2729" s="251">
        <f ca="1">IFERROR(ROUND(I2728*I2717,2),"")</f>
        <v>1352.23</v>
      </c>
      <c r="J2729" s="251">
        <f t="shared" ref="J2729" ca="1" si="1255">IFERROR(ROUND(J2728*J2717,2),"")</f>
        <v>3133.62</v>
      </c>
      <c r="K2729" s="251">
        <f t="shared" ref="K2729" ca="1" si="1256">IFERROR(ROUND(K2728*K2717,2),"")</f>
        <v>222.55</v>
      </c>
      <c r="L2729" s="251">
        <f t="shared" ca="1" si="1238"/>
        <v>4708.4000000000005</v>
      </c>
      <c r="M2729" s="251">
        <f t="shared" ref="M2729" ca="1" si="1257">IFERROR(ROUND(M2728*M2717,2),"")</f>
        <v>356.02</v>
      </c>
      <c r="N2729" s="252">
        <f t="shared" ca="1" si="1239"/>
        <v>5064.42</v>
      </c>
      <c r="O2729" s="229" t="str">
        <f t="shared" si="1243"/>
        <v/>
      </c>
      <c r="P2729" s="230">
        <f t="shared" si="1237"/>
        <v>0</v>
      </c>
      <c r="AP2729" s="242">
        <f ca="1">SUMIFS('Ведомость расчета мин. платы'!$S$10:$S$209,'Ведомость расчета мин. платы'!$AE$10:$AE$209,CONCATENATE(B2718,"/",D2718,"/",E2718,"/",F2718,"/",H2728))</f>
        <v>5064.42</v>
      </c>
      <c r="AQ2729" s="253">
        <f t="shared" ref="AQ2729" ca="1" si="1258">AP2729-N2729</f>
        <v>0</v>
      </c>
    </row>
    <row r="2730" spans="2:43" x14ac:dyDescent="0.2">
      <c r="B2730" s="249"/>
      <c r="C2730" s="249"/>
      <c r="D2730" s="249"/>
      <c r="E2730" s="249"/>
      <c r="F2730" s="249"/>
      <c r="G2730" s="249"/>
      <c r="H2730" s="254" t="s">
        <v>476</v>
      </c>
      <c r="I2730" s="251">
        <f ca="1">SUMIF($O2718:$O2731,1,I2718:I2729)</f>
        <v>70.2</v>
      </c>
      <c r="J2730" s="251">
        <f ca="1">SUMIF($O2718:$O2731,1,J2718:J2729)</f>
        <v>256.44</v>
      </c>
      <c r="K2730" s="251">
        <f ca="1">SUMIF($O2718:$O2731,1,K2718:K2729)</f>
        <v>38.119999999999997</v>
      </c>
      <c r="L2730" s="251">
        <f t="shared" ca="1" si="1238"/>
        <v>364.76</v>
      </c>
      <c r="M2730" s="251">
        <f ca="1">SUMIF($O2718:$O2731,1,M2718:M2729)</f>
        <v>915.16</v>
      </c>
      <c r="N2730" s="252">
        <f t="shared" ca="1" si="1239"/>
        <v>1279.92</v>
      </c>
      <c r="AP2730" s="242"/>
      <c r="AQ2730" s="253"/>
    </row>
    <row r="2731" spans="2:43" x14ac:dyDescent="0.2">
      <c r="B2731" s="249"/>
      <c r="C2731" s="249"/>
      <c r="D2731" s="249"/>
      <c r="E2731" s="249"/>
      <c r="F2731" s="249"/>
      <c r="G2731" s="249"/>
      <c r="H2731" s="254" t="s">
        <v>491</v>
      </c>
      <c r="I2731" s="251">
        <f ca="1">SUMIF(H2718:H2729,"стоимость",I2718:I2729)</f>
        <v>2267.67</v>
      </c>
      <c r="J2731" s="251">
        <f ca="1">SUMIF(H2718:H2729,"стоимость",J2718:J2729)</f>
        <v>7797.58</v>
      </c>
      <c r="K2731" s="251">
        <f ca="1">SUMIF(H2718:H2729,"стоимость",K2718:K2729)</f>
        <v>576.54</v>
      </c>
      <c r="L2731" s="251">
        <f ca="1">IFERROR(SUM(I2731:K2731),"")</f>
        <v>10641.79</v>
      </c>
      <c r="M2731" s="251">
        <f ca="1">SUMIF(H2718:H2729,"стоимость",M2718:M2729)</f>
        <v>1526.5</v>
      </c>
      <c r="N2731" s="252">
        <f ca="1">IFERROR(SUM(L2731:M2731),"")</f>
        <v>12168.29</v>
      </c>
      <c r="AP2731" s="242">
        <f ca="1">SUMIFS('Ведомость расчета мин. платы'!$S$10:$S$209,'Ведомость расчета мин. платы'!$J$10:$J$209,"Итого",'Ведомость расчета мин. платы'!$AC$10:$AC$209,CONCATENATE(B2718,"/",D2718,"/",E2718,"/",F2718))</f>
        <v>12168.29</v>
      </c>
      <c r="AQ2731" s="253">
        <f ca="1">AP2731-N2731</f>
        <v>0</v>
      </c>
    </row>
    <row r="2732" spans="2:43" x14ac:dyDescent="0.2">
      <c r="B2732" s="255"/>
      <c r="C2732" s="255"/>
      <c r="D2732" s="255"/>
      <c r="E2732" s="255"/>
      <c r="F2732" s="255"/>
      <c r="G2732" s="256"/>
      <c r="H2732" s="257"/>
      <c r="I2732" s="258"/>
      <c r="J2732" s="258"/>
      <c r="K2732" s="258"/>
      <c r="L2732" s="258"/>
      <c r="M2732" s="258"/>
      <c r="N2732" s="258"/>
      <c r="P2732" s="230">
        <f t="shared" ref="P2732:P2750" si="1259">IF(A2732&gt;0,1,0)</f>
        <v>0</v>
      </c>
    </row>
    <row r="2733" spans="2:43" x14ac:dyDescent="0.2">
      <c r="B2733" s="282" t="s">
        <v>477</v>
      </c>
      <c r="C2733" s="282"/>
      <c r="D2733" s="282"/>
      <c r="E2733" s="282"/>
      <c r="F2733" s="259"/>
      <c r="G2733" s="225"/>
      <c r="H2733" s="201"/>
      <c r="I2733" s="226"/>
      <c r="J2733" s="258"/>
      <c r="K2733" s="258"/>
      <c r="L2733" s="258"/>
      <c r="M2733" s="258"/>
      <c r="N2733" s="258"/>
      <c r="P2733" s="230">
        <f t="shared" si="1259"/>
        <v>0</v>
      </c>
    </row>
    <row r="2734" spans="2:43" x14ac:dyDescent="0.2">
      <c r="B2734" s="283" t="s">
        <v>525</v>
      </c>
      <c r="C2734" s="283"/>
      <c r="D2734" s="283"/>
      <c r="E2734" s="283"/>
      <c r="F2734" s="283"/>
      <c r="G2734" s="283"/>
      <c r="H2734" s="283"/>
      <c r="I2734" s="283"/>
      <c r="J2734" s="261"/>
      <c r="K2734" s="261"/>
      <c r="L2734" s="261"/>
      <c r="M2734" s="261"/>
      <c r="N2734" s="261"/>
      <c r="P2734" s="230">
        <f t="shared" si="1259"/>
        <v>0</v>
      </c>
    </row>
    <row r="2735" spans="2:43" x14ac:dyDescent="0.2">
      <c r="B2735" s="284" t="s">
        <v>478</v>
      </c>
      <c r="C2735" s="284"/>
      <c r="D2735" s="284"/>
      <c r="E2735" s="284"/>
      <c r="F2735" s="284"/>
      <c r="G2735" s="284"/>
      <c r="H2735" s="284"/>
      <c r="I2735" s="284"/>
      <c r="J2735" s="258"/>
      <c r="K2735" s="258"/>
      <c r="L2735" s="258"/>
      <c r="M2735" s="258"/>
      <c r="N2735" s="258"/>
      <c r="P2735" s="230">
        <f t="shared" si="1259"/>
        <v>0</v>
      </c>
    </row>
    <row r="2736" spans="2:43" x14ac:dyDescent="0.2">
      <c r="B2736" s="284" t="s">
        <v>479</v>
      </c>
      <c r="C2736" s="284"/>
      <c r="D2736" s="284"/>
      <c r="E2736" s="284"/>
      <c r="F2736" s="284"/>
      <c r="G2736" s="284"/>
      <c r="H2736" s="284"/>
      <c r="I2736" s="284"/>
      <c r="J2736" s="258"/>
      <c r="K2736" s="258"/>
      <c r="L2736" s="258"/>
      <c r="M2736" s="258"/>
      <c r="N2736" s="258"/>
      <c r="P2736" s="230">
        <f t="shared" si="1259"/>
        <v>0</v>
      </c>
    </row>
    <row r="2737" spans="1:16" x14ac:dyDescent="0.2">
      <c r="B2737" s="284" t="s">
        <v>480</v>
      </c>
      <c r="C2737" s="284"/>
      <c r="D2737" s="284"/>
      <c r="E2737" s="284"/>
      <c r="F2737" s="284"/>
      <c r="G2737" s="284"/>
      <c r="H2737" s="284"/>
      <c r="I2737" s="284"/>
      <c r="J2737" s="258"/>
      <c r="K2737" s="258"/>
      <c r="L2737" s="258"/>
      <c r="M2737" s="258"/>
      <c r="N2737" s="258"/>
      <c r="P2737" s="230">
        <f t="shared" si="1259"/>
        <v>0</v>
      </c>
    </row>
    <row r="2738" spans="1:16" x14ac:dyDescent="0.2">
      <c r="B2738" s="284" t="s">
        <v>481</v>
      </c>
      <c r="C2738" s="284"/>
      <c r="D2738" s="284"/>
      <c r="E2738" s="284"/>
      <c r="F2738" s="284"/>
      <c r="G2738" s="284"/>
      <c r="H2738" s="284"/>
      <c r="I2738" s="284"/>
      <c r="J2738" s="226"/>
      <c r="K2738" s="226"/>
      <c r="L2738" s="226"/>
      <c r="M2738" s="226"/>
      <c r="N2738" s="226"/>
      <c r="P2738" s="230">
        <f t="shared" si="1259"/>
        <v>0</v>
      </c>
    </row>
    <row r="2739" spans="1:16" x14ac:dyDescent="0.2">
      <c r="B2739" s="284" t="s">
        <v>482</v>
      </c>
      <c r="C2739" s="284"/>
      <c r="D2739" s="284"/>
      <c r="E2739" s="284"/>
      <c r="F2739" s="284"/>
      <c r="G2739" s="284"/>
      <c r="H2739" s="284"/>
      <c r="I2739" s="284"/>
      <c r="J2739" s="226"/>
      <c r="K2739" s="226"/>
      <c r="L2739" s="226"/>
      <c r="M2739" s="226"/>
      <c r="N2739" s="226"/>
      <c r="P2739" s="230">
        <f t="shared" si="1259"/>
        <v>0</v>
      </c>
    </row>
    <row r="2740" spans="1:16" x14ac:dyDescent="0.2">
      <c r="B2740" s="284" t="s">
        <v>483</v>
      </c>
      <c r="C2740" s="284"/>
      <c r="D2740" s="284"/>
      <c r="E2740" s="284"/>
      <c r="F2740" s="284"/>
      <c r="G2740" s="284"/>
      <c r="H2740" s="284"/>
      <c r="I2740" s="284"/>
      <c r="J2740" s="226"/>
      <c r="K2740" s="226"/>
      <c r="L2740" s="226"/>
      <c r="M2740" s="226"/>
      <c r="N2740" s="226"/>
      <c r="P2740" s="230">
        <f t="shared" si="1259"/>
        <v>0</v>
      </c>
    </row>
    <row r="2741" spans="1:16" x14ac:dyDescent="0.2">
      <c r="B2741" s="284" t="s">
        <v>484</v>
      </c>
      <c r="C2741" s="284"/>
      <c r="D2741" s="284"/>
      <c r="E2741" s="284"/>
      <c r="F2741" s="284"/>
      <c r="G2741" s="284"/>
      <c r="H2741" s="284"/>
      <c r="I2741" s="284"/>
      <c r="J2741" s="226"/>
      <c r="K2741" s="226"/>
      <c r="L2741" s="226"/>
      <c r="M2741" s="226"/>
      <c r="N2741" s="226"/>
      <c r="P2741" s="230">
        <f t="shared" si="1259"/>
        <v>0</v>
      </c>
    </row>
    <row r="2742" spans="1:16" x14ac:dyDescent="0.2">
      <c r="B2742" s="264"/>
      <c r="C2742" s="264"/>
      <c r="D2742" s="264"/>
      <c r="E2742" s="264"/>
      <c r="F2742" s="264"/>
      <c r="G2742" s="264"/>
      <c r="H2742" s="264"/>
      <c r="I2742" s="265"/>
      <c r="J2742" s="226"/>
      <c r="K2742" s="226"/>
      <c r="L2742" s="226"/>
      <c r="M2742" s="226"/>
      <c r="N2742" s="226"/>
      <c r="P2742" s="230">
        <f t="shared" si="1259"/>
        <v>0</v>
      </c>
    </row>
    <row r="2743" spans="1:16" x14ac:dyDescent="0.2">
      <c r="B2743" s="225" t="s">
        <v>485</v>
      </c>
      <c r="C2743" s="225"/>
      <c r="D2743" s="225"/>
      <c r="E2743" s="225"/>
      <c r="F2743" s="225"/>
      <c r="G2743" s="225"/>
      <c r="H2743" s="201"/>
      <c r="I2743" s="226"/>
      <c r="J2743" s="226" t="s">
        <v>486</v>
      </c>
      <c r="K2743" s="226"/>
      <c r="L2743" s="226"/>
      <c r="M2743" s="226"/>
      <c r="N2743" s="226"/>
      <c r="P2743" s="230">
        <f t="shared" si="1259"/>
        <v>0</v>
      </c>
    </row>
    <row r="2744" spans="1:16" x14ac:dyDescent="0.2">
      <c r="B2744" s="266" t="s">
        <v>524</v>
      </c>
      <c r="C2744" s="266"/>
      <c r="D2744" s="225"/>
      <c r="E2744" s="225"/>
      <c r="F2744" s="225"/>
      <c r="G2744" s="225"/>
      <c r="H2744" s="201"/>
      <c r="I2744" s="226"/>
      <c r="J2744" s="267"/>
      <c r="K2744" s="267"/>
      <c r="L2744" s="267"/>
      <c r="M2744" s="226"/>
      <c r="N2744" s="226"/>
      <c r="P2744" s="230">
        <f t="shared" si="1259"/>
        <v>0</v>
      </c>
    </row>
    <row r="2745" spans="1:16" x14ac:dyDescent="0.2">
      <c r="B2745" s="268" t="s">
        <v>487</v>
      </c>
      <c r="C2745" s="225"/>
      <c r="D2745" s="225"/>
      <c r="E2745" s="225"/>
      <c r="F2745" s="225"/>
      <c r="G2745" s="225"/>
      <c r="H2745" s="201"/>
      <c r="I2745" s="226"/>
      <c r="J2745" s="226" t="s">
        <v>487</v>
      </c>
      <c r="K2745" s="226"/>
      <c r="L2745" s="226"/>
      <c r="M2745" s="226"/>
      <c r="N2745" s="226"/>
      <c r="P2745" s="230">
        <f t="shared" si="1259"/>
        <v>0</v>
      </c>
    </row>
    <row r="2746" spans="1:16" x14ac:dyDescent="0.2">
      <c r="B2746" s="225"/>
      <c r="C2746" s="225"/>
      <c r="D2746" s="225"/>
      <c r="E2746" s="225"/>
      <c r="F2746" s="225"/>
      <c r="G2746" s="225"/>
      <c r="H2746" s="201"/>
      <c r="I2746" s="226"/>
      <c r="J2746" s="226"/>
      <c r="K2746" s="226"/>
      <c r="L2746" s="226"/>
      <c r="M2746" s="226"/>
      <c r="N2746" s="226"/>
      <c r="P2746" s="230">
        <f t="shared" si="1259"/>
        <v>0</v>
      </c>
    </row>
    <row r="2747" spans="1:16" x14ac:dyDescent="0.2">
      <c r="B2747" s="266"/>
      <c r="C2747" s="266"/>
      <c r="D2747" s="225"/>
      <c r="E2747" s="225"/>
      <c r="F2747" s="225"/>
      <c r="G2747" s="225"/>
      <c r="H2747" s="201"/>
      <c r="I2747" s="226"/>
      <c r="J2747" s="267"/>
      <c r="K2747" s="267"/>
      <c r="L2747" s="267"/>
      <c r="M2747" s="226"/>
      <c r="N2747" s="226"/>
      <c r="P2747" s="230">
        <f t="shared" si="1259"/>
        <v>0</v>
      </c>
    </row>
    <row r="2748" spans="1:16" x14ac:dyDescent="0.2">
      <c r="B2748" s="269" t="s">
        <v>488</v>
      </c>
      <c r="C2748" s="225"/>
      <c r="D2748" s="225"/>
      <c r="E2748" s="225"/>
      <c r="F2748" s="225"/>
      <c r="G2748" s="225"/>
      <c r="H2748" s="201"/>
      <c r="I2748" s="226"/>
      <c r="J2748" s="285" t="s">
        <v>488</v>
      </c>
      <c r="K2748" s="285"/>
      <c r="L2748" s="285"/>
      <c r="M2748" s="226"/>
      <c r="N2748" s="226"/>
      <c r="P2748" s="230">
        <f t="shared" si="1259"/>
        <v>0</v>
      </c>
    </row>
    <row r="2749" spans="1:16" x14ac:dyDescent="0.2">
      <c r="B2749" s="225"/>
      <c r="C2749" s="225"/>
      <c r="D2749" s="225"/>
      <c r="E2749" s="225"/>
      <c r="F2749" s="225"/>
      <c r="G2749" s="225"/>
      <c r="H2749" s="201"/>
      <c r="I2749" s="226"/>
      <c r="J2749" s="226"/>
      <c r="K2749" s="226"/>
      <c r="L2749" s="226"/>
      <c r="M2749" s="226"/>
      <c r="N2749" s="226"/>
      <c r="P2749" s="230">
        <f t="shared" si="1259"/>
        <v>0</v>
      </c>
    </row>
    <row r="2750" spans="1:16" x14ac:dyDescent="0.2">
      <c r="B2750" s="264" t="s">
        <v>489</v>
      </c>
      <c r="C2750" s="225"/>
      <c r="D2750" s="225"/>
      <c r="E2750" s="225"/>
      <c r="F2750" s="225"/>
      <c r="G2750" s="225"/>
      <c r="H2750" s="201"/>
      <c r="I2750" s="226"/>
      <c r="J2750" s="226" t="s">
        <v>489</v>
      </c>
      <c r="K2750" s="226"/>
      <c r="L2750" s="226"/>
      <c r="M2750" s="226"/>
      <c r="N2750" s="226"/>
      <c r="P2750" s="230">
        <f t="shared" si="1259"/>
        <v>0</v>
      </c>
    </row>
    <row r="2752" spans="1:16" x14ac:dyDescent="0.2">
      <c r="A2752" s="260"/>
      <c r="B2752" s="225"/>
      <c r="C2752" s="225"/>
      <c r="D2752" s="225"/>
      <c r="E2752" s="225"/>
      <c r="F2752" s="225"/>
      <c r="G2752" s="225"/>
      <c r="H2752" s="201"/>
      <c r="I2752" s="226"/>
      <c r="J2752" s="226"/>
      <c r="K2752" s="226"/>
      <c r="M2752" s="226"/>
      <c r="N2752" s="228" t="s">
        <v>455</v>
      </c>
      <c r="P2752" s="230">
        <f t="shared" ref="P2752:P2769" si="1260">IF(A2752&gt;0,1,0)</f>
        <v>0</v>
      </c>
    </row>
    <row r="2753" spans="1:18" x14ac:dyDescent="0.2">
      <c r="B2753" s="225"/>
      <c r="C2753" s="225"/>
      <c r="D2753" s="225"/>
      <c r="E2753" s="225"/>
      <c r="F2753" s="225"/>
      <c r="G2753" s="225"/>
      <c r="H2753" s="201"/>
      <c r="I2753" s="226"/>
      <c r="J2753" s="226"/>
      <c r="K2753" s="226"/>
      <c r="M2753" s="226"/>
      <c r="N2753" s="228" t="s">
        <v>456</v>
      </c>
      <c r="P2753" s="230">
        <f t="shared" si="1260"/>
        <v>0</v>
      </c>
    </row>
    <row r="2754" spans="1:18" x14ac:dyDescent="0.2">
      <c r="B2754" s="225"/>
      <c r="C2754" s="225"/>
      <c r="D2754" s="225"/>
      <c r="E2754" s="225"/>
      <c r="F2754" s="225"/>
      <c r="G2754" s="225"/>
      <c r="H2754" s="201"/>
      <c r="I2754" s="226"/>
      <c r="J2754" s="226"/>
      <c r="K2754" s="226"/>
      <c r="M2754" s="226"/>
      <c r="N2754" s="228" t="s">
        <v>457</v>
      </c>
      <c r="P2754" s="230">
        <f t="shared" si="1260"/>
        <v>0</v>
      </c>
    </row>
    <row r="2755" spans="1:18" x14ac:dyDescent="0.2">
      <c r="B2755" s="225"/>
      <c r="C2755" s="225"/>
      <c r="D2755" s="225"/>
      <c r="E2755" s="225"/>
      <c r="F2755" s="225"/>
      <c r="G2755" s="225"/>
      <c r="H2755" s="201"/>
      <c r="I2755" s="226"/>
      <c r="J2755" s="226"/>
      <c r="K2755" s="226"/>
      <c r="L2755" s="226"/>
      <c r="M2755" s="226"/>
      <c r="N2755" s="226"/>
      <c r="P2755" s="230">
        <f t="shared" si="1260"/>
        <v>0</v>
      </c>
    </row>
    <row r="2756" spans="1:18" x14ac:dyDescent="0.2">
      <c r="B2756" s="225"/>
      <c r="C2756" s="286" t="s">
        <v>458</v>
      </c>
      <c r="D2756" s="286"/>
      <c r="E2756" s="286"/>
      <c r="F2756" s="286"/>
      <c r="G2756" s="286"/>
      <c r="H2756" s="286"/>
      <c r="I2756" s="286"/>
      <c r="J2756" s="286"/>
      <c r="K2756" s="286"/>
      <c r="L2756" s="286"/>
      <c r="M2756" s="226"/>
      <c r="N2756" s="226"/>
      <c r="P2756" s="230">
        <f t="shared" si="1260"/>
        <v>0</v>
      </c>
    </row>
    <row r="2757" spans="1:18" x14ac:dyDescent="0.2">
      <c r="B2757" s="225"/>
      <c r="C2757" s="286" t="s">
        <v>459</v>
      </c>
      <c r="D2757" s="286"/>
      <c r="E2757" s="286"/>
      <c r="F2757" s="286"/>
      <c r="G2757" s="286"/>
      <c r="H2757" s="286"/>
      <c r="I2757" s="286"/>
      <c r="J2757" s="286"/>
      <c r="K2757" s="286"/>
      <c r="L2757" s="286"/>
      <c r="M2757" s="226"/>
      <c r="N2757" s="226"/>
      <c r="P2757" s="230">
        <f t="shared" si="1260"/>
        <v>0</v>
      </c>
    </row>
    <row r="2758" spans="1:18" x14ac:dyDescent="0.2">
      <c r="B2758" s="225" t="s">
        <v>460</v>
      </c>
      <c r="C2758" s="234"/>
      <c r="D2758" s="234"/>
      <c r="E2758" s="234"/>
      <c r="F2758" s="234"/>
      <c r="G2758" s="234"/>
      <c r="H2758" s="234"/>
      <c r="I2758" s="235"/>
      <c r="J2758" s="235"/>
      <c r="K2758" s="235"/>
      <c r="L2758" s="287" t="s">
        <v>461</v>
      </c>
      <c r="M2758" s="287"/>
      <c r="N2758" s="287"/>
      <c r="P2758" s="230">
        <f t="shared" si="1260"/>
        <v>0</v>
      </c>
    </row>
    <row r="2759" spans="1:18" x14ac:dyDescent="0.2">
      <c r="B2759" s="225"/>
      <c r="C2759" s="234"/>
      <c r="D2759" s="234"/>
      <c r="E2759" s="234"/>
      <c r="F2759" s="234"/>
      <c r="G2759" s="234"/>
      <c r="H2759" s="234"/>
      <c r="I2759" s="235"/>
      <c r="J2759" s="235"/>
      <c r="K2759" s="235"/>
      <c r="L2759" s="235"/>
      <c r="M2759" s="235"/>
      <c r="N2759" s="235"/>
      <c r="P2759" s="230">
        <f t="shared" si="1260"/>
        <v>0</v>
      </c>
    </row>
    <row r="2760" spans="1:18" x14ac:dyDescent="0.2">
      <c r="B2760" s="225" t="s">
        <v>2038</v>
      </c>
      <c r="C2760" s="234"/>
      <c r="D2760" s="234"/>
      <c r="E2760" s="234"/>
      <c r="F2760" s="234"/>
      <c r="G2760" s="234"/>
      <c r="H2760" s="234"/>
      <c r="I2760" s="235"/>
      <c r="J2760" s="235"/>
      <c r="K2760" s="235"/>
      <c r="L2760" s="235"/>
      <c r="M2760" s="235"/>
      <c r="N2760" s="235"/>
      <c r="P2760" s="230">
        <f t="shared" si="1260"/>
        <v>0</v>
      </c>
    </row>
    <row r="2761" spans="1:18" x14ac:dyDescent="0.2">
      <c r="B2761" s="225" t="s">
        <v>462</v>
      </c>
      <c r="C2761" s="234"/>
      <c r="D2761" s="234"/>
      <c r="E2761" s="234"/>
      <c r="F2761" s="234"/>
      <c r="G2761" s="234"/>
      <c r="H2761" s="234"/>
      <c r="I2761" s="235"/>
      <c r="J2761" s="235"/>
      <c r="K2761" s="235"/>
      <c r="L2761" s="235"/>
      <c r="M2761" s="235"/>
      <c r="N2761" s="235"/>
      <c r="P2761" s="230">
        <f t="shared" si="1260"/>
        <v>0</v>
      </c>
    </row>
    <row r="2762" spans="1:18" x14ac:dyDescent="0.2">
      <c r="B2762" s="225" t="s">
        <v>2037</v>
      </c>
      <c r="C2762" s="234"/>
      <c r="D2762" s="234"/>
      <c r="E2762" s="234"/>
      <c r="F2762" s="234"/>
      <c r="G2762" s="234"/>
      <c r="H2762" s="234"/>
      <c r="I2762" s="235"/>
      <c r="J2762" s="235"/>
      <c r="K2762" s="235"/>
      <c r="L2762" s="235"/>
      <c r="M2762" s="235"/>
      <c r="N2762" s="235"/>
      <c r="P2762" s="230">
        <f t="shared" si="1260"/>
        <v>0</v>
      </c>
    </row>
    <row r="2763" spans="1:18" x14ac:dyDescent="0.2">
      <c r="B2763" s="225" t="s">
        <v>2052</v>
      </c>
      <c r="C2763" s="234"/>
      <c r="D2763" s="234"/>
      <c r="E2763" s="234"/>
      <c r="F2763" s="234"/>
      <c r="G2763" s="234"/>
      <c r="H2763" s="234"/>
      <c r="I2763" s="235"/>
      <c r="J2763" s="235"/>
      <c r="K2763" s="235"/>
      <c r="L2763" s="235"/>
      <c r="M2763" s="235"/>
      <c r="N2763" s="235"/>
      <c r="P2763" s="230">
        <f t="shared" si="1260"/>
        <v>0</v>
      </c>
    </row>
    <row r="2764" spans="1:18" x14ac:dyDescent="0.2">
      <c r="B2764" s="225"/>
      <c r="C2764" s="225"/>
      <c r="D2764" s="225"/>
      <c r="E2764" s="225"/>
      <c r="F2764" s="225"/>
      <c r="G2764" s="225"/>
      <c r="H2764" s="201"/>
      <c r="I2764" s="226"/>
      <c r="J2764" s="226"/>
      <c r="K2764" s="226"/>
      <c r="L2764" s="226"/>
      <c r="M2764" s="226"/>
      <c r="N2764" s="226"/>
      <c r="P2764" s="230">
        <f t="shared" si="1260"/>
        <v>0</v>
      </c>
    </row>
    <row r="2765" spans="1:18" x14ac:dyDescent="0.2">
      <c r="B2765" s="288" t="s">
        <v>106</v>
      </c>
      <c r="C2765" s="290" t="s">
        <v>463</v>
      </c>
      <c r="D2765" s="288" t="s">
        <v>464</v>
      </c>
      <c r="E2765" s="288" t="s">
        <v>465</v>
      </c>
      <c r="F2765" s="288" t="s">
        <v>490</v>
      </c>
      <c r="G2765" s="288" t="s">
        <v>466</v>
      </c>
      <c r="H2765" s="292" t="s">
        <v>8</v>
      </c>
      <c r="I2765" s="294" t="s">
        <v>467</v>
      </c>
      <c r="J2765" s="295"/>
      <c r="K2765" s="295"/>
      <c r="L2765" s="296"/>
      <c r="M2765" s="297" t="s">
        <v>468</v>
      </c>
      <c r="N2765" s="299" t="s">
        <v>469</v>
      </c>
      <c r="P2765" s="230">
        <f t="shared" si="1260"/>
        <v>0</v>
      </c>
    </row>
    <row r="2766" spans="1:18" x14ac:dyDescent="0.2">
      <c r="B2766" s="289"/>
      <c r="C2766" s="291"/>
      <c r="D2766" s="289"/>
      <c r="E2766" s="289"/>
      <c r="F2766" s="289"/>
      <c r="G2766" s="289"/>
      <c r="H2766" s="293"/>
      <c r="I2766" s="236" t="s">
        <v>470</v>
      </c>
      <c r="J2766" s="236" t="s">
        <v>471</v>
      </c>
      <c r="K2766" s="236" t="s">
        <v>472</v>
      </c>
      <c r="L2766" s="236" t="s">
        <v>473</v>
      </c>
      <c r="M2766" s="298"/>
      <c r="N2766" s="300"/>
      <c r="P2766" s="230">
        <f t="shared" si="1260"/>
        <v>0</v>
      </c>
    </row>
    <row r="2767" spans="1:18" x14ac:dyDescent="0.2">
      <c r="A2767" s="224" t="str">
        <f>CONCATENATE("Лот"," ",A2768)</f>
        <v>Лот 51</v>
      </c>
      <c r="B2767" s="273" t="s">
        <v>2087</v>
      </c>
      <c r="C2767" s="274"/>
      <c r="D2767" s="274"/>
      <c r="E2767" s="274"/>
      <c r="F2767" s="274"/>
      <c r="G2767" s="275"/>
      <c r="H2767" s="238" t="s">
        <v>17</v>
      </c>
      <c r="I2767" s="270">
        <f ca="1">ROUND(VLOOKUP($H2767,$AJ$4:$AN$13,2,0)*$Q2769*1.51,2)</f>
        <v>120.15</v>
      </c>
      <c r="J2767" s="270">
        <f ca="1">ROUND(VLOOKUP($H2767,$AJ$4:$AN$13,3,0)*$Q2769*1.51,2)</f>
        <v>85.62</v>
      </c>
      <c r="K2767" s="270">
        <f ca="1">ROUND(VLOOKUP($H2767,$AJ$4:$AN$13,4,0)*$Q2769*1.51,2)</f>
        <v>43.38</v>
      </c>
      <c r="L2767" s="270"/>
      <c r="M2767" s="270">
        <f ca="1">ROUND(VLOOKUP($H2767,$AJ$4:$AN$13,5,0)*$Q2769*1.51,2)</f>
        <v>6.85</v>
      </c>
      <c r="N2767" s="270"/>
      <c r="P2767" s="230">
        <f t="shared" si="1260"/>
        <v>1</v>
      </c>
    </row>
    <row r="2768" spans="1:18" x14ac:dyDescent="0.2">
      <c r="A2768" s="224">
        <f>A2713+1</f>
        <v>51</v>
      </c>
      <c r="B2768" s="276"/>
      <c r="C2768" s="277"/>
      <c r="D2768" s="277"/>
      <c r="E2768" s="277"/>
      <c r="F2768" s="277"/>
      <c r="G2768" s="278"/>
      <c r="H2768" s="238" t="s">
        <v>25</v>
      </c>
      <c r="I2768" s="270">
        <f ca="1">ROUND(VLOOKUP($H2768,$AJ$4:$AN$13,2,0)*$Q2769*1.51,2)</f>
        <v>898.69</v>
      </c>
      <c r="J2768" s="270">
        <f ca="1">ROUND(VLOOKUP($H2768,$AJ$4:$AN$13,3,0)*$Q2769*1.51,2)</f>
        <v>642.13</v>
      </c>
      <c r="K2768" s="270">
        <f ca="1">ROUND(VLOOKUP($H2768,$AJ$4:$AN$13,4,0)*$Q2769*1.51,2)</f>
        <v>323.06</v>
      </c>
      <c r="L2768" s="270"/>
      <c r="M2768" s="270">
        <f ca="1">ROUND(VLOOKUP($H2768,$AJ$4:$AN$13,5,0)*$Q2769*1.51,2)</f>
        <v>27.97</v>
      </c>
      <c r="N2768" s="270"/>
      <c r="P2768" s="230">
        <f t="shared" si="1260"/>
        <v>1</v>
      </c>
      <c r="Q2768" s="240" t="s">
        <v>2045</v>
      </c>
      <c r="R2768" s="240" t="s">
        <v>2046</v>
      </c>
    </row>
    <row r="2769" spans="1:43" x14ac:dyDescent="0.2">
      <c r="B2769" s="276"/>
      <c r="C2769" s="277"/>
      <c r="D2769" s="277"/>
      <c r="E2769" s="277"/>
      <c r="F2769" s="277"/>
      <c r="G2769" s="278"/>
      <c r="H2769" s="238" t="s">
        <v>19</v>
      </c>
      <c r="I2769" s="270">
        <f ca="1">ROUND(VLOOKUP($H2769,$AJ$4:$AN$13,2,0)*$Q2769*1.51,2)</f>
        <v>71.349999999999994</v>
      </c>
      <c r="J2769" s="270">
        <f ca="1">ROUND(VLOOKUP($H2769,$AJ$4:$AN$13,3,0)*$Q2769*1.51,2)</f>
        <v>51.94</v>
      </c>
      <c r="K2769" s="270">
        <f ca="1">ROUND(VLOOKUP($H2769,$AJ$4:$AN$13,4,0)*$Q2769*1.51,2)</f>
        <v>26.54</v>
      </c>
      <c r="L2769" s="270"/>
      <c r="M2769" s="270">
        <f ca="1">ROUND(VLOOKUP($H2769,$AJ$4:$AN$13,5,0)*$Q2769*1.51,2)</f>
        <v>1.43</v>
      </c>
      <c r="N2769" s="270"/>
      <c r="P2769" s="230">
        <f t="shared" si="1260"/>
        <v>0</v>
      </c>
      <c r="Q2769" s="123">
        <f ca="1">IFERROR(IF(R2769="","",IF(OR(R2769&lt;100,R2769=100),0.9,IF(OR(AND(R2769&gt;100,R2769&lt;150),R2769=150),1,IF(R2769&gt;150,1.05,"")))),"0")</f>
        <v>1.05</v>
      </c>
      <c r="R2769" s="123">
        <f ca="1">N2785/G2773</f>
        <v>204.59772727272727</v>
      </c>
    </row>
    <row r="2770" spans="1:43" x14ac:dyDescent="0.2">
      <c r="B2770" s="276"/>
      <c r="C2770" s="277"/>
      <c r="D2770" s="277"/>
      <c r="E2770" s="277"/>
      <c r="F2770" s="277"/>
      <c r="G2770" s="278"/>
      <c r="H2770" s="238" t="s">
        <v>268</v>
      </c>
      <c r="I2770" s="270">
        <f ca="1">ROUND(VLOOKUP($H2770,$AJ$4:$AN$13,2,0)*$Q2769*1.51,2)</f>
        <v>898.69</v>
      </c>
      <c r="J2770" s="270">
        <f ca="1">ROUND(VLOOKUP($H2770,$AJ$4:$AN$13,3,0)*$Q2769*1.51,2)</f>
        <v>642.13</v>
      </c>
      <c r="K2770" s="270">
        <f ca="1">ROUND(VLOOKUP($H2770,$AJ$4:$AN$13,4,0)*$Q2769*1.51,2)</f>
        <v>323.06</v>
      </c>
      <c r="L2770" s="270"/>
      <c r="M2770" s="270">
        <f ca="1">ROUND(VLOOKUP($H2770,$AJ$4:$AN$13,5,0)*$Q2769*1.51,2)</f>
        <v>27.97</v>
      </c>
      <c r="N2770" s="270"/>
    </row>
    <row r="2771" spans="1:43" x14ac:dyDescent="0.2">
      <c r="B2771" s="276"/>
      <c r="C2771" s="277"/>
      <c r="D2771" s="277"/>
      <c r="E2771" s="277"/>
      <c r="F2771" s="277"/>
      <c r="G2771" s="278"/>
      <c r="H2771" s="238" t="s">
        <v>40</v>
      </c>
      <c r="I2771" s="270">
        <f ca="1">ROUND(VLOOKUP($H2771,$AJ$4:$AN$13,2,0)*$Q2769*1.51,2)</f>
        <v>71.349999999999994</v>
      </c>
      <c r="J2771" s="270">
        <f ca="1">ROUND(VLOOKUP($H2771,$AJ$4:$AN$13,3,0)*$Q2769*1.51,2)</f>
        <v>51.94</v>
      </c>
      <c r="K2771" s="270">
        <f ca="1">ROUND(VLOOKUP($H2771,$AJ$4:$AN$13,4,0)*$Q2769*1.51,2)</f>
        <v>26.54</v>
      </c>
      <c r="L2771" s="270"/>
      <c r="M2771" s="270">
        <f ca="1">ROUND(VLOOKUP($H2771,$AJ$4:$AN$13,5,0)*$Q2769*1.51,2)</f>
        <v>1.43</v>
      </c>
      <c r="N2771" s="270"/>
      <c r="P2771" s="230">
        <f t="shared" ref="P2771:P2784" si="1261">IF(A2771&gt;0,1,0)</f>
        <v>0</v>
      </c>
    </row>
    <row r="2772" spans="1:43" x14ac:dyDescent="0.2">
      <c r="B2772" s="279"/>
      <c r="C2772" s="280"/>
      <c r="D2772" s="280"/>
      <c r="E2772" s="280"/>
      <c r="F2772" s="280"/>
      <c r="G2772" s="281"/>
      <c r="H2772" s="238" t="s">
        <v>18</v>
      </c>
      <c r="I2772" s="270">
        <f ca="1">ROUND(VLOOKUP($H2772,$AJ$4:$AN$13,2,0)*$Q2769*1.51,2)</f>
        <v>22.83</v>
      </c>
      <c r="J2772" s="270">
        <f ca="1">ROUND(VLOOKUP($H2772,$AJ$4:$AN$13,3,0)*$Q2769*1.51,2)</f>
        <v>17.41</v>
      </c>
      <c r="K2772" s="270">
        <f ca="1">ROUND(VLOOKUP($H2772,$AJ$4:$AN$13,4,0)*$Q2769*1.51,2)</f>
        <v>8.85</v>
      </c>
      <c r="L2772" s="270"/>
      <c r="M2772" s="270">
        <f ca="1">ROUND(VLOOKUP($H2772,$AJ$4:$AN$13,5,0)*$Q2769*1.51*1,2)</f>
        <v>0.56999999999999995</v>
      </c>
      <c r="N2772" s="270"/>
      <c r="P2772" s="230">
        <f t="shared" si="1261"/>
        <v>0</v>
      </c>
      <c r="AP2772" s="241" t="s">
        <v>2053</v>
      </c>
      <c r="AQ2772" s="242"/>
    </row>
    <row r="2773" spans="1:43" x14ac:dyDescent="0.2">
      <c r="A2773" s="224">
        <f>A2718+37</f>
        <v>1850</v>
      </c>
      <c r="B2773" s="243" t="str">
        <f ca="1">OFFSET(ЛОТЫ!$L$5,A2773,0,1,1)</f>
        <v>Тумбинское</v>
      </c>
      <c r="C2773" s="244" t="s">
        <v>474</v>
      </c>
      <c r="D2773" s="243">
        <f ca="1">OFFSET(ЛОТЫ!$M$5,A2773,0,1,1)</f>
        <v>114</v>
      </c>
      <c r="E2773" s="243">
        <f ca="1">OFFSET(ЛОТЫ!$N$5,A2773,0,1,1)</f>
        <v>10</v>
      </c>
      <c r="F2773" s="243">
        <f ca="1">OFFSET(ЛОТЫ!$O$5,A2773,0,1,1)</f>
        <v>1</v>
      </c>
      <c r="G2773" s="271">
        <f ca="1">IFERROR(INDEX('Ведомость расчета мин. платы'!$G$10:$AC$214,MATCH(CONCATENATE(B2773,"/",D2773,"/",E2773,"/",F2773),'Ведомость расчета мин. платы'!$AC$10:$AC$214,0),1),"")</f>
        <v>4.4000000000000004</v>
      </c>
      <c r="H2773" s="246" t="s">
        <v>17</v>
      </c>
      <c r="I2773" s="247">
        <f ca="1">IFERROR(INDEX('Ведомость расчета мин. платы'!$J$10:$AE$214,MATCH(CONCATENATE(РАСЧЕТ!B2773,"/",РАСЧЕТ!D2773,"/",РАСЧЕТ!E2773,"/",F2773,"/",H2773),'Ведомость расчета мин. платы'!$AE$10:$AE$214,0),2),"")</f>
        <v>60.76</v>
      </c>
      <c r="J2773" s="247">
        <f ca="1">IFERROR(INDEX('Ведомость расчета мин. платы'!$J$10:$AE$214,MATCH(CONCATENATE(РАСЧЕТ!B2773,"/",РАСЧЕТ!D2773,"/",РАСЧЕТ!E2773,"/",F2773,"/",H2773),'Ведомость расчета мин. платы'!$AE$10:$AE$214,0),3),"")</f>
        <v>140.58000000000001</v>
      </c>
      <c r="K2773" s="247">
        <f ca="1">IFERROR(INDEX('Ведомость расчета мин. платы'!$J$10:$AE$214,MATCH(CONCATENATE(РАСЧЕТ!B2773,"/",РАСЧЕТ!D2773,"/",РАСЧЕТ!E2773,"/",F2773,"/",H2773),'Ведомость расчета мин. платы'!$AE$10:$AE$214,0),4),"")</f>
        <v>7.92</v>
      </c>
      <c r="L2773" s="248">
        <f t="shared" ref="L2773:L2785" ca="1" si="1262">IFERROR(SUM(I2773:K2773),"")</f>
        <v>209.26</v>
      </c>
      <c r="M2773" s="214">
        <f ca="1">IFERROR(INDEX('Ведомость расчета мин. платы'!$J$10:$AE$214,MATCH(CONCATENATE(РАСЧЕТ!B2773,"/",РАСЧЕТ!D2773,"/",РАСЧЕТ!E2773,"/",F2773,"/",H2773),'Ведомость расчета мин. платы'!$AE$10:$AE$214,0),6),"")</f>
        <v>370.44</v>
      </c>
      <c r="N2773" s="214">
        <f t="shared" ref="N2773:N2785" ca="1" si="1263">IFERROR(SUM(L2773:M2773),"")</f>
        <v>579.70000000000005</v>
      </c>
      <c r="O2773" s="229">
        <f>IF(H2773="стоимость","",1)</f>
        <v>1</v>
      </c>
      <c r="P2773" s="230">
        <f t="shared" si="1261"/>
        <v>1</v>
      </c>
      <c r="AP2773" s="242"/>
      <c r="AQ2773" s="242"/>
    </row>
    <row r="2774" spans="1:43" x14ac:dyDescent="0.2">
      <c r="B2774" s="249"/>
      <c r="C2774" s="249"/>
      <c r="D2774" s="249"/>
      <c r="E2774" s="249"/>
      <c r="F2774" s="249"/>
      <c r="G2774" s="249"/>
      <c r="H2774" s="250" t="s">
        <v>475</v>
      </c>
      <c r="I2774" s="251">
        <f ca="1">IFERROR(ROUND(I2773*I2767,2),"")</f>
        <v>7300.31</v>
      </c>
      <c r="J2774" s="251">
        <f t="shared" ref="J2774:K2774" ca="1" si="1264">IFERROR(ROUND(J2773*J2767,2),"")</f>
        <v>12036.46</v>
      </c>
      <c r="K2774" s="251">
        <f t="shared" ca="1" si="1264"/>
        <v>343.57</v>
      </c>
      <c r="L2774" s="251">
        <f t="shared" ca="1" si="1262"/>
        <v>19680.34</v>
      </c>
      <c r="M2774" s="251">
        <v>2537.5200000000023</v>
      </c>
      <c r="N2774" s="252">
        <f t="shared" ca="1" si="1263"/>
        <v>22217.86</v>
      </c>
      <c r="O2774" s="229" t="str">
        <f t="shared" ref="O2774:O2784" si="1265">IF(H2774="стоимость","",1)</f>
        <v/>
      </c>
      <c r="P2774" s="230">
        <f t="shared" si="1261"/>
        <v>0</v>
      </c>
      <c r="AP2774" s="242">
        <f ca="1">SUMIFS('Ведомость расчета мин. платы'!$S$10:$S$209,'Ведомость расчета мин. платы'!$AE$10:$AE$209,CONCATENATE(B2773,"/",D2773,"/",E2773,"/",F2773,"/",H2773))</f>
        <v>22217.86</v>
      </c>
      <c r="AQ2774" s="253">
        <f t="shared" ref="AQ2774" ca="1" si="1266">AP2774-N2774</f>
        <v>0</v>
      </c>
    </row>
    <row r="2775" spans="1:43" x14ac:dyDescent="0.2">
      <c r="B2775" s="249"/>
      <c r="C2775" s="249"/>
      <c r="D2775" s="249"/>
      <c r="E2775" s="249"/>
      <c r="F2775" s="249"/>
      <c r="G2775" s="249"/>
      <c r="H2775" s="246" t="s">
        <v>25</v>
      </c>
      <c r="I2775" s="247" t="str">
        <f ca="1">IFERROR(INDEX('Ведомость расчета мин. платы'!$J$10:$AE$214,MATCH(CONCATENATE(РАСЧЕТ!B2773,"/",РАСЧЕТ!D2773,"/",РАСЧЕТ!E2773,"/",F2773,"/",H2775),'Ведомость расчета мин. платы'!$AE$10:$AE$214,0),2),"")</f>
        <v/>
      </c>
      <c r="J2775" s="247" t="str">
        <f ca="1">IFERROR(INDEX('Ведомость расчета мин. платы'!$J$10:$AE$214,MATCH(CONCATENATE(РАСЧЕТ!B2773,"/",РАСЧЕТ!D2773,"/",РАСЧЕТ!E2773,"/",F2773,"/",H2775),'Ведомость расчета мин. платы'!$AE$10:$AE$214,0),3),"")</f>
        <v/>
      </c>
      <c r="K2775" s="247" t="str">
        <f ca="1">IFERROR(INDEX('Ведомость расчета мин. платы'!$J$10:$AE$214,MATCH(CONCATENATE(РАСЧЕТ!B2773,"/",РАСЧЕТ!D2773,"/",РАСЧЕТ!E2773,"/",F2773,"/",H2775),'Ведомость расчета мин. платы'!$AE$10:$AE$214,0),4),"")</f>
        <v/>
      </c>
      <c r="L2775" s="248">
        <f t="shared" ca="1" si="1262"/>
        <v>0</v>
      </c>
      <c r="M2775" s="214" t="str">
        <f ca="1">IFERROR(INDEX('Ведомость расчета мин. платы'!$J$10:$AE$214,MATCH(CONCATENATE(РАСЧЕТ!B2773,"/",РАСЧЕТ!D2773,"/",РАСЧЕТ!E2773,"/",F2773,"/",H2775),'Ведомость расчета мин. платы'!$AE$10:$AE$214,0),6),"")</f>
        <v/>
      </c>
      <c r="N2775" s="214">
        <f t="shared" ca="1" si="1263"/>
        <v>0</v>
      </c>
      <c r="O2775" s="229">
        <f t="shared" si="1265"/>
        <v>1</v>
      </c>
      <c r="P2775" s="230">
        <f t="shared" si="1261"/>
        <v>0</v>
      </c>
      <c r="AP2775" s="242"/>
      <c r="AQ2775" s="253"/>
    </row>
    <row r="2776" spans="1:43" x14ac:dyDescent="0.2">
      <c r="B2776" s="249"/>
      <c r="C2776" s="249"/>
      <c r="D2776" s="249"/>
      <c r="E2776" s="249"/>
      <c r="F2776" s="249"/>
      <c r="G2776" s="249"/>
      <c r="H2776" s="250" t="s">
        <v>475</v>
      </c>
      <c r="I2776" s="251" t="str">
        <f ca="1">IFERROR(ROUND(I2775*I2768,2),"")</f>
        <v/>
      </c>
      <c r="J2776" s="251" t="str">
        <f t="shared" ref="J2776:K2776" ca="1" si="1267">IFERROR(ROUND(J2775*J2768,2),"")</f>
        <v/>
      </c>
      <c r="K2776" s="251" t="str">
        <f t="shared" ca="1" si="1267"/>
        <v/>
      </c>
      <c r="L2776" s="251">
        <f t="shared" ca="1" si="1262"/>
        <v>0</v>
      </c>
      <c r="M2776" s="251" t="str">
        <f t="shared" ref="M2776" ca="1" si="1268">IFERROR(ROUND(M2775*M2768,2),"")</f>
        <v/>
      </c>
      <c r="N2776" s="252">
        <f t="shared" ca="1" si="1263"/>
        <v>0</v>
      </c>
      <c r="O2776" s="229" t="str">
        <f t="shared" si="1265"/>
        <v/>
      </c>
      <c r="P2776" s="230">
        <f t="shared" si="1261"/>
        <v>0</v>
      </c>
      <c r="AP2776" s="242">
        <f ca="1">SUMIFS('Ведомость расчета мин. платы'!$S$10:$S$209,'Ведомость расчета мин. платы'!$AE$10:$AE$209,CONCATENATE(B2773,"/",D2773,"/",E2773,"/",F2773,"/",H2775))</f>
        <v>0</v>
      </c>
      <c r="AQ2776" s="253">
        <f t="shared" ref="AQ2776" ca="1" si="1269">AP2776-N2776</f>
        <v>0</v>
      </c>
    </row>
    <row r="2777" spans="1:43" x14ac:dyDescent="0.2">
      <c r="B2777" s="249"/>
      <c r="C2777" s="249"/>
      <c r="D2777" s="249"/>
      <c r="E2777" s="249"/>
      <c r="F2777" s="249"/>
      <c r="G2777" s="249"/>
      <c r="H2777" s="205" t="s">
        <v>19</v>
      </c>
      <c r="I2777" s="248" t="str">
        <f ca="1">IFERROR(INDEX('Ведомость расчета мин. платы'!$J$10:$AE$214,MATCH(CONCATENATE(РАСЧЕТ!B2773,"/",РАСЧЕТ!D2773,"/",РАСЧЕТ!E2773,"/",F2773,"/",H2777),'Ведомость расчета мин. платы'!$AE$10:$AE$214,0),2),"")</f>
        <v/>
      </c>
      <c r="J2777" s="248" t="str">
        <f ca="1">IFERROR(INDEX('Ведомость расчета мин. платы'!$J$10:$AE$214,MATCH(CONCATENATE(РАСЧЕТ!B2773,"/",РАСЧЕТ!D2773,"/",РАСЧЕТ!E2773,"/",F2773,"/",H2777),'Ведомость расчета мин. платы'!$AE$10:$AE$214,0),3),"")</f>
        <v/>
      </c>
      <c r="K2777" s="248" t="str">
        <f ca="1">IFERROR(INDEX('Ведомость расчета мин. платы'!$J$10:$AE$214,MATCH(CONCATENATE(РАСЧЕТ!B2773,"/",РАСЧЕТ!D2773,"/",РАСЧЕТ!E2773,"/",F2773,"/",H2777),'Ведомость расчета мин. платы'!$AE$10:$AE$214,0),4),"")</f>
        <v/>
      </c>
      <c r="L2777" s="248">
        <f t="shared" ca="1" si="1262"/>
        <v>0</v>
      </c>
      <c r="M2777" s="248" t="str">
        <f ca="1">IFERROR(INDEX('Ведомость расчета мин. платы'!$J$10:$AE$214,MATCH(CONCATENATE(РАСЧЕТ!B2773,"/",РАСЧЕТ!D2773,"/",РАСЧЕТ!E2773,"/",F2773,"/",H2777),'Ведомость расчета мин. платы'!$AE$10:$AE$214,0),6),"")</f>
        <v/>
      </c>
      <c r="N2777" s="214">
        <f t="shared" ca="1" si="1263"/>
        <v>0</v>
      </c>
      <c r="O2777" s="229">
        <f t="shared" si="1265"/>
        <v>1</v>
      </c>
      <c r="P2777" s="230">
        <f t="shared" si="1261"/>
        <v>0</v>
      </c>
      <c r="AP2777" s="242"/>
      <c r="AQ2777" s="253"/>
    </row>
    <row r="2778" spans="1:43" x14ac:dyDescent="0.2">
      <c r="B2778" s="249"/>
      <c r="C2778" s="249"/>
      <c r="D2778" s="249"/>
      <c r="E2778" s="249"/>
      <c r="F2778" s="249"/>
      <c r="G2778" s="249"/>
      <c r="H2778" s="250" t="s">
        <v>475</v>
      </c>
      <c r="I2778" s="251" t="str">
        <f ca="1">IFERROR(ROUND(I2777*I2769,2),"")</f>
        <v/>
      </c>
      <c r="J2778" s="251" t="str">
        <f t="shared" ref="J2778:K2778" ca="1" si="1270">IFERROR(ROUND(J2777*J2769,2),"")</f>
        <v/>
      </c>
      <c r="K2778" s="251" t="str">
        <f t="shared" ca="1" si="1270"/>
        <v/>
      </c>
      <c r="L2778" s="251">
        <f t="shared" ca="1" si="1262"/>
        <v>0</v>
      </c>
      <c r="M2778" s="251" t="str">
        <f t="shared" ref="M2778" ca="1" si="1271">IFERROR(ROUND(M2777*M2769,2),"")</f>
        <v/>
      </c>
      <c r="N2778" s="252">
        <f t="shared" ca="1" si="1263"/>
        <v>0</v>
      </c>
      <c r="O2778" s="229" t="str">
        <f t="shared" si="1265"/>
        <v/>
      </c>
      <c r="P2778" s="230">
        <f t="shared" si="1261"/>
        <v>0</v>
      </c>
      <c r="AP2778" s="242">
        <f ca="1">SUMIFS('Ведомость расчета мин. платы'!$S$10:$S$209,'Ведомость расчета мин. платы'!$AE$10:$AE$209,CONCATENATE(B2773,"/",D2773,"/",E2773,"/",F2773,"/",H2777))</f>
        <v>0</v>
      </c>
      <c r="AQ2778" s="253">
        <f t="shared" ref="AQ2778" ca="1" si="1272">AP2778-N2778</f>
        <v>0</v>
      </c>
    </row>
    <row r="2779" spans="1:43" x14ac:dyDescent="0.2">
      <c r="B2779" s="249"/>
      <c r="C2779" s="249"/>
      <c r="D2779" s="249"/>
      <c r="E2779" s="249"/>
      <c r="F2779" s="249"/>
      <c r="G2779" s="249"/>
      <c r="H2779" s="205" t="s">
        <v>268</v>
      </c>
      <c r="I2779" s="248" t="str">
        <f ca="1">IFERROR(INDEX('Ведомость расчета мин. платы'!$J$10:$AE$214,MATCH(CONCATENATE(РАСЧЕТ!B2773,"/",РАСЧЕТ!D2773,"/",РАСЧЕТ!E2773,"/",F2773,"/",H2779),'Ведомость расчета мин. платы'!$AE$10:$AE$214,0),2),"")</f>
        <v/>
      </c>
      <c r="J2779" s="248" t="str">
        <f ca="1">IFERROR(INDEX('Ведомость расчета мин. платы'!$J$10:$AE$214,MATCH(CONCATENATE(РАСЧЕТ!B2773,"/",РАСЧЕТ!D2773,"/",РАСЧЕТ!E2773,"/",F2773,"/",H2779),'Ведомость расчета мин. платы'!$AE$10:$AE$214,0),3),"")</f>
        <v/>
      </c>
      <c r="K2779" s="248" t="str">
        <f ca="1">IFERROR(INDEX('Ведомость расчета мин. платы'!$J$10:$AE$214,MATCH(CONCATENATE(РАСЧЕТ!B2773,"/",РАСЧЕТ!D2773,"/",РАСЧЕТ!E2773,"/",F2773,"/",H2779),'Ведомость расчета мин. платы'!$AE$10:$AE$214,0),4),"")</f>
        <v/>
      </c>
      <c r="L2779" s="248">
        <f t="shared" ca="1" si="1262"/>
        <v>0</v>
      </c>
      <c r="M2779" s="248" t="str">
        <f ca="1">IFERROR(INDEX('Ведомость расчета мин. платы'!$J$10:$AE$214,MATCH(CONCATENATE(РАСЧЕТ!B2773,"/",РАСЧЕТ!D2773,"/",РАСЧЕТ!E2773,"/",F2773,"/",H2779),'Ведомость расчета мин. платы'!$AE$10:$AE$214,0),6),"")</f>
        <v/>
      </c>
      <c r="N2779" s="214">
        <f t="shared" ca="1" si="1263"/>
        <v>0</v>
      </c>
      <c r="O2779" s="229">
        <f t="shared" si="1265"/>
        <v>1</v>
      </c>
      <c r="P2779" s="230">
        <f t="shared" si="1261"/>
        <v>0</v>
      </c>
      <c r="AP2779" s="242"/>
      <c r="AQ2779" s="253"/>
    </row>
    <row r="2780" spans="1:43" x14ac:dyDescent="0.2">
      <c r="B2780" s="249"/>
      <c r="C2780" s="249"/>
      <c r="D2780" s="249"/>
      <c r="E2780" s="249"/>
      <c r="F2780" s="249"/>
      <c r="G2780" s="249"/>
      <c r="H2780" s="250" t="s">
        <v>475</v>
      </c>
      <c r="I2780" s="251" t="str">
        <f ca="1">IFERROR(ROUND(I2779*I2772,2),"")</f>
        <v/>
      </c>
      <c r="J2780" s="251" t="str">
        <f ca="1">IFERROR(ROUND(J2779*J2770,2),"")</f>
        <v/>
      </c>
      <c r="K2780" s="251" t="str">
        <f ca="1">IFERROR(ROUND(K2779*K2770,2),"")</f>
        <v/>
      </c>
      <c r="L2780" s="251">
        <f t="shared" ca="1" si="1262"/>
        <v>0</v>
      </c>
      <c r="M2780" s="251" t="str">
        <f ca="1">IFERROR(ROUND(M2779*M2770,2),"")</f>
        <v/>
      </c>
      <c r="N2780" s="252">
        <f t="shared" ca="1" si="1263"/>
        <v>0</v>
      </c>
      <c r="O2780" s="229" t="str">
        <f t="shared" si="1265"/>
        <v/>
      </c>
      <c r="P2780" s="230">
        <f t="shared" si="1261"/>
        <v>0</v>
      </c>
      <c r="AP2780" s="242">
        <f ca="1">SUMIFS('Ведомость расчета мин. платы'!$S$10:$S$209,'Ведомость расчета мин. платы'!$AE$10:$AE$209,CONCATENATE(B2773,"/",D2773,"/",E2773,"/",F2773,"/",H2779))</f>
        <v>0</v>
      </c>
      <c r="AQ2780" s="253">
        <f t="shared" ref="AQ2780" ca="1" si="1273">AP2780-N2780</f>
        <v>0</v>
      </c>
    </row>
    <row r="2781" spans="1:43" x14ac:dyDescent="0.2">
      <c r="B2781" s="249"/>
      <c r="C2781" s="249"/>
      <c r="D2781" s="249"/>
      <c r="E2781" s="249"/>
      <c r="F2781" s="249"/>
      <c r="G2781" s="249"/>
      <c r="H2781" s="205" t="s">
        <v>40</v>
      </c>
      <c r="I2781" s="248" t="str">
        <f ca="1">IFERROR(INDEX('Ведомость расчета мин. платы'!$J$10:$AE$214,MATCH(CONCATENATE(РАСЧЕТ!B2773,"/",РАСЧЕТ!D2773,"/",РАСЧЕТ!E2773,"/",F2773,"/",H2781),'Ведомость расчета мин. платы'!$AE$10:$AE$214,0),2),"")</f>
        <v/>
      </c>
      <c r="J2781" s="248" t="str">
        <f ca="1">IFERROR(INDEX('Ведомость расчета мин. платы'!$J$10:$AE$214,MATCH(CONCATENATE(РАСЧЕТ!B2773,"/",РАСЧЕТ!D2773,"/",РАСЧЕТ!E2773,"/",F2773,"/",H2781),'Ведомость расчета мин. платы'!$AE$10:$AE$214,0),3),"")</f>
        <v/>
      </c>
      <c r="K2781" s="248" t="str">
        <f ca="1">IFERROR(INDEX('Ведомость расчета мин. платы'!$J$10:$AE$214,MATCH(CONCATENATE(РАСЧЕТ!B2773,"/",РАСЧЕТ!D2773,"/",РАСЧЕТ!E2773,"/",F2773,"/",H2781),'Ведомость расчета мин. платы'!$AE$10:$AE$214,0),4),"")</f>
        <v/>
      </c>
      <c r="L2781" s="248">
        <f t="shared" ca="1" si="1262"/>
        <v>0</v>
      </c>
      <c r="M2781" s="248" t="str">
        <f ca="1">IFERROR(INDEX('Ведомость расчета мин. платы'!$J$10:$AE$214,MATCH(CONCATENATE(РАСЧЕТ!B2773,"/",РАСЧЕТ!D2773,"/",РАСЧЕТ!E2773,"/",F2773,"/",H2781),'Ведомость расчета мин. платы'!$AE$10:$AE$214,0),6),"")</f>
        <v/>
      </c>
      <c r="N2781" s="214">
        <f t="shared" ca="1" si="1263"/>
        <v>0</v>
      </c>
      <c r="O2781" s="229">
        <f t="shared" si="1265"/>
        <v>1</v>
      </c>
      <c r="P2781" s="230">
        <f t="shared" si="1261"/>
        <v>0</v>
      </c>
      <c r="AP2781" s="242"/>
      <c r="AQ2781" s="253"/>
    </row>
    <row r="2782" spans="1:43" x14ac:dyDescent="0.2">
      <c r="B2782" s="249"/>
      <c r="C2782" s="249"/>
      <c r="D2782" s="249"/>
      <c r="E2782" s="249"/>
      <c r="F2782" s="249"/>
      <c r="G2782" s="249"/>
      <c r="H2782" s="250" t="s">
        <v>475</v>
      </c>
      <c r="I2782" s="251" t="str">
        <f ca="1">IFERROR(ROUND(I2781*I2771,2),"")</f>
        <v/>
      </c>
      <c r="J2782" s="251" t="str">
        <f t="shared" ref="J2782:K2782" ca="1" si="1274">IFERROR(ROUND(J2781*J2771,2),"")</f>
        <v/>
      </c>
      <c r="K2782" s="251" t="str">
        <f t="shared" ca="1" si="1274"/>
        <v/>
      </c>
      <c r="L2782" s="251">
        <f t="shared" ca="1" si="1262"/>
        <v>0</v>
      </c>
      <c r="M2782" s="251" t="str">
        <f t="shared" ref="M2782" ca="1" si="1275">IFERROR(ROUND(M2781*M2771,2),"")</f>
        <v/>
      </c>
      <c r="N2782" s="252">
        <f t="shared" ca="1" si="1263"/>
        <v>0</v>
      </c>
      <c r="O2782" s="229" t="str">
        <f t="shared" si="1265"/>
        <v/>
      </c>
      <c r="P2782" s="230">
        <f t="shared" si="1261"/>
        <v>0</v>
      </c>
      <c r="AP2782" s="242">
        <f ca="1">SUMIFS('Ведомость расчета мин. платы'!$S$10:$S$209,'Ведомость расчета мин. платы'!$AE$10:$AE$209,CONCATENATE(B2773,"/",D2773,"/",E2773,"/",F2773,"/",H2781))</f>
        <v>0</v>
      </c>
      <c r="AQ2782" s="253">
        <f t="shared" ref="AQ2782" ca="1" si="1276">AP2782-N2782</f>
        <v>0</v>
      </c>
    </row>
    <row r="2783" spans="1:43" x14ac:dyDescent="0.2">
      <c r="B2783" s="249"/>
      <c r="C2783" s="249"/>
      <c r="D2783" s="249"/>
      <c r="E2783" s="249"/>
      <c r="F2783" s="249"/>
      <c r="G2783" s="249"/>
      <c r="H2783" s="205" t="s">
        <v>18</v>
      </c>
      <c r="I2783" s="248">
        <f ca="1">IFERROR(INDEX('Ведомость расчета мин. платы'!$J$10:$AE$214,MATCH(CONCATENATE(РАСЧЕТ!B2773,"/",РАСЧЕТ!D2773,"/",РАСЧЕТ!E2773,"/",F2773,"/",H2783),'Ведомость расчета мин. платы'!$AE$10:$AE$214,0),2),"")</f>
        <v>59.09</v>
      </c>
      <c r="J2783" s="248">
        <f ca="1">IFERROR(INDEX('Ведомость расчета мин. платы'!$J$10:$AE$214,MATCH(CONCATENATE(РАСЧЕТ!B2773,"/",РАСЧЕТ!D2773,"/",РАСЧЕТ!E2773,"/",F2773,"/",H2783),'Ведомость расчета мин. платы'!$AE$10:$AE$214,0),3),"")</f>
        <v>73.3</v>
      </c>
      <c r="K2783" s="248">
        <f ca="1">IFERROR(INDEX('Ведомость расчета мин. платы'!$J$10:$AE$214,MATCH(CONCATENATE(РАСЧЕТ!B2773,"/",РАСЧЕТ!D2773,"/",РАСЧЕТ!E2773,"/",F2773,"/",H2783),'Ведомость расчета мин. платы'!$AE$10:$AE$214,0),4),"")</f>
        <v>0</v>
      </c>
      <c r="L2783" s="248">
        <f t="shared" ca="1" si="1262"/>
        <v>132.38999999999999</v>
      </c>
      <c r="M2783" s="248">
        <f ca="1">IFERROR(INDEX('Ведомость расчета мин. платы'!$J$10:$AE$214,MATCH(CONCATENATE(РАСЧЕТ!B2773,"/",РАСЧЕТ!D2773,"/",РАСЧЕТ!E2773,"/",F2773,"/",H2783),'Ведомость расчета мин. платы'!$AE$10:$AE$214,0),6),"")</f>
        <v>188.14</v>
      </c>
      <c r="N2783" s="214">
        <f t="shared" ca="1" si="1263"/>
        <v>320.52999999999997</v>
      </c>
      <c r="O2783" s="229">
        <f t="shared" si="1265"/>
        <v>1</v>
      </c>
      <c r="P2783" s="230">
        <f t="shared" si="1261"/>
        <v>0</v>
      </c>
      <c r="AP2783" s="242"/>
      <c r="AQ2783" s="253"/>
    </row>
    <row r="2784" spans="1:43" x14ac:dyDescent="0.2">
      <c r="B2784" s="249"/>
      <c r="C2784" s="249"/>
      <c r="D2784" s="249"/>
      <c r="E2784" s="249"/>
      <c r="F2784" s="249"/>
      <c r="G2784" s="249"/>
      <c r="H2784" s="250" t="s">
        <v>475</v>
      </c>
      <c r="I2784" s="251">
        <f ca="1">IFERROR(ROUND(I2783*I2772,2),"")</f>
        <v>1349.02</v>
      </c>
      <c r="J2784" s="251">
        <f t="shared" ref="J2784:K2784" ca="1" si="1277">IFERROR(ROUND(J2783*J2772,2),"")</f>
        <v>1276.1500000000001</v>
      </c>
      <c r="K2784" s="251">
        <f t="shared" ca="1" si="1277"/>
        <v>0</v>
      </c>
      <c r="L2784" s="251">
        <f t="shared" ca="1" si="1262"/>
        <v>2625.17</v>
      </c>
      <c r="M2784" s="251">
        <f t="shared" ref="M2784" ca="1" si="1278">IFERROR(ROUND(M2783*M2772,2),"")</f>
        <v>107.24</v>
      </c>
      <c r="N2784" s="252">
        <f t="shared" ca="1" si="1263"/>
        <v>2732.41</v>
      </c>
      <c r="O2784" s="229" t="str">
        <f t="shared" si="1265"/>
        <v/>
      </c>
      <c r="P2784" s="230">
        <f t="shared" si="1261"/>
        <v>0</v>
      </c>
      <c r="AP2784" s="242">
        <f ca="1">SUMIFS('Ведомость расчета мин. платы'!$S$10:$S$209,'Ведомость расчета мин. платы'!$AE$10:$AE$209,CONCATENATE(B2773,"/",D2773,"/",E2773,"/",F2773,"/",H2783))</f>
        <v>2732.41</v>
      </c>
      <c r="AQ2784" s="253">
        <f t="shared" ref="AQ2784" ca="1" si="1279">AP2784-N2784</f>
        <v>0</v>
      </c>
    </row>
    <row r="2785" spans="2:43" x14ac:dyDescent="0.2">
      <c r="B2785" s="249"/>
      <c r="C2785" s="249"/>
      <c r="D2785" s="249"/>
      <c r="E2785" s="249"/>
      <c r="F2785" s="249"/>
      <c r="G2785" s="249"/>
      <c r="H2785" s="254" t="s">
        <v>476</v>
      </c>
      <c r="I2785" s="251">
        <f ca="1">SUMIF($O2773:$O2786,1,I2773:I2784)</f>
        <v>119.85</v>
      </c>
      <c r="J2785" s="251">
        <f ca="1">SUMIF($O2773:$O2786,1,J2773:J2784)</f>
        <v>213.88</v>
      </c>
      <c r="K2785" s="251">
        <f ca="1">SUMIF($O2773:$O2786,1,K2773:K2784)</f>
        <v>7.92</v>
      </c>
      <c r="L2785" s="251">
        <f t="shared" ca="1" si="1262"/>
        <v>341.65000000000003</v>
      </c>
      <c r="M2785" s="251">
        <f ca="1">SUMIF($O2773:$O2786,1,M2773:M2784)</f>
        <v>558.57999999999993</v>
      </c>
      <c r="N2785" s="252">
        <f t="shared" ca="1" si="1263"/>
        <v>900.23</v>
      </c>
      <c r="AP2785" s="242"/>
      <c r="AQ2785" s="253"/>
    </row>
    <row r="2786" spans="2:43" x14ac:dyDescent="0.2">
      <c r="B2786" s="249"/>
      <c r="C2786" s="249"/>
      <c r="D2786" s="249"/>
      <c r="E2786" s="249"/>
      <c r="F2786" s="249"/>
      <c r="G2786" s="249"/>
      <c r="H2786" s="254" t="s">
        <v>491</v>
      </c>
      <c r="I2786" s="251">
        <f ca="1">SUMIF(H2773:H2784,"стоимость",I2773:I2784)</f>
        <v>8649.33</v>
      </c>
      <c r="J2786" s="251">
        <f ca="1">SUMIF(H2773:H2784,"стоимость",J2773:J2784)</f>
        <v>13312.609999999999</v>
      </c>
      <c r="K2786" s="251">
        <f ca="1">SUMIF(H2773:H2784,"стоимость",K2773:K2784)</f>
        <v>343.57</v>
      </c>
      <c r="L2786" s="251">
        <f ca="1">IFERROR(SUM(I2786:K2786),"")</f>
        <v>22305.51</v>
      </c>
      <c r="M2786" s="251">
        <f ca="1">SUMIF(H2773:H2784,"стоимость",M2773:M2784)</f>
        <v>2644.760000000002</v>
      </c>
      <c r="N2786" s="252">
        <f ca="1">IFERROR(SUM(L2786:M2786),"")</f>
        <v>24950.27</v>
      </c>
      <c r="AP2786" s="242">
        <f ca="1">SUMIFS('Ведомость расчета мин. платы'!$S$10:$S$209,'Ведомость расчета мин. платы'!$J$10:$J$209,"Итого",'Ведомость расчета мин. платы'!$AC$10:$AC$209,CONCATENATE(B2773,"/",D2773,"/",E2773,"/",F2773))</f>
        <v>24950.27</v>
      </c>
      <c r="AQ2786" s="253">
        <f ca="1">AP2786-N2786</f>
        <v>0</v>
      </c>
    </row>
    <row r="2787" spans="2:43" x14ac:dyDescent="0.2">
      <c r="B2787" s="255"/>
      <c r="C2787" s="255"/>
      <c r="D2787" s="255"/>
      <c r="E2787" s="255"/>
      <c r="F2787" s="255"/>
      <c r="G2787" s="256"/>
      <c r="H2787" s="257"/>
      <c r="I2787" s="258"/>
      <c r="J2787" s="258"/>
      <c r="K2787" s="258"/>
      <c r="L2787" s="258"/>
      <c r="M2787" s="258"/>
      <c r="N2787" s="258"/>
      <c r="P2787" s="230">
        <f t="shared" ref="P2787:P2805" si="1280">IF(A2787&gt;0,1,0)</f>
        <v>0</v>
      </c>
    </row>
    <row r="2788" spans="2:43" x14ac:dyDescent="0.2">
      <c r="B2788" s="282" t="s">
        <v>477</v>
      </c>
      <c r="C2788" s="282"/>
      <c r="D2788" s="282"/>
      <c r="E2788" s="282"/>
      <c r="F2788" s="259"/>
      <c r="G2788" s="225"/>
      <c r="H2788" s="201"/>
      <c r="I2788" s="226"/>
      <c r="J2788" s="258"/>
      <c r="K2788" s="258"/>
      <c r="L2788" s="258"/>
      <c r="M2788" s="258"/>
      <c r="N2788" s="258"/>
      <c r="P2788" s="230">
        <f t="shared" si="1280"/>
        <v>0</v>
      </c>
    </row>
    <row r="2789" spans="2:43" x14ac:dyDescent="0.2">
      <c r="B2789" s="283" t="s">
        <v>525</v>
      </c>
      <c r="C2789" s="283"/>
      <c r="D2789" s="283"/>
      <c r="E2789" s="283"/>
      <c r="F2789" s="283"/>
      <c r="G2789" s="283"/>
      <c r="H2789" s="283"/>
      <c r="I2789" s="283"/>
      <c r="J2789" s="261"/>
      <c r="K2789" s="261"/>
      <c r="L2789" s="261"/>
      <c r="M2789" s="261"/>
      <c r="N2789" s="261"/>
      <c r="P2789" s="230">
        <f t="shared" si="1280"/>
        <v>0</v>
      </c>
    </row>
    <row r="2790" spans="2:43" x14ac:dyDescent="0.2">
      <c r="B2790" s="284" t="s">
        <v>478</v>
      </c>
      <c r="C2790" s="284"/>
      <c r="D2790" s="284"/>
      <c r="E2790" s="284"/>
      <c r="F2790" s="284"/>
      <c r="G2790" s="284"/>
      <c r="H2790" s="284"/>
      <c r="I2790" s="284"/>
      <c r="J2790" s="258"/>
      <c r="K2790" s="258"/>
      <c r="L2790" s="258"/>
      <c r="M2790" s="258"/>
      <c r="N2790" s="258"/>
      <c r="P2790" s="230">
        <f t="shared" si="1280"/>
        <v>0</v>
      </c>
    </row>
    <row r="2791" spans="2:43" x14ac:dyDescent="0.2">
      <c r="B2791" s="284" t="s">
        <v>479</v>
      </c>
      <c r="C2791" s="284"/>
      <c r="D2791" s="284"/>
      <c r="E2791" s="284"/>
      <c r="F2791" s="284"/>
      <c r="G2791" s="284"/>
      <c r="H2791" s="284"/>
      <c r="I2791" s="284"/>
      <c r="J2791" s="258"/>
      <c r="K2791" s="258"/>
      <c r="L2791" s="258"/>
      <c r="M2791" s="258"/>
      <c r="N2791" s="258"/>
      <c r="P2791" s="230">
        <f t="shared" si="1280"/>
        <v>0</v>
      </c>
    </row>
    <row r="2792" spans="2:43" x14ac:dyDescent="0.2">
      <c r="B2792" s="284" t="s">
        <v>480</v>
      </c>
      <c r="C2792" s="284"/>
      <c r="D2792" s="284"/>
      <c r="E2792" s="284"/>
      <c r="F2792" s="284"/>
      <c r="G2792" s="284"/>
      <c r="H2792" s="284"/>
      <c r="I2792" s="284"/>
      <c r="J2792" s="258"/>
      <c r="K2792" s="258"/>
      <c r="L2792" s="258"/>
      <c r="M2792" s="258"/>
      <c r="N2792" s="258"/>
      <c r="P2792" s="230">
        <f t="shared" si="1280"/>
        <v>0</v>
      </c>
    </row>
    <row r="2793" spans="2:43" x14ac:dyDescent="0.2">
      <c r="B2793" s="284" t="s">
        <v>481</v>
      </c>
      <c r="C2793" s="284"/>
      <c r="D2793" s="284"/>
      <c r="E2793" s="284"/>
      <c r="F2793" s="284"/>
      <c r="G2793" s="284"/>
      <c r="H2793" s="284"/>
      <c r="I2793" s="284"/>
      <c r="J2793" s="226"/>
      <c r="K2793" s="226"/>
      <c r="L2793" s="226"/>
      <c r="M2793" s="226"/>
      <c r="N2793" s="226"/>
      <c r="P2793" s="230">
        <f t="shared" si="1280"/>
        <v>0</v>
      </c>
    </row>
    <row r="2794" spans="2:43" x14ac:dyDescent="0.2">
      <c r="B2794" s="284" t="s">
        <v>482</v>
      </c>
      <c r="C2794" s="284"/>
      <c r="D2794" s="284"/>
      <c r="E2794" s="284"/>
      <c r="F2794" s="284"/>
      <c r="G2794" s="284"/>
      <c r="H2794" s="284"/>
      <c r="I2794" s="284"/>
      <c r="J2794" s="226"/>
      <c r="K2794" s="226"/>
      <c r="L2794" s="226"/>
      <c r="M2794" s="226"/>
      <c r="N2794" s="226"/>
      <c r="P2794" s="230">
        <f t="shared" si="1280"/>
        <v>0</v>
      </c>
    </row>
    <row r="2795" spans="2:43" x14ac:dyDescent="0.2">
      <c r="B2795" s="284" t="s">
        <v>483</v>
      </c>
      <c r="C2795" s="284"/>
      <c r="D2795" s="284"/>
      <c r="E2795" s="284"/>
      <c r="F2795" s="284"/>
      <c r="G2795" s="284"/>
      <c r="H2795" s="284"/>
      <c r="I2795" s="284"/>
      <c r="J2795" s="226"/>
      <c r="K2795" s="226"/>
      <c r="L2795" s="226"/>
      <c r="M2795" s="226"/>
      <c r="N2795" s="226"/>
      <c r="P2795" s="230">
        <f t="shared" si="1280"/>
        <v>0</v>
      </c>
    </row>
    <row r="2796" spans="2:43" x14ac:dyDescent="0.2">
      <c r="B2796" s="284" t="s">
        <v>484</v>
      </c>
      <c r="C2796" s="284"/>
      <c r="D2796" s="284"/>
      <c r="E2796" s="284"/>
      <c r="F2796" s="284"/>
      <c r="G2796" s="284"/>
      <c r="H2796" s="284"/>
      <c r="I2796" s="284"/>
      <c r="J2796" s="226"/>
      <c r="K2796" s="226"/>
      <c r="L2796" s="226"/>
      <c r="M2796" s="226"/>
      <c r="N2796" s="226"/>
      <c r="P2796" s="230">
        <f t="shared" si="1280"/>
        <v>0</v>
      </c>
    </row>
    <row r="2797" spans="2:43" x14ac:dyDescent="0.2">
      <c r="B2797" s="264"/>
      <c r="C2797" s="264"/>
      <c r="D2797" s="264"/>
      <c r="E2797" s="264"/>
      <c r="F2797" s="264"/>
      <c r="G2797" s="264"/>
      <c r="H2797" s="264"/>
      <c r="I2797" s="265"/>
      <c r="J2797" s="226"/>
      <c r="K2797" s="226"/>
      <c r="L2797" s="226"/>
      <c r="M2797" s="226"/>
      <c r="N2797" s="226"/>
      <c r="P2797" s="230">
        <f t="shared" si="1280"/>
        <v>0</v>
      </c>
    </row>
    <row r="2798" spans="2:43" x14ac:dyDescent="0.2">
      <c r="B2798" s="225" t="s">
        <v>485</v>
      </c>
      <c r="C2798" s="225"/>
      <c r="D2798" s="225"/>
      <c r="E2798" s="225"/>
      <c r="F2798" s="225"/>
      <c r="G2798" s="225"/>
      <c r="H2798" s="201"/>
      <c r="I2798" s="226"/>
      <c r="J2798" s="226" t="s">
        <v>486</v>
      </c>
      <c r="K2798" s="226"/>
      <c r="L2798" s="226"/>
      <c r="M2798" s="226"/>
      <c r="N2798" s="226"/>
      <c r="P2798" s="230">
        <f t="shared" si="1280"/>
        <v>0</v>
      </c>
    </row>
    <row r="2799" spans="2:43" x14ac:dyDescent="0.2">
      <c r="B2799" s="266" t="s">
        <v>524</v>
      </c>
      <c r="C2799" s="266"/>
      <c r="D2799" s="225"/>
      <c r="E2799" s="225"/>
      <c r="F2799" s="225"/>
      <c r="G2799" s="225"/>
      <c r="H2799" s="201"/>
      <c r="I2799" s="226"/>
      <c r="J2799" s="267"/>
      <c r="K2799" s="267"/>
      <c r="L2799" s="267"/>
      <c r="M2799" s="226"/>
      <c r="N2799" s="226"/>
      <c r="P2799" s="230">
        <f t="shared" si="1280"/>
        <v>0</v>
      </c>
    </row>
    <row r="2800" spans="2:43" x14ac:dyDescent="0.2">
      <c r="B2800" s="268" t="s">
        <v>487</v>
      </c>
      <c r="C2800" s="225"/>
      <c r="D2800" s="225"/>
      <c r="E2800" s="225"/>
      <c r="F2800" s="225"/>
      <c r="G2800" s="225"/>
      <c r="H2800" s="201"/>
      <c r="I2800" s="226"/>
      <c r="J2800" s="226" t="s">
        <v>487</v>
      </c>
      <c r="K2800" s="226"/>
      <c r="L2800" s="226"/>
      <c r="M2800" s="226"/>
      <c r="N2800" s="226"/>
      <c r="P2800" s="230">
        <f t="shared" si="1280"/>
        <v>0</v>
      </c>
    </row>
    <row r="2801" spans="1:16" x14ac:dyDescent="0.2">
      <c r="B2801" s="225"/>
      <c r="C2801" s="225"/>
      <c r="D2801" s="225"/>
      <c r="E2801" s="225"/>
      <c r="F2801" s="225"/>
      <c r="G2801" s="225"/>
      <c r="H2801" s="201"/>
      <c r="I2801" s="226"/>
      <c r="J2801" s="226"/>
      <c r="K2801" s="226"/>
      <c r="L2801" s="226"/>
      <c r="M2801" s="226"/>
      <c r="N2801" s="226"/>
      <c r="P2801" s="230">
        <f t="shared" si="1280"/>
        <v>0</v>
      </c>
    </row>
    <row r="2802" spans="1:16" x14ac:dyDescent="0.2">
      <c r="B2802" s="266"/>
      <c r="C2802" s="266"/>
      <c r="D2802" s="225"/>
      <c r="E2802" s="225"/>
      <c r="F2802" s="225"/>
      <c r="G2802" s="225"/>
      <c r="H2802" s="201"/>
      <c r="I2802" s="226"/>
      <c r="J2802" s="267"/>
      <c r="K2802" s="267"/>
      <c r="L2802" s="267"/>
      <c r="M2802" s="226"/>
      <c r="N2802" s="226"/>
      <c r="P2802" s="230">
        <f t="shared" si="1280"/>
        <v>0</v>
      </c>
    </row>
    <row r="2803" spans="1:16" x14ac:dyDescent="0.2">
      <c r="B2803" s="269" t="s">
        <v>488</v>
      </c>
      <c r="C2803" s="225"/>
      <c r="D2803" s="225"/>
      <c r="E2803" s="225"/>
      <c r="F2803" s="225"/>
      <c r="G2803" s="225"/>
      <c r="H2803" s="201"/>
      <c r="I2803" s="226"/>
      <c r="J2803" s="285" t="s">
        <v>488</v>
      </c>
      <c r="K2803" s="285"/>
      <c r="L2803" s="285"/>
      <c r="M2803" s="226"/>
      <c r="N2803" s="226"/>
      <c r="P2803" s="230">
        <f t="shared" si="1280"/>
        <v>0</v>
      </c>
    </row>
    <row r="2804" spans="1:16" x14ac:dyDescent="0.2">
      <c r="B2804" s="225"/>
      <c r="C2804" s="225"/>
      <c r="D2804" s="225"/>
      <c r="E2804" s="225"/>
      <c r="F2804" s="225"/>
      <c r="G2804" s="225"/>
      <c r="H2804" s="201"/>
      <c r="I2804" s="226"/>
      <c r="J2804" s="226"/>
      <c r="K2804" s="226"/>
      <c r="L2804" s="226"/>
      <c r="M2804" s="226"/>
      <c r="N2804" s="226"/>
      <c r="P2804" s="230">
        <f t="shared" si="1280"/>
        <v>0</v>
      </c>
    </row>
    <row r="2805" spans="1:16" x14ac:dyDescent="0.2">
      <c r="B2805" s="264" t="s">
        <v>489</v>
      </c>
      <c r="C2805" s="225"/>
      <c r="D2805" s="225"/>
      <c r="E2805" s="225"/>
      <c r="F2805" s="225"/>
      <c r="G2805" s="225"/>
      <c r="H2805" s="201"/>
      <c r="I2805" s="226"/>
      <c r="J2805" s="226" t="s">
        <v>489</v>
      </c>
      <c r="K2805" s="226"/>
      <c r="L2805" s="226"/>
      <c r="M2805" s="226"/>
      <c r="N2805" s="226"/>
      <c r="P2805" s="230">
        <f t="shared" si="1280"/>
        <v>0</v>
      </c>
    </row>
    <row r="2806" spans="1:16" x14ac:dyDescent="0.2">
      <c r="B2806" s="264"/>
      <c r="C2806" s="225"/>
      <c r="D2806" s="225"/>
      <c r="E2806" s="225"/>
      <c r="F2806" s="225"/>
      <c r="G2806" s="225"/>
      <c r="H2806" s="201"/>
      <c r="I2806" s="226"/>
      <c r="J2806" s="226"/>
      <c r="K2806" s="226"/>
      <c r="L2806" s="226"/>
      <c r="M2806" s="226"/>
      <c r="N2806" s="226"/>
    </row>
    <row r="2807" spans="1:16" x14ac:dyDescent="0.2">
      <c r="A2807" s="260"/>
      <c r="B2807" s="225"/>
      <c r="C2807" s="225"/>
      <c r="D2807" s="225"/>
      <c r="E2807" s="225"/>
      <c r="F2807" s="225"/>
      <c r="G2807" s="225"/>
      <c r="H2807" s="201"/>
      <c r="I2807" s="226"/>
      <c r="J2807" s="226"/>
      <c r="K2807" s="226"/>
      <c r="M2807" s="226"/>
      <c r="N2807" s="228" t="s">
        <v>455</v>
      </c>
      <c r="P2807" s="230">
        <f t="shared" ref="P2807:P2824" si="1281">IF(A2807&gt;0,1,0)</f>
        <v>0</v>
      </c>
    </row>
    <row r="2808" spans="1:16" x14ac:dyDescent="0.2">
      <c r="B2808" s="225"/>
      <c r="C2808" s="225"/>
      <c r="D2808" s="225"/>
      <c r="E2808" s="225"/>
      <c r="F2808" s="225"/>
      <c r="G2808" s="225"/>
      <c r="H2808" s="201"/>
      <c r="I2808" s="226"/>
      <c r="J2808" s="226"/>
      <c r="K2808" s="226"/>
      <c r="M2808" s="226"/>
      <c r="N2808" s="228" t="s">
        <v>456</v>
      </c>
      <c r="P2808" s="230">
        <f t="shared" si="1281"/>
        <v>0</v>
      </c>
    </row>
    <row r="2809" spans="1:16" x14ac:dyDescent="0.2">
      <c r="B2809" s="225"/>
      <c r="C2809" s="225"/>
      <c r="D2809" s="225"/>
      <c r="E2809" s="225"/>
      <c r="F2809" s="225"/>
      <c r="G2809" s="225"/>
      <c r="H2809" s="201"/>
      <c r="I2809" s="226"/>
      <c r="J2809" s="226"/>
      <c r="K2809" s="226"/>
      <c r="M2809" s="226"/>
      <c r="N2809" s="228" t="s">
        <v>457</v>
      </c>
      <c r="P2809" s="230">
        <f t="shared" si="1281"/>
        <v>0</v>
      </c>
    </row>
    <row r="2810" spans="1:16" x14ac:dyDescent="0.2">
      <c r="B2810" s="225"/>
      <c r="C2810" s="225"/>
      <c r="D2810" s="225"/>
      <c r="E2810" s="225"/>
      <c r="F2810" s="225"/>
      <c r="G2810" s="225"/>
      <c r="H2810" s="201"/>
      <c r="I2810" s="226"/>
      <c r="J2810" s="226"/>
      <c r="K2810" s="226"/>
      <c r="L2810" s="226"/>
      <c r="M2810" s="226"/>
      <c r="N2810" s="226"/>
      <c r="P2810" s="230">
        <f t="shared" si="1281"/>
        <v>0</v>
      </c>
    </row>
    <row r="2811" spans="1:16" x14ac:dyDescent="0.2">
      <c r="B2811" s="225"/>
      <c r="C2811" s="286" t="s">
        <v>458</v>
      </c>
      <c r="D2811" s="286"/>
      <c r="E2811" s="286"/>
      <c r="F2811" s="286"/>
      <c r="G2811" s="286"/>
      <c r="H2811" s="286"/>
      <c r="I2811" s="286"/>
      <c r="J2811" s="286"/>
      <c r="K2811" s="286"/>
      <c r="L2811" s="286"/>
      <c r="M2811" s="226"/>
      <c r="N2811" s="226"/>
      <c r="P2811" s="230">
        <f t="shared" si="1281"/>
        <v>0</v>
      </c>
    </row>
    <row r="2812" spans="1:16" x14ac:dyDescent="0.2">
      <c r="B2812" s="225"/>
      <c r="C2812" s="286" t="s">
        <v>459</v>
      </c>
      <c r="D2812" s="286"/>
      <c r="E2812" s="286"/>
      <c r="F2812" s="286"/>
      <c r="G2812" s="286"/>
      <c r="H2812" s="286"/>
      <c r="I2812" s="286"/>
      <c r="J2812" s="286"/>
      <c r="K2812" s="286"/>
      <c r="L2812" s="286"/>
      <c r="M2812" s="226"/>
      <c r="N2812" s="226"/>
      <c r="P2812" s="230">
        <f t="shared" si="1281"/>
        <v>0</v>
      </c>
    </row>
    <row r="2813" spans="1:16" x14ac:dyDescent="0.2">
      <c r="B2813" s="225" t="s">
        <v>460</v>
      </c>
      <c r="C2813" s="234"/>
      <c r="D2813" s="234"/>
      <c r="E2813" s="234"/>
      <c r="F2813" s="234"/>
      <c r="G2813" s="234"/>
      <c r="H2813" s="234"/>
      <c r="I2813" s="235"/>
      <c r="J2813" s="235"/>
      <c r="K2813" s="235"/>
      <c r="L2813" s="287" t="s">
        <v>461</v>
      </c>
      <c r="M2813" s="287"/>
      <c r="N2813" s="287"/>
      <c r="P2813" s="230">
        <f t="shared" si="1281"/>
        <v>0</v>
      </c>
    </row>
    <row r="2814" spans="1:16" x14ac:dyDescent="0.2">
      <c r="B2814" s="225"/>
      <c r="C2814" s="234"/>
      <c r="D2814" s="234"/>
      <c r="E2814" s="234"/>
      <c r="F2814" s="234"/>
      <c r="G2814" s="234"/>
      <c r="H2814" s="234"/>
      <c r="I2814" s="235"/>
      <c r="J2814" s="235"/>
      <c r="K2814" s="235"/>
      <c r="L2814" s="235"/>
      <c r="M2814" s="235"/>
      <c r="N2814" s="235"/>
      <c r="P2814" s="230">
        <f t="shared" si="1281"/>
        <v>0</v>
      </c>
    </row>
    <row r="2815" spans="1:16" x14ac:dyDescent="0.2">
      <c r="B2815" s="225" t="s">
        <v>2038</v>
      </c>
      <c r="C2815" s="234"/>
      <c r="D2815" s="234"/>
      <c r="E2815" s="234"/>
      <c r="F2815" s="234"/>
      <c r="G2815" s="234"/>
      <c r="H2815" s="234"/>
      <c r="I2815" s="235"/>
      <c r="J2815" s="235"/>
      <c r="K2815" s="235"/>
      <c r="L2815" s="235"/>
      <c r="M2815" s="235"/>
      <c r="N2815" s="235"/>
      <c r="P2815" s="230">
        <f t="shared" si="1281"/>
        <v>0</v>
      </c>
    </row>
    <row r="2816" spans="1:16" x14ac:dyDescent="0.2">
      <c r="B2816" s="225" t="s">
        <v>462</v>
      </c>
      <c r="C2816" s="234"/>
      <c r="D2816" s="234"/>
      <c r="E2816" s="234"/>
      <c r="F2816" s="234"/>
      <c r="G2816" s="234"/>
      <c r="H2816" s="234"/>
      <c r="I2816" s="235"/>
      <c r="J2816" s="235"/>
      <c r="K2816" s="235"/>
      <c r="L2816" s="235"/>
      <c r="M2816" s="235"/>
      <c r="N2816" s="235"/>
      <c r="P2816" s="230">
        <f t="shared" si="1281"/>
        <v>0</v>
      </c>
    </row>
    <row r="2817" spans="1:43" x14ac:dyDescent="0.2">
      <c r="B2817" s="225" t="s">
        <v>2037</v>
      </c>
      <c r="C2817" s="234"/>
      <c r="D2817" s="234"/>
      <c r="E2817" s="234"/>
      <c r="F2817" s="234"/>
      <c r="G2817" s="234"/>
      <c r="H2817" s="234"/>
      <c r="I2817" s="235"/>
      <c r="J2817" s="235"/>
      <c r="K2817" s="235"/>
      <c r="L2817" s="235"/>
      <c r="M2817" s="235"/>
      <c r="N2817" s="235"/>
      <c r="P2817" s="230">
        <f t="shared" si="1281"/>
        <v>0</v>
      </c>
    </row>
    <row r="2818" spans="1:43" x14ac:dyDescent="0.2">
      <c r="B2818" s="225" t="s">
        <v>2052</v>
      </c>
      <c r="C2818" s="234"/>
      <c r="D2818" s="234"/>
      <c r="E2818" s="234"/>
      <c r="F2818" s="234"/>
      <c r="G2818" s="234"/>
      <c r="H2818" s="234"/>
      <c r="I2818" s="235"/>
      <c r="J2818" s="235"/>
      <c r="K2818" s="235"/>
      <c r="L2818" s="235"/>
      <c r="M2818" s="235"/>
      <c r="N2818" s="235"/>
      <c r="P2818" s="230">
        <f t="shared" si="1281"/>
        <v>0</v>
      </c>
    </row>
    <row r="2819" spans="1:43" x14ac:dyDescent="0.2">
      <c r="B2819" s="225"/>
      <c r="C2819" s="225"/>
      <c r="D2819" s="225"/>
      <c r="E2819" s="225"/>
      <c r="F2819" s="225"/>
      <c r="G2819" s="225"/>
      <c r="H2819" s="201"/>
      <c r="I2819" s="226"/>
      <c r="J2819" s="226"/>
      <c r="K2819" s="226"/>
      <c r="L2819" s="226"/>
      <c r="M2819" s="226"/>
      <c r="N2819" s="226"/>
      <c r="P2819" s="230">
        <f t="shared" si="1281"/>
        <v>0</v>
      </c>
    </row>
    <row r="2820" spans="1:43" x14ac:dyDescent="0.2">
      <c r="B2820" s="288" t="s">
        <v>106</v>
      </c>
      <c r="C2820" s="290" t="s">
        <v>463</v>
      </c>
      <c r="D2820" s="288" t="s">
        <v>464</v>
      </c>
      <c r="E2820" s="288" t="s">
        <v>465</v>
      </c>
      <c r="F2820" s="288" t="s">
        <v>490</v>
      </c>
      <c r="G2820" s="288" t="s">
        <v>466</v>
      </c>
      <c r="H2820" s="292" t="s">
        <v>8</v>
      </c>
      <c r="I2820" s="294" t="s">
        <v>467</v>
      </c>
      <c r="J2820" s="295"/>
      <c r="K2820" s="295"/>
      <c r="L2820" s="296"/>
      <c r="M2820" s="297" t="s">
        <v>468</v>
      </c>
      <c r="N2820" s="299" t="s">
        <v>469</v>
      </c>
      <c r="P2820" s="230">
        <f t="shared" si="1281"/>
        <v>0</v>
      </c>
    </row>
    <row r="2821" spans="1:43" x14ac:dyDescent="0.2">
      <c r="B2821" s="289"/>
      <c r="C2821" s="291"/>
      <c r="D2821" s="289"/>
      <c r="E2821" s="289"/>
      <c r="F2821" s="289"/>
      <c r="G2821" s="289"/>
      <c r="H2821" s="293"/>
      <c r="I2821" s="236" t="s">
        <v>470</v>
      </c>
      <c r="J2821" s="236" t="s">
        <v>471</v>
      </c>
      <c r="K2821" s="236" t="s">
        <v>472</v>
      </c>
      <c r="L2821" s="236" t="s">
        <v>473</v>
      </c>
      <c r="M2821" s="298"/>
      <c r="N2821" s="300"/>
      <c r="P2821" s="230">
        <f t="shared" si="1281"/>
        <v>0</v>
      </c>
    </row>
    <row r="2822" spans="1:43" x14ac:dyDescent="0.2">
      <c r="A2822" s="224" t="str">
        <f>CONCATENATE("Лот"," ",A2823)</f>
        <v>Лот 52</v>
      </c>
      <c r="B2822" s="273" t="s">
        <v>2087</v>
      </c>
      <c r="C2822" s="274"/>
      <c r="D2822" s="274"/>
      <c r="E2822" s="274"/>
      <c r="F2822" s="274"/>
      <c r="G2822" s="275"/>
      <c r="H2822" s="238" t="s">
        <v>17</v>
      </c>
      <c r="I2822" s="270">
        <f ca="1">ROUND(VLOOKUP($H2822,$AJ$4:$AN$13,2,0)*$Q2824*1.51,2)</f>
        <v>114.43</v>
      </c>
      <c r="J2822" s="270">
        <f ca="1">ROUND(VLOOKUP($H2822,$AJ$4:$AN$13,3,0)*$Q2824*1.51,2)</f>
        <v>81.540000000000006</v>
      </c>
      <c r="K2822" s="270">
        <f ca="1">ROUND(VLOOKUP($H2822,$AJ$4:$AN$13,4,0)*$Q2824*1.51,2)</f>
        <v>41.31</v>
      </c>
      <c r="L2822" s="270"/>
      <c r="M2822" s="270">
        <f ca="1">ROUND(VLOOKUP($H2822,$AJ$4:$AN$13,5,0)*$Q2824*1.51,2)</f>
        <v>6.52</v>
      </c>
      <c r="N2822" s="270"/>
      <c r="P2822" s="230">
        <f t="shared" si="1281"/>
        <v>1</v>
      </c>
    </row>
    <row r="2823" spans="1:43" x14ac:dyDescent="0.2">
      <c r="A2823" s="224">
        <f>A2768+1</f>
        <v>52</v>
      </c>
      <c r="B2823" s="276"/>
      <c r="C2823" s="277"/>
      <c r="D2823" s="277"/>
      <c r="E2823" s="277"/>
      <c r="F2823" s="277"/>
      <c r="G2823" s="278"/>
      <c r="H2823" s="238" t="s">
        <v>25</v>
      </c>
      <c r="I2823" s="270">
        <f ca="1">ROUND(VLOOKUP($H2823,$AJ$4:$AN$13,2,0)*$Q2824*1.51,2)</f>
        <v>855.9</v>
      </c>
      <c r="J2823" s="270">
        <f ca="1">ROUND(VLOOKUP($H2823,$AJ$4:$AN$13,3,0)*$Q2824*1.51,2)</f>
        <v>611.54999999999995</v>
      </c>
      <c r="K2823" s="270">
        <f ca="1">ROUND(VLOOKUP($H2823,$AJ$4:$AN$13,4,0)*$Q2824*1.51,2)</f>
        <v>307.68</v>
      </c>
      <c r="L2823" s="270"/>
      <c r="M2823" s="270">
        <f ca="1">ROUND(VLOOKUP($H2823,$AJ$4:$AN$13,5,0)*$Q2824*1.51,2)</f>
        <v>26.64</v>
      </c>
      <c r="N2823" s="270"/>
      <c r="P2823" s="230">
        <f t="shared" si="1281"/>
        <v>1</v>
      </c>
      <c r="Q2823" s="240" t="s">
        <v>2045</v>
      </c>
      <c r="R2823" s="240" t="s">
        <v>2046</v>
      </c>
    </row>
    <row r="2824" spans="1:43" x14ac:dyDescent="0.2">
      <c r="B2824" s="276"/>
      <c r="C2824" s="277"/>
      <c r="D2824" s="277"/>
      <c r="E2824" s="277"/>
      <c r="F2824" s="277"/>
      <c r="G2824" s="278"/>
      <c r="H2824" s="238" t="s">
        <v>19</v>
      </c>
      <c r="I2824" s="270">
        <f ca="1">ROUND(VLOOKUP($H2824,$AJ$4:$AN$13,2,0)*$Q2824*1.51,2)</f>
        <v>67.95</v>
      </c>
      <c r="J2824" s="270">
        <f ca="1">ROUND(VLOOKUP($H2824,$AJ$4:$AN$13,3,0)*$Q2824*1.51,2)</f>
        <v>49.47</v>
      </c>
      <c r="K2824" s="270">
        <f ca="1">ROUND(VLOOKUP($H2824,$AJ$4:$AN$13,4,0)*$Q2824*1.51,2)</f>
        <v>25.28</v>
      </c>
      <c r="L2824" s="270"/>
      <c r="M2824" s="270">
        <f ca="1">ROUND(VLOOKUP($H2824,$AJ$4:$AN$13,5,0)*$Q2824*1.51,2)</f>
        <v>1.36</v>
      </c>
      <c r="N2824" s="270"/>
      <c r="P2824" s="230">
        <f t="shared" si="1281"/>
        <v>0</v>
      </c>
      <c r="Q2824" s="123">
        <f ca="1">IFERROR(IF(R2824="","",IF(OR(R2824&lt;100,R2824=100),0.9,IF(OR(AND(R2824&gt;100,R2824&lt;150),R2824=150),1,IF(R2824&gt;150,1.05,"")))),"0")</f>
        <v>1</v>
      </c>
      <c r="R2824" s="123">
        <f ca="1">N2840/G2828</f>
        <v>126.36000000000001</v>
      </c>
    </row>
    <row r="2825" spans="1:43" x14ac:dyDescent="0.2">
      <c r="B2825" s="276"/>
      <c r="C2825" s="277"/>
      <c r="D2825" s="277"/>
      <c r="E2825" s="277"/>
      <c r="F2825" s="277"/>
      <c r="G2825" s="278"/>
      <c r="H2825" s="238" t="s">
        <v>268</v>
      </c>
      <c r="I2825" s="270">
        <f ca="1">ROUND(VLOOKUP($H2825,$AJ$4:$AN$13,2,0)*$Q2824*1.51,2)</f>
        <v>855.9</v>
      </c>
      <c r="J2825" s="270">
        <f ca="1">ROUND(VLOOKUP($H2825,$AJ$4:$AN$13,3,0)*$Q2824*1.51,2)</f>
        <v>611.54999999999995</v>
      </c>
      <c r="K2825" s="270">
        <f ca="1">ROUND(VLOOKUP($H2825,$AJ$4:$AN$13,4,0)*$Q2824*1.51,2)</f>
        <v>307.68</v>
      </c>
      <c r="L2825" s="270"/>
      <c r="M2825" s="270">
        <f ca="1">ROUND(VLOOKUP($H2825,$AJ$4:$AN$13,5,0)*$Q2824*1.51,2)</f>
        <v>26.64</v>
      </c>
      <c r="N2825" s="270"/>
    </row>
    <row r="2826" spans="1:43" x14ac:dyDescent="0.2">
      <c r="B2826" s="276"/>
      <c r="C2826" s="277"/>
      <c r="D2826" s="277"/>
      <c r="E2826" s="277"/>
      <c r="F2826" s="277"/>
      <c r="G2826" s="278"/>
      <c r="H2826" s="238" t="s">
        <v>40</v>
      </c>
      <c r="I2826" s="270">
        <f ca="1">ROUND(VLOOKUP($H2826,$AJ$4:$AN$13,2,0)*$Q2824*1.51,2)</f>
        <v>67.95</v>
      </c>
      <c r="J2826" s="270">
        <f ca="1">ROUND(VLOOKUP($H2826,$AJ$4:$AN$13,3,0)*$Q2824*1.51,2)</f>
        <v>49.47</v>
      </c>
      <c r="K2826" s="270">
        <f ca="1">ROUND(VLOOKUP($H2826,$AJ$4:$AN$13,4,0)*$Q2824*1.51,2)</f>
        <v>25.28</v>
      </c>
      <c r="L2826" s="270"/>
      <c r="M2826" s="270">
        <f ca="1">ROUND(VLOOKUP($H2826,$AJ$4:$AN$13,5,0)*$Q2824*1.51,2)</f>
        <v>1.36</v>
      </c>
      <c r="N2826" s="270"/>
      <c r="P2826" s="230">
        <f t="shared" ref="P2826:P2839" si="1282">IF(A2826&gt;0,1,0)</f>
        <v>0</v>
      </c>
    </row>
    <row r="2827" spans="1:43" x14ac:dyDescent="0.2">
      <c r="B2827" s="279"/>
      <c r="C2827" s="280"/>
      <c r="D2827" s="280"/>
      <c r="E2827" s="280"/>
      <c r="F2827" s="280"/>
      <c r="G2827" s="281"/>
      <c r="H2827" s="238" t="s">
        <v>18</v>
      </c>
      <c r="I2827" s="270">
        <f ca="1">ROUND(VLOOKUP($H2827,$AJ$4:$AN$13,2,0)*$Q2824*1.51,2)</f>
        <v>21.74</v>
      </c>
      <c r="J2827" s="270">
        <f ca="1">ROUND(VLOOKUP($H2827,$AJ$4:$AN$13,3,0)*$Q2824*1.51,2)</f>
        <v>16.579999999999998</v>
      </c>
      <c r="K2827" s="270">
        <f ca="1">ROUND(VLOOKUP($H2827,$AJ$4:$AN$13,4,0)*$Q2824*1.51,2)</f>
        <v>8.43</v>
      </c>
      <c r="L2827" s="270"/>
      <c r="M2827" s="270">
        <f ca="1">ROUND(VLOOKUP($H2827,$AJ$4:$AN$13,5,0)*$Q2824*1.51*1,2)</f>
        <v>0.54</v>
      </c>
      <c r="N2827" s="270"/>
      <c r="P2827" s="230">
        <f t="shared" si="1282"/>
        <v>0</v>
      </c>
      <c r="AP2827" s="241" t="s">
        <v>2053</v>
      </c>
      <c r="AQ2827" s="242"/>
    </row>
    <row r="2828" spans="1:43" x14ac:dyDescent="0.2">
      <c r="A2828" s="224">
        <f>A2773+37</f>
        <v>1887</v>
      </c>
      <c r="B2828" s="243" t="str">
        <f ca="1">OFFSET(ЛОТЫ!$L$5,A2828,0,1,1)</f>
        <v>Тумбинское</v>
      </c>
      <c r="C2828" s="244" t="s">
        <v>474</v>
      </c>
      <c r="D2828" s="243">
        <f ca="1">OFFSET(ЛОТЫ!$M$5,A2828,0,1,1)</f>
        <v>136</v>
      </c>
      <c r="E2828" s="243">
        <f ca="1">OFFSET(ЛОТЫ!$N$5,A2828,0,1,1)</f>
        <v>11</v>
      </c>
      <c r="F2828" s="243">
        <f ca="1">OFFSET(ЛОТЫ!$O$5,A2828,0,1,1)</f>
        <v>1</v>
      </c>
      <c r="G2828" s="271">
        <f ca="1">IFERROR(INDEX('Ведомость расчета мин. платы'!$G$10:$AC$214,MATCH(CONCATENATE(B2828,"/",D2828,"/",E2828,"/",F2828),'Ведомость расчета мин. платы'!$AC$10:$AC$214,0),1),"")</f>
        <v>9.5</v>
      </c>
      <c r="H2828" s="246" t="s">
        <v>17</v>
      </c>
      <c r="I2828" s="247">
        <f ca="1">IFERROR(INDEX('Ведомость расчета мин. платы'!$J$10:$AE$214,MATCH(CONCATENATE(РАСЧЕТ!B2828,"/",РАСЧЕТ!D2828,"/",РАСЧЕТ!E2828,"/",F2828,"/",H2828),'Ведомость расчета мин. платы'!$AE$10:$AE$214,0),2),"")</f>
        <v>0</v>
      </c>
      <c r="J2828" s="247">
        <f ca="1">IFERROR(INDEX('Ведомость расчета мин. платы'!$J$10:$AE$214,MATCH(CONCATENATE(РАСЧЕТ!B2828,"/",РАСЧЕТ!D2828,"/",РАСЧЕТ!E2828,"/",F2828,"/",H2828),'Ведомость расчета мин. платы'!$AE$10:$AE$214,0),3),"")</f>
        <v>131.19999999999999</v>
      </c>
      <c r="K2828" s="247">
        <f ca="1">IFERROR(INDEX('Ведомость расчета мин. платы'!$J$10:$AE$214,MATCH(CONCATENATE(РАСЧЕТ!B2828,"/",РАСЧЕТ!D2828,"/",РАСЧЕТ!E2828,"/",F2828,"/",H2828),'Ведомость расчета мин. платы'!$AE$10:$AE$214,0),4),"")</f>
        <v>123.41</v>
      </c>
      <c r="L2828" s="248">
        <f t="shared" ref="L2828:L2840" ca="1" si="1283">IFERROR(SUM(I2828:K2828),"")</f>
        <v>254.60999999999999</v>
      </c>
      <c r="M2828" s="214">
        <f ca="1">IFERROR(INDEX('Ведомость расчета мин. платы'!$J$10:$AE$214,MATCH(CONCATENATE(РАСЧЕТ!B2828,"/",РАСЧЕТ!D2828,"/",РАСЧЕТ!E2828,"/",F2828,"/",H2828),'Ведомость расчета мин. платы'!$AE$10:$AE$214,0),6),"")</f>
        <v>290.62</v>
      </c>
      <c r="N2828" s="214">
        <f t="shared" ref="N2828:N2840" ca="1" si="1284">IFERROR(SUM(L2828:M2828),"")</f>
        <v>545.23</v>
      </c>
      <c r="O2828" s="229">
        <f>IF(H2828="стоимость","",1)</f>
        <v>1</v>
      </c>
      <c r="P2828" s="230">
        <f t="shared" si="1282"/>
        <v>1</v>
      </c>
      <c r="AP2828" s="242"/>
      <c r="AQ2828" s="242"/>
    </row>
    <row r="2829" spans="1:43" x14ac:dyDescent="0.2">
      <c r="B2829" s="249"/>
      <c r="C2829" s="249"/>
      <c r="D2829" s="249"/>
      <c r="E2829" s="249"/>
      <c r="F2829" s="249"/>
      <c r="G2829" s="249"/>
      <c r="H2829" s="250" t="s">
        <v>475</v>
      </c>
      <c r="I2829" s="251">
        <f ca="1">IFERROR(ROUND(I2828*I2822,2),"")</f>
        <v>0</v>
      </c>
      <c r="J2829" s="251">
        <f t="shared" ref="J2829:K2829" ca="1" si="1285">IFERROR(ROUND(J2828*J2822,2),"")</f>
        <v>10698.05</v>
      </c>
      <c r="K2829" s="251">
        <f t="shared" ca="1" si="1285"/>
        <v>5098.07</v>
      </c>
      <c r="L2829" s="251">
        <f t="shared" ca="1" si="1283"/>
        <v>15796.119999999999</v>
      </c>
      <c r="M2829" s="251">
        <v>1894.850000000002</v>
      </c>
      <c r="N2829" s="252">
        <f t="shared" ca="1" si="1284"/>
        <v>17690.97</v>
      </c>
      <c r="O2829" s="229" t="str">
        <f t="shared" ref="O2829:O2839" si="1286">IF(H2829="стоимость","",1)</f>
        <v/>
      </c>
      <c r="P2829" s="230">
        <f t="shared" si="1282"/>
        <v>0</v>
      </c>
      <c r="AP2829" s="242">
        <f ca="1">SUMIFS('Ведомость расчета мин. платы'!$S$10:$S$209,'Ведомость расчета мин. платы'!$AE$10:$AE$209,CONCATENATE(B2828,"/",D2828,"/",E2828,"/",F2828,"/",H2828))</f>
        <v>17690.97</v>
      </c>
      <c r="AQ2829" s="253">
        <f t="shared" ref="AQ2829" ca="1" si="1287">AP2829-N2829</f>
        <v>0</v>
      </c>
    </row>
    <row r="2830" spans="1:43" x14ac:dyDescent="0.2">
      <c r="B2830" s="249"/>
      <c r="C2830" s="249"/>
      <c r="D2830" s="249"/>
      <c r="E2830" s="249"/>
      <c r="F2830" s="249"/>
      <c r="G2830" s="249"/>
      <c r="H2830" s="246" t="s">
        <v>25</v>
      </c>
      <c r="I2830" s="247" t="str">
        <f ca="1">IFERROR(INDEX('Ведомость расчета мин. платы'!$J$10:$AE$214,MATCH(CONCATENATE(РАСЧЕТ!B2828,"/",РАСЧЕТ!D2828,"/",РАСЧЕТ!E2828,"/",F2828,"/",H2830),'Ведомость расчета мин. платы'!$AE$10:$AE$214,0),2),"")</f>
        <v/>
      </c>
      <c r="J2830" s="247" t="str">
        <f ca="1">IFERROR(INDEX('Ведомость расчета мин. платы'!$J$10:$AE$214,MATCH(CONCATENATE(РАСЧЕТ!B2828,"/",РАСЧЕТ!D2828,"/",РАСЧЕТ!E2828,"/",F2828,"/",H2830),'Ведомость расчета мин. платы'!$AE$10:$AE$214,0),3),"")</f>
        <v/>
      </c>
      <c r="K2830" s="247" t="str">
        <f ca="1">IFERROR(INDEX('Ведомость расчета мин. платы'!$J$10:$AE$214,MATCH(CONCATENATE(РАСЧЕТ!B2828,"/",РАСЧЕТ!D2828,"/",РАСЧЕТ!E2828,"/",F2828,"/",H2830),'Ведомость расчета мин. платы'!$AE$10:$AE$214,0),4),"")</f>
        <v/>
      </c>
      <c r="L2830" s="248">
        <f t="shared" ca="1" si="1283"/>
        <v>0</v>
      </c>
      <c r="M2830" s="214">
        <v>0</v>
      </c>
      <c r="N2830" s="214">
        <f t="shared" ca="1" si="1284"/>
        <v>0</v>
      </c>
      <c r="O2830" s="229">
        <f t="shared" si="1286"/>
        <v>1</v>
      </c>
      <c r="P2830" s="230">
        <f t="shared" si="1282"/>
        <v>0</v>
      </c>
      <c r="AP2830" s="242"/>
      <c r="AQ2830" s="253"/>
    </row>
    <row r="2831" spans="1:43" x14ac:dyDescent="0.2">
      <c r="B2831" s="249"/>
      <c r="C2831" s="249"/>
      <c r="D2831" s="249"/>
      <c r="E2831" s="249"/>
      <c r="F2831" s="249"/>
      <c r="G2831" s="249"/>
      <c r="H2831" s="250" t="s">
        <v>475</v>
      </c>
      <c r="I2831" s="251" t="str">
        <f ca="1">IFERROR(ROUND(I2830*I2823,2),"")</f>
        <v/>
      </c>
      <c r="J2831" s="251" t="str">
        <f t="shared" ref="J2831:K2831" ca="1" si="1288">IFERROR(ROUND(J2830*J2823,2),"")</f>
        <v/>
      </c>
      <c r="K2831" s="251" t="str">
        <f t="shared" ca="1" si="1288"/>
        <v/>
      </c>
      <c r="L2831" s="251">
        <f t="shared" ca="1" si="1283"/>
        <v>0</v>
      </c>
      <c r="M2831" s="251">
        <v>0</v>
      </c>
      <c r="N2831" s="252">
        <f t="shared" ca="1" si="1284"/>
        <v>0</v>
      </c>
      <c r="O2831" s="229" t="str">
        <f t="shared" si="1286"/>
        <v/>
      </c>
      <c r="P2831" s="230">
        <f t="shared" si="1282"/>
        <v>0</v>
      </c>
      <c r="AP2831" s="242">
        <f ca="1">SUMIFS('Ведомость расчета мин. платы'!$S$10:$S$209,'Ведомость расчета мин. платы'!$AE$10:$AE$209,CONCATENATE(B2828,"/",D2828,"/",E2828,"/",F2828,"/",H2830))</f>
        <v>0</v>
      </c>
      <c r="AQ2831" s="253">
        <f t="shared" ref="AQ2831" ca="1" si="1289">AP2831-N2831</f>
        <v>0</v>
      </c>
    </row>
    <row r="2832" spans="1:43" x14ac:dyDescent="0.2">
      <c r="B2832" s="249"/>
      <c r="C2832" s="249"/>
      <c r="D2832" s="249"/>
      <c r="E2832" s="249"/>
      <c r="F2832" s="249"/>
      <c r="G2832" s="249"/>
      <c r="H2832" s="205" t="s">
        <v>19</v>
      </c>
      <c r="I2832" s="248">
        <f ca="1">IFERROR(INDEX('Ведомость расчета мин. платы'!$J$10:$AE$214,MATCH(CONCATENATE(РАСЧЕТ!B2828,"/",РАСЧЕТ!D2828,"/",РАСЧЕТ!E2828,"/",F2828,"/",H2832),'Ведомость расчета мин. платы'!$AE$10:$AE$214,0),2),"")</f>
        <v>0.24</v>
      </c>
      <c r="J2832" s="248">
        <f ca="1">IFERROR(INDEX('Ведомость расчета мин. платы'!$J$10:$AE$214,MATCH(CONCATENATE(РАСЧЕТ!B2828,"/",РАСЧЕТ!D2828,"/",РАСЧЕТ!E2828,"/",F2828,"/",H2832),'Ведомость расчета мин. платы'!$AE$10:$AE$214,0),3),"")</f>
        <v>26.85</v>
      </c>
      <c r="K2832" s="248">
        <f ca="1">IFERROR(INDEX('Ведомость расчета мин. платы'!$J$10:$AE$214,MATCH(CONCATENATE(РАСЧЕТ!B2828,"/",РАСЧЕТ!D2828,"/",РАСЧЕТ!E2828,"/",F2828,"/",H2832),'Ведомость расчета мин. платы'!$AE$10:$AE$214,0),4),"")</f>
        <v>6.71</v>
      </c>
      <c r="L2832" s="248">
        <f t="shared" ca="1" si="1283"/>
        <v>33.799999999999997</v>
      </c>
      <c r="M2832" s="248">
        <v>312.16000000000003</v>
      </c>
      <c r="N2832" s="214">
        <f t="shared" ca="1" si="1284"/>
        <v>345.96000000000004</v>
      </c>
      <c r="O2832" s="229">
        <f t="shared" si="1286"/>
        <v>1</v>
      </c>
      <c r="P2832" s="230">
        <f t="shared" si="1282"/>
        <v>0</v>
      </c>
      <c r="AP2832" s="242"/>
      <c r="AQ2832" s="253"/>
    </row>
    <row r="2833" spans="2:43" x14ac:dyDescent="0.2">
      <c r="B2833" s="249"/>
      <c r="C2833" s="249"/>
      <c r="D2833" s="249"/>
      <c r="E2833" s="249"/>
      <c r="F2833" s="249"/>
      <c r="G2833" s="249"/>
      <c r="H2833" s="250" t="s">
        <v>475</v>
      </c>
      <c r="I2833" s="251">
        <f ca="1">IFERROR(ROUND(I2832*I2824,2),"")</f>
        <v>16.309999999999999</v>
      </c>
      <c r="J2833" s="251">
        <f t="shared" ref="J2833:K2833" ca="1" si="1290">IFERROR(ROUND(J2832*J2824,2),"")</f>
        <v>1328.27</v>
      </c>
      <c r="K2833" s="251">
        <f t="shared" ca="1" si="1290"/>
        <v>169.63</v>
      </c>
      <c r="L2833" s="251">
        <f t="shared" ca="1" si="1283"/>
        <v>1514.21</v>
      </c>
      <c r="M2833" s="251">
        <v>424.53000000000003</v>
      </c>
      <c r="N2833" s="252">
        <f t="shared" ca="1" si="1284"/>
        <v>1938.74</v>
      </c>
      <c r="O2833" s="229" t="str">
        <f t="shared" si="1286"/>
        <v/>
      </c>
      <c r="P2833" s="230">
        <f t="shared" si="1282"/>
        <v>0</v>
      </c>
      <c r="AP2833" s="242">
        <f ca="1">SUMIFS('Ведомость расчета мин. платы'!$S$10:$S$209,'Ведомость расчета мин. платы'!$AE$10:$AE$209,CONCATENATE(B2828,"/",D2828,"/",E2828,"/",F2828,"/",H2832))</f>
        <v>1938.74</v>
      </c>
      <c r="AQ2833" s="253">
        <f t="shared" ref="AQ2833" ca="1" si="1291">AP2833-N2833</f>
        <v>0</v>
      </c>
    </row>
    <row r="2834" spans="2:43" x14ac:dyDescent="0.2">
      <c r="B2834" s="249"/>
      <c r="C2834" s="249"/>
      <c r="D2834" s="249"/>
      <c r="E2834" s="249"/>
      <c r="F2834" s="249"/>
      <c r="G2834" s="249"/>
      <c r="H2834" s="205" t="s">
        <v>268</v>
      </c>
      <c r="I2834" s="248" t="str">
        <f ca="1">IFERROR(INDEX('Ведомость расчета мин. платы'!$J$10:$AE$214,MATCH(CONCATENATE(РАСЧЕТ!B2828,"/",РАСЧЕТ!D2828,"/",РАСЧЕТ!E2828,"/",F2828,"/",H2834),'Ведомость расчета мин. платы'!$AE$10:$AE$214,0),2),"")</f>
        <v/>
      </c>
      <c r="J2834" s="248" t="str">
        <f ca="1">IFERROR(INDEX('Ведомость расчета мин. платы'!$J$10:$AE$214,MATCH(CONCATENATE(РАСЧЕТ!B2828,"/",РАСЧЕТ!D2828,"/",РАСЧЕТ!E2828,"/",F2828,"/",H2834),'Ведомость расчета мин. платы'!$AE$10:$AE$214,0),3),"")</f>
        <v/>
      </c>
      <c r="K2834" s="248" t="str">
        <f ca="1">IFERROR(INDEX('Ведомость расчета мин. платы'!$J$10:$AE$214,MATCH(CONCATENATE(РАСЧЕТ!B2828,"/",РАСЧЕТ!D2828,"/",РАСЧЕТ!E2828,"/",F2828,"/",H2834),'Ведомость расчета мин. платы'!$AE$10:$AE$214,0),4),"")</f>
        <v/>
      </c>
      <c r="L2834" s="248">
        <f t="shared" ca="1" si="1283"/>
        <v>0</v>
      </c>
      <c r="M2834" s="248">
        <v>0</v>
      </c>
      <c r="N2834" s="214">
        <f t="shared" ca="1" si="1284"/>
        <v>0</v>
      </c>
      <c r="O2834" s="229">
        <f t="shared" si="1286"/>
        <v>1</v>
      </c>
      <c r="P2834" s="230">
        <f t="shared" si="1282"/>
        <v>0</v>
      </c>
      <c r="AP2834" s="242"/>
      <c r="AQ2834" s="253"/>
    </row>
    <row r="2835" spans="2:43" x14ac:dyDescent="0.2">
      <c r="B2835" s="249"/>
      <c r="C2835" s="249"/>
      <c r="D2835" s="249"/>
      <c r="E2835" s="249"/>
      <c r="F2835" s="249"/>
      <c r="G2835" s="249"/>
      <c r="H2835" s="250" t="s">
        <v>475</v>
      </c>
      <c r="I2835" s="251" t="str">
        <f ca="1">IFERROR(ROUND(I2834*I2827,2),"")</f>
        <v/>
      </c>
      <c r="J2835" s="251" t="str">
        <f ca="1">IFERROR(ROUND(J2834*J2825,2),"")</f>
        <v/>
      </c>
      <c r="K2835" s="251" t="str">
        <f ca="1">IFERROR(ROUND(K2834*K2825,2),"")</f>
        <v/>
      </c>
      <c r="L2835" s="251">
        <f t="shared" ca="1" si="1283"/>
        <v>0</v>
      </c>
      <c r="M2835" s="251">
        <v>0</v>
      </c>
      <c r="N2835" s="252">
        <f t="shared" ca="1" si="1284"/>
        <v>0</v>
      </c>
      <c r="O2835" s="229" t="str">
        <f t="shared" si="1286"/>
        <v/>
      </c>
      <c r="P2835" s="230">
        <f t="shared" si="1282"/>
        <v>0</v>
      </c>
      <c r="AP2835" s="242">
        <f ca="1">SUMIFS('Ведомость расчета мин. платы'!$S$10:$S$209,'Ведомость расчета мин. платы'!$AE$10:$AE$209,CONCATENATE(B2828,"/",D2828,"/",E2828,"/",F2828,"/",H2834))</f>
        <v>0</v>
      </c>
      <c r="AQ2835" s="253">
        <f t="shared" ref="AQ2835" ca="1" si="1292">AP2835-N2835</f>
        <v>0</v>
      </c>
    </row>
    <row r="2836" spans="2:43" x14ac:dyDescent="0.2">
      <c r="B2836" s="249"/>
      <c r="C2836" s="249"/>
      <c r="D2836" s="249"/>
      <c r="E2836" s="249"/>
      <c r="F2836" s="249"/>
      <c r="G2836" s="249"/>
      <c r="H2836" s="205" t="s">
        <v>40</v>
      </c>
      <c r="I2836" s="248" t="str">
        <f ca="1">IFERROR(INDEX('Ведомость расчета мин. платы'!$J$10:$AE$214,MATCH(CONCATENATE(РАСЧЕТ!B2828,"/",РАСЧЕТ!D2828,"/",РАСЧЕТ!E2828,"/",F2828,"/",H2836),'Ведомость расчета мин. платы'!$AE$10:$AE$214,0),2),"")</f>
        <v/>
      </c>
      <c r="J2836" s="248" t="str">
        <f ca="1">IFERROR(INDEX('Ведомость расчета мин. платы'!$J$10:$AE$214,MATCH(CONCATENATE(РАСЧЕТ!B2828,"/",РАСЧЕТ!D2828,"/",РАСЧЕТ!E2828,"/",F2828,"/",H2836),'Ведомость расчета мин. платы'!$AE$10:$AE$214,0),3),"")</f>
        <v/>
      </c>
      <c r="K2836" s="248" t="str">
        <f ca="1">IFERROR(INDEX('Ведомость расчета мин. платы'!$J$10:$AE$214,MATCH(CONCATENATE(РАСЧЕТ!B2828,"/",РАСЧЕТ!D2828,"/",РАСЧЕТ!E2828,"/",F2828,"/",H2836),'Ведомость расчета мин. платы'!$AE$10:$AE$214,0),4),"")</f>
        <v/>
      </c>
      <c r="L2836" s="248">
        <f t="shared" ca="1" si="1283"/>
        <v>0</v>
      </c>
      <c r="M2836" s="248">
        <v>0</v>
      </c>
      <c r="N2836" s="214">
        <f t="shared" ca="1" si="1284"/>
        <v>0</v>
      </c>
      <c r="O2836" s="229">
        <f t="shared" si="1286"/>
        <v>1</v>
      </c>
      <c r="P2836" s="230">
        <f t="shared" si="1282"/>
        <v>0</v>
      </c>
      <c r="AP2836" s="242"/>
      <c r="AQ2836" s="253"/>
    </row>
    <row r="2837" spans="2:43" x14ac:dyDescent="0.2">
      <c r="B2837" s="249"/>
      <c r="C2837" s="249"/>
      <c r="D2837" s="249"/>
      <c r="E2837" s="249"/>
      <c r="F2837" s="249"/>
      <c r="G2837" s="249"/>
      <c r="H2837" s="250" t="s">
        <v>475</v>
      </c>
      <c r="I2837" s="251" t="str">
        <f ca="1">IFERROR(ROUND(I2836*I2826,2),"")</f>
        <v/>
      </c>
      <c r="J2837" s="251" t="str">
        <f t="shared" ref="J2837:K2837" ca="1" si="1293">IFERROR(ROUND(J2836*J2826,2),"")</f>
        <v/>
      </c>
      <c r="K2837" s="251" t="str">
        <f t="shared" ca="1" si="1293"/>
        <v/>
      </c>
      <c r="L2837" s="251">
        <f t="shared" ca="1" si="1283"/>
        <v>0</v>
      </c>
      <c r="M2837" s="251">
        <v>0</v>
      </c>
      <c r="N2837" s="252">
        <f t="shared" ca="1" si="1284"/>
        <v>0</v>
      </c>
      <c r="O2837" s="229" t="str">
        <f t="shared" si="1286"/>
        <v/>
      </c>
      <c r="P2837" s="230">
        <f t="shared" si="1282"/>
        <v>0</v>
      </c>
      <c r="AP2837" s="242">
        <f ca="1">SUMIFS('Ведомость расчета мин. платы'!$S$10:$S$209,'Ведомость расчета мин. платы'!$AE$10:$AE$209,CONCATENATE(B2828,"/",D2828,"/",E2828,"/",F2828,"/",H2836))</f>
        <v>0</v>
      </c>
      <c r="AQ2837" s="253">
        <f t="shared" ref="AQ2837" ca="1" si="1294">AP2837-N2837</f>
        <v>0</v>
      </c>
    </row>
    <row r="2838" spans="2:43" x14ac:dyDescent="0.2">
      <c r="B2838" s="249"/>
      <c r="C2838" s="249"/>
      <c r="D2838" s="249"/>
      <c r="E2838" s="249"/>
      <c r="F2838" s="249"/>
      <c r="G2838" s="249"/>
      <c r="H2838" s="205" t="s">
        <v>18</v>
      </c>
      <c r="I2838" s="248">
        <f ca="1">IFERROR(INDEX('Ведомость расчета мин. платы'!$J$10:$AE$214,MATCH(CONCATENATE(РАСЧЕТ!B2828,"/",РАСЧЕТ!D2828,"/",РАСЧЕТ!E2828,"/",F2828,"/",H2838),'Ведомость расчета мин. платы'!$AE$10:$AE$214,0),2),"")</f>
        <v>0</v>
      </c>
      <c r="J2838" s="248">
        <f ca="1">IFERROR(INDEX('Ведомость расчета мин. платы'!$J$10:$AE$214,MATCH(CONCATENATE(РАСЧЕТ!B2828,"/",РАСЧЕТ!D2828,"/",РАСЧЕТ!E2828,"/",F2828,"/",H2838),'Ведомость расчета мин. платы'!$AE$10:$AE$214,0),3),"")</f>
        <v>22.04</v>
      </c>
      <c r="K2838" s="248">
        <f ca="1">IFERROR(INDEX('Ведомость расчета мин. платы'!$J$10:$AE$214,MATCH(CONCATENATE(РАСЧЕТ!B2828,"/",РАСЧЕТ!D2828,"/",РАСЧЕТ!E2828,"/",F2828,"/",H2838),'Ведомость расчета мин. платы'!$AE$10:$AE$214,0),4),"")</f>
        <v>11.4</v>
      </c>
      <c r="L2838" s="248">
        <f t="shared" ca="1" si="1283"/>
        <v>33.44</v>
      </c>
      <c r="M2838" s="248">
        <v>275.79000000000002</v>
      </c>
      <c r="N2838" s="214">
        <f t="shared" ca="1" si="1284"/>
        <v>309.23</v>
      </c>
      <c r="O2838" s="229">
        <f t="shared" si="1286"/>
        <v>1</v>
      </c>
      <c r="P2838" s="230">
        <f t="shared" si="1282"/>
        <v>0</v>
      </c>
      <c r="AP2838" s="242"/>
      <c r="AQ2838" s="253"/>
    </row>
    <row r="2839" spans="2:43" x14ac:dyDescent="0.2">
      <c r="B2839" s="249"/>
      <c r="C2839" s="249"/>
      <c r="D2839" s="249"/>
      <c r="E2839" s="249"/>
      <c r="F2839" s="249"/>
      <c r="G2839" s="249"/>
      <c r="H2839" s="250" t="s">
        <v>475</v>
      </c>
      <c r="I2839" s="251">
        <f ca="1">IFERROR(ROUND(I2838*I2827,2),"")</f>
        <v>0</v>
      </c>
      <c r="J2839" s="251">
        <f t="shared" ref="J2839:K2839" ca="1" si="1295">IFERROR(ROUND(J2838*J2827,2),"")</f>
        <v>365.42</v>
      </c>
      <c r="K2839" s="251">
        <f t="shared" ca="1" si="1295"/>
        <v>96.1</v>
      </c>
      <c r="L2839" s="251">
        <f t="shared" ca="1" si="1283"/>
        <v>461.52</v>
      </c>
      <c r="M2839" s="251">
        <v>148.92000000000002</v>
      </c>
      <c r="N2839" s="252">
        <f t="shared" ca="1" si="1284"/>
        <v>610.44000000000005</v>
      </c>
      <c r="O2839" s="229" t="str">
        <f t="shared" si="1286"/>
        <v/>
      </c>
      <c r="P2839" s="230">
        <f t="shared" si="1282"/>
        <v>0</v>
      </c>
      <c r="AP2839" s="242">
        <f ca="1">SUMIFS('Ведомость расчета мин. платы'!$S$10:$S$209,'Ведомость расчета мин. платы'!$AE$10:$AE$209,CONCATENATE(B2828,"/",D2828,"/",E2828,"/",F2828,"/",H2838))</f>
        <v>610.44000000000005</v>
      </c>
      <c r="AQ2839" s="253">
        <f t="shared" ref="AQ2839" ca="1" si="1296">AP2839-N2839</f>
        <v>0</v>
      </c>
    </row>
    <row r="2840" spans="2:43" x14ac:dyDescent="0.2">
      <c r="B2840" s="249"/>
      <c r="C2840" s="249"/>
      <c r="D2840" s="249"/>
      <c r="E2840" s="249"/>
      <c r="F2840" s="249"/>
      <c r="G2840" s="249"/>
      <c r="H2840" s="254" t="s">
        <v>476</v>
      </c>
      <c r="I2840" s="251">
        <f ca="1">SUMIF($O2828:$O2841,1,I2828:I2839)</f>
        <v>0.24</v>
      </c>
      <c r="J2840" s="251">
        <f ca="1">SUMIF($O2828:$O2841,1,J2828:J2839)</f>
        <v>180.08999999999997</v>
      </c>
      <c r="K2840" s="251">
        <f ca="1">SUMIF($O2828:$O2841,1,K2828:K2839)</f>
        <v>141.52000000000001</v>
      </c>
      <c r="L2840" s="251">
        <f t="shared" ca="1" si="1283"/>
        <v>321.85000000000002</v>
      </c>
      <c r="M2840" s="251">
        <f ca="1">SUMIF($O2828:$O2841,1,M2828:M2839)</f>
        <v>878.56999999999994</v>
      </c>
      <c r="N2840" s="252">
        <f t="shared" ca="1" si="1284"/>
        <v>1200.42</v>
      </c>
      <c r="AP2840" s="242"/>
      <c r="AQ2840" s="253"/>
    </row>
    <row r="2841" spans="2:43" x14ac:dyDescent="0.2">
      <c r="B2841" s="249"/>
      <c r="C2841" s="249"/>
      <c r="D2841" s="249"/>
      <c r="E2841" s="249"/>
      <c r="F2841" s="249"/>
      <c r="G2841" s="249"/>
      <c r="H2841" s="254" t="s">
        <v>491</v>
      </c>
      <c r="I2841" s="251">
        <f ca="1">SUMIF(H2828:H2839,"стоимость",I2828:I2839)</f>
        <v>16.309999999999999</v>
      </c>
      <c r="J2841" s="251">
        <f ca="1">SUMIF(H2828:H2839,"стоимость",J2828:J2839)</f>
        <v>12391.74</v>
      </c>
      <c r="K2841" s="251">
        <f ca="1">SUMIF(H2828:H2839,"стоимость",K2828:K2839)</f>
        <v>5363.8</v>
      </c>
      <c r="L2841" s="251">
        <f ca="1">IFERROR(SUM(I2841:K2841),"")</f>
        <v>17771.849999999999</v>
      </c>
      <c r="M2841" s="251">
        <f>SUMIF(H2828:H2839,"стоимость",M2828:M2839)</f>
        <v>2468.300000000002</v>
      </c>
      <c r="N2841" s="252">
        <f ca="1">IFERROR(SUM(L2841:M2841),"")</f>
        <v>20240.150000000001</v>
      </c>
      <c r="AP2841" s="242">
        <f ca="1">SUMIFS('Ведомость расчета мин. платы'!$S$10:$S$209,'Ведомость расчета мин. платы'!$J$10:$J$209,"Итого",'Ведомость расчета мин. платы'!$AC$10:$AC$209,CONCATENATE(B2828,"/",D2828,"/",E2828,"/",F2828))</f>
        <v>20240.150000000001</v>
      </c>
      <c r="AQ2841" s="253">
        <f ca="1">AP2841-N2841</f>
        <v>0</v>
      </c>
    </row>
    <row r="2842" spans="2:43" x14ac:dyDescent="0.2">
      <c r="B2842" s="255"/>
      <c r="C2842" s="255"/>
      <c r="D2842" s="255"/>
      <c r="E2842" s="255"/>
      <c r="F2842" s="255"/>
      <c r="G2842" s="256"/>
      <c r="H2842" s="257"/>
      <c r="I2842" s="258"/>
      <c r="J2842" s="258"/>
      <c r="K2842" s="258"/>
      <c r="L2842" s="258"/>
      <c r="M2842" s="258"/>
      <c r="N2842" s="258"/>
      <c r="P2842" s="230">
        <f t="shared" ref="P2842:P2860" si="1297">IF(A2842&gt;0,1,0)</f>
        <v>0</v>
      </c>
    </row>
    <row r="2843" spans="2:43" x14ac:dyDescent="0.2">
      <c r="B2843" s="282" t="s">
        <v>477</v>
      </c>
      <c r="C2843" s="282"/>
      <c r="D2843" s="282"/>
      <c r="E2843" s="282"/>
      <c r="F2843" s="259"/>
      <c r="G2843" s="225"/>
      <c r="H2843" s="201"/>
      <c r="I2843" s="226"/>
      <c r="J2843" s="258"/>
      <c r="K2843" s="258"/>
      <c r="L2843" s="258"/>
      <c r="M2843" s="258"/>
      <c r="N2843" s="258"/>
      <c r="P2843" s="230">
        <f t="shared" si="1297"/>
        <v>0</v>
      </c>
    </row>
    <row r="2844" spans="2:43" x14ac:dyDescent="0.2">
      <c r="B2844" s="283" t="s">
        <v>525</v>
      </c>
      <c r="C2844" s="283"/>
      <c r="D2844" s="283"/>
      <c r="E2844" s="283"/>
      <c r="F2844" s="283"/>
      <c r="G2844" s="283"/>
      <c r="H2844" s="283"/>
      <c r="I2844" s="283"/>
      <c r="J2844" s="261"/>
      <c r="K2844" s="261"/>
      <c r="L2844" s="261"/>
      <c r="M2844" s="261"/>
      <c r="N2844" s="261"/>
      <c r="P2844" s="230">
        <f t="shared" si="1297"/>
        <v>0</v>
      </c>
    </row>
    <row r="2845" spans="2:43" x14ac:dyDescent="0.2">
      <c r="B2845" s="284" t="s">
        <v>478</v>
      </c>
      <c r="C2845" s="284"/>
      <c r="D2845" s="284"/>
      <c r="E2845" s="284"/>
      <c r="F2845" s="284"/>
      <c r="G2845" s="284"/>
      <c r="H2845" s="284"/>
      <c r="I2845" s="284"/>
      <c r="J2845" s="258"/>
      <c r="K2845" s="258"/>
      <c r="L2845" s="258"/>
      <c r="M2845" s="258"/>
      <c r="N2845" s="258"/>
      <c r="P2845" s="230">
        <f t="shared" si="1297"/>
        <v>0</v>
      </c>
    </row>
    <row r="2846" spans="2:43" x14ac:dyDescent="0.2">
      <c r="B2846" s="284" t="s">
        <v>479</v>
      </c>
      <c r="C2846" s="284"/>
      <c r="D2846" s="284"/>
      <c r="E2846" s="284"/>
      <c r="F2846" s="284"/>
      <c r="G2846" s="284"/>
      <c r="H2846" s="284"/>
      <c r="I2846" s="284"/>
      <c r="J2846" s="258"/>
      <c r="K2846" s="258"/>
      <c r="L2846" s="258"/>
      <c r="M2846" s="258"/>
      <c r="N2846" s="258"/>
      <c r="P2846" s="230">
        <f t="shared" si="1297"/>
        <v>0</v>
      </c>
    </row>
    <row r="2847" spans="2:43" x14ac:dyDescent="0.2">
      <c r="B2847" s="284" t="s">
        <v>480</v>
      </c>
      <c r="C2847" s="284"/>
      <c r="D2847" s="284"/>
      <c r="E2847" s="284"/>
      <c r="F2847" s="284"/>
      <c r="G2847" s="284"/>
      <c r="H2847" s="284"/>
      <c r="I2847" s="284"/>
      <c r="J2847" s="258"/>
      <c r="K2847" s="258"/>
      <c r="L2847" s="258"/>
      <c r="M2847" s="258"/>
      <c r="N2847" s="258"/>
      <c r="P2847" s="230">
        <f t="shared" si="1297"/>
        <v>0</v>
      </c>
    </row>
    <row r="2848" spans="2:43" x14ac:dyDescent="0.2">
      <c r="B2848" s="284" t="s">
        <v>481</v>
      </c>
      <c r="C2848" s="284"/>
      <c r="D2848" s="284"/>
      <c r="E2848" s="284"/>
      <c r="F2848" s="284"/>
      <c r="G2848" s="284"/>
      <c r="H2848" s="284"/>
      <c r="I2848" s="284"/>
      <c r="J2848" s="226"/>
      <c r="K2848" s="226"/>
      <c r="L2848" s="226"/>
      <c r="M2848" s="226"/>
      <c r="N2848" s="226"/>
      <c r="P2848" s="230">
        <f t="shared" si="1297"/>
        <v>0</v>
      </c>
    </row>
    <row r="2849" spans="1:16" x14ac:dyDescent="0.2">
      <c r="B2849" s="284" t="s">
        <v>482</v>
      </c>
      <c r="C2849" s="284"/>
      <c r="D2849" s="284"/>
      <c r="E2849" s="284"/>
      <c r="F2849" s="284"/>
      <c r="G2849" s="284"/>
      <c r="H2849" s="284"/>
      <c r="I2849" s="284"/>
      <c r="J2849" s="226"/>
      <c r="K2849" s="226"/>
      <c r="L2849" s="226"/>
      <c r="M2849" s="226"/>
      <c r="N2849" s="226"/>
      <c r="P2849" s="230">
        <f t="shared" si="1297"/>
        <v>0</v>
      </c>
    </row>
    <row r="2850" spans="1:16" x14ac:dyDescent="0.2">
      <c r="B2850" s="284" t="s">
        <v>483</v>
      </c>
      <c r="C2850" s="284"/>
      <c r="D2850" s="284"/>
      <c r="E2850" s="284"/>
      <c r="F2850" s="284"/>
      <c r="G2850" s="284"/>
      <c r="H2850" s="284"/>
      <c r="I2850" s="284"/>
      <c r="J2850" s="226"/>
      <c r="K2850" s="226"/>
      <c r="L2850" s="226"/>
      <c r="M2850" s="226"/>
      <c r="N2850" s="226"/>
      <c r="P2850" s="230">
        <f t="shared" si="1297"/>
        <v>0</v>
      </c>
    </row>
    <row r="2851" spans="1:16" x14ac:dyDescent="0.2">
      <c r="B2851" s="284" t="s">
        <v>484</v>
      </c>
      <c r="C2851" s="284"/>
      <c r="D2851" s="284"/>
      <c r="E2851" s="284"/>
      <c r="F2851" s="284"/>
      <c r="G2851" s="284"/>
      <c r="H2851" s="284"/>
      <c r="I2851" s="284"/>
      <c r="J2851" s="226"/>
      <c r="K2851" s="226"/>
      <c r="L2851" s="226"/>
      <c r="M2851" s="226"/>
      <c r="N2851" s="226"/>
      <c r="P2851" s="230">
        <f t="shared" si="1297"/>
        <v>0</v>
      </c>
    </row>
    <row r="2852" spans="1:16" x14ac:dyDescent="0.2">
      <c r="B2852" s="264"/>
      <c r="C2852" s="264"/>
      <c r="D2852" s="264"/>
      <c r="E2852" s="264"/>
      <c r="F2852" s="264"/>
      <c r="G2852" s="264"/>
      <c r="H2852" s="264"/>
      <c r="I2852" s="265"/>
      <c r="J2852" s="226"/>
      <c r="K2852" s="226"/>
      <c r="L2852" s="226"/>
      <c r="M2852" s="226"/>
      <c r="N2852" s="226"/>
      <c r="P2852" s="230">
        <f t="shared" si="1297"/>
        <v>0</v>
      </c>
    </row>
    <row r="2853" spans="1:16" x14ac:dyDescent="0.2">
      <c r="B2853" s="225" t="s">
        <v>485</v>
      </c>
      <c r="C2853" s="225"/>
      <c r="D2853" s="225"/>
      <c r="E2853" s="225"/>
      <c r="F2853" s="225"/>
      <c r="G2853" s="225"/>
      <c r="H2853" s="201"/>
      <c r="I2853" s="226"/>
      <c r="J2853" s="226" t="s">
        <v>486</v>
      </c>
      <c r="K2853" s="226"/>
      <c r="L2853" s="226"/>
      <c r="M2853" s="226"/>
      <c r="N2853" s="226"/>
      <c r="P2853" s="230">
        <f t="shared" si="1297"/>
        <v>0</v>
      </c>
    </row>
    <row r="2854" spans="1:16" x14ac:dyDescent="0.2">
      <c r="B2854" s="266" t="s">
        <v>524</v>
      </c>
      <c r="C2854" s="266"/>
      <c r="D2854" s="225"/>
      <c r="E2854" s="225"/>
      <c r="F2854" s="225"/>
      <c r="G2854" s="225"/>
      <c r="H2854" s="201"/>
      <c r="I2854" s="226"/>
      <c r="J2854" s="267"/>
      <c r="K2854" s="267"/>
      <c r="L2854" s="267"/>
      <c r="M2854" s="226"/>
      <c r="N2854" s="226"/>
      <c r="P2854" s="230">
        <f t="shared" si="1297"/>
        <v>0</v>
      </c>
    </row>
    <row r="2855" spans="1:16" x14ac:dyDescent="0.2">
      <c r="B2855" s="268" t="s">
        <v>487</v>
      </c>
      <c r="C2855" s="225"/>
      <c r="D2855" s="225"/>
      <c r="E2855" s="225"/>
      <c r="F2855" s="225"/>
      <c r="G2855" s="225"/>
      <c r="H2855" s="201"/>
      <c r="I2855" s="226"/>
      <c r="J2855" s="226" t="s">
        <v>487</v>
      </c>
      <c r="K2855" s="226"/>
      <c r="L2855" s="226"/>
      <c r="M2855" s="226"/>
      <c r="N2855" s="226"/>
      <c r="P2855" s="230">
        <f t="shared" si="1297"/>
        <v>0</v>
      </c>
    </row>
    <row r="2856" spans="1:16" x14ac:dyDescent="0.2">
      <c r="B2856" s="225"/>
      <c r="C2856" s="225"/>
      <c r="D2856" s="225"/>
      <c r="E2856" s="225"/>
      <c r="F2856" s="225"/>
      <c r="G2856" s="225"/>
      <c r="H2856" s="201"/>
      <c r="I2856" s="226"/>
      <c r="J2856" s="226"/>
      <c r="K2856" s="226"/>
      <c r="L2856" s="226"/>
      <c r="M2856" s="226"/>
      <c r="N2856" s="226"/>
      <c r="P2856" s="230">
        <f t="shared" si="1297"/>
        <v>0</v>
      </c>
    </row>
    <row r="2857" spans="1:16" x14ac:dyDescent="0.2">
      <c r="B2857" s="266"/>
      <c r="C2857" s="266"/>
      <c r="D2857" s="225"/>
      <c r="E2857" s="225"/>
      <c r="F2857" s="225"/>
      <c r="G2857" s="225"/>
      <c r="H2857" s="201"/>
      <c r="I2857" s="226"/>
      <c r="J2857" s="267"/>
      <c r="K2857" s="267"/>
      <c r="L2857" s="267"/>
      <c r="M2857" s="226"/>
      <c r="N2857" s="226"/>
      <c r="P2857" s="230">
        <f t="shared" si="1297"/>
        <v>0</v>
      </c>
    </row>
    <row r="2858" spans="1:16" x14ac:dyDescent="0.2">
      <c r="B2858" s="269" t="s">
        <v>488</v>
      </c>
      <c r="C2858" s="225"/>
      <c r="D2858" s="225"/>
      <c r="E2858" s="225"/>
      <c r="F2858" s="225"/>
      <c r="G2858" s="225"/>
      <c r="H2858" s="201"/>
      <c r="I2858" s="226"/>
      <c r="J2858" s="285" t="s">
        <v>488</v>
      </c>
      <c r="K2858" s="285"/>
      <c r="L2858" s="285"/>
      <c r="M2858" s="226"/>
      <c r="N2858" s="226"/>
      <c r="P2858" s="230">
        <f t="shared" si="1297"/>
        <v>0</v>
      </c>
    </row>
    <row r="2859" spans="1:16" x14ac:dyDescent="0.2">
      <c r="B2859" s="225"/>
      <c r="C2859" s="225"/>
      <c r="D2859" s="225"/>
      <c r="E2859" s="225"/>
      <c r="F2859" s="225"/>
      <c r="G2859" s="225"/>
      <c r="H2859" s="201"/>
      <c r="I2859" s="226"/>
      <c r="J2859" s="226"/>
      <c r="K2859" s="226"/>
      <c r="L2859" s="226"/>
      <c r="M2859" s="226"/>
      <c r="N2859" s="226"/>
      <c r="P2859" s="230">
        <f t="shared" si="1297"/>
        <v>0</v>
      </c>
    </row>
    <row r="2860" spans="1:16" x14ac:dyDescent="0.2">
      <c r="B2860" s="264" t="s">
        <v>489</v>
      </c>
      <c r="C2860" s="225"/>
      <c r="D2860" s="225"/>
      <c r="E2860" s="225"/>
      <c r="F2860" s="225"/>
      <c r="G2860" s="225"/>
      <c r="H2860" s="201"/>
      <c r="I2860" s="226"/>
      <c r="J2860" s="226" t="s">
        <v>489</v>
      </c>
      <c r="K2860" s="226"/>
      <c r="L2860" s="226"/>
      <c r="M2860" s="226"/>
      <c r="N2860" s="226"/>
      <c r="P2860" s="230">
        <f t="shared" si="1297"/>
        <v>0</v>
      </c>
    </row>
    <row r="2861" spans="1:16" x14ac:dyDescent="0.2">
      <c r="A2861" s="272"/>
      <c r="B2861" s="225"/>
      <c r="C2861" s="225"/>
      <c r="D2861" s="225"/>
      <c r="E2861" s="225"/>
      <c r="F2861" s="225"/>
      <c r="G2861" s="225"/>
      <c r="H2861" s="201"/>
      <c r="I2861" s="226"/>
      <c r="J2861" s="226"/>
      <c r="K2861" s="226"/>
      <c r="M2861" s="226"/>
      <c r="N2861" s="228"/>
    </row>
    <row r="2862" spans="1:16" x14ac:dyDescent="0.2">
      <c r="A2862" s="260"/>
      <c r="B2862" s="225"/>
      <c r="C2862" s="225"/>
      <c r="D2862" s="225"/>
      <c r="E2862" s="225"/>
      <c r="F2862" s="225"/>
      <c r="G2862" s="225"/>
      <c r="H2862" s="201"/>
      <c r="I2862" s="226"/>
      <c r="J2862" s="226"/>
      <c r="K2862" s="226"/>
      <c r="M2862" s="226"/>
      <c r="N2862" s="228" t="s">
        <v>455</v>
      </c>
      <c r="P2862" s="230">
        <f t="shared" ref="P2862:P2879" si="1298">IF(A2862&gt;0,1,0)</f>
        <v>0</v>
      </c>
    </row>
    <row r="2863" spans="1:16" x14ac:dyDescent="0.2">
      <c r="B2863" s="225"/>
      <c r="C2863" s="225"/>
      <c r="D2863" s="225"/>
      <c r="E2863" s="225"/>
      <c r="F2863" s="225"/>
      <c r="G2863" s="225"/>
      <c r="H2863" s="201"/>
      <c r="I2863" s="226"/>
      <c r="J2863" s="226"/>
      <c r="K2863" s="226"/>
      <c r="M2863" s="226"/>
      <c r="N2863" s="228" t="s">
        <v>456</v>
      </c>
      <c r="P2863" s="230">
        <f t="shared" si="1298"/>
        <v>0</v>
      </c>
    </row>
    <row r="2864" spans="1:16" x14ac:dyDescent="0.2">
      <c r="B2864" s="225"/>
      <c r="C2864" s="225"/>
      <c r="D2864" s="225"/>
      <c r="E2864" s="225"/>
      <c r="F2864" s="225"/>
      <c r="G2864" s="225"/>
      <c r="H2864" s="201"/>
      <c r="I2864" s="226"/>
      <c r="J2864" s="226"/>
      <c r="K2864" s="226"/>
      <c r="M2864" s="226"/>
      <c r="N2864" s="228" t="s">
        <v>457</v>
      </c>
      <c r="P2864" s="230">
        <f t="shared" si="1298"/>
        <v>0</v>
      </c>
    </row>
    <row r="2865" spans="1:18" x14ac:dyDescent="0.2">
      <c r="B2865" s="225"/>
      <c r="C2865" s="225"/>
      <c r="D2865" s="225"/>
      <c r="E2865" s="225"/>
      <c r="F2865" s="225"/>
      <c r="G2865" s="225"/>
      <c r="H2865" s="201"/>
      <c r="I2865" s="226"/>
      <c r="J2865" s="226"/>
      <c r="K2865" s="226"/>
      <c r="L2865" s="226"/>
      <c r="M2865" s="226"/>
      <c r="N2865" s="226"/>
      <c r="P2865" s="230">
        <f t="shared" si="1298"/>
        <v>0</v>
      </c>
    </row>
    <row r="2866" spans="1:18" x14ac:dyDescent="0.2">
      <c r="B2866" s="225"/>
      <c r="C2866" s="286" t="s">
        <v>458</v>
      </c>
      <c r="D2866" s="286"/>
      <c r="E2866" s="286"/>
      <c r="F2866" s="286"/>
      <c r="G2866" s="286"/>
      <c r="H2866" s="286"/>
      <c r="I2866" s="286"/>
      <c r="J2866" s="286"/>
      <c r="K2866" s="286"/>
      <c r="L2866" s="286"/>
      <c r="M2866" s="226"/>
      <c r="N2866" s="226"/>
      <c r="P2866" s="230">
        <f t="shared" si="1298"/>
        <v>0</v>
      </c>
    </row>
    <row r="2867" spans="1:18" x14ac:dyDescent="0.2">
      <c r="B2867" s="225"/>
      <c r="C2867" s="286" t="s">
        <v>459</v>
      </c>
      <c r="D2867" s="286"/>
      <c r="E2867" s="286"/>
      <c r="F2867" s="286"/>
      <c r="G2867" s="286"/>
      <c r="H2867" s="286"/>
      <c r="I2867" s="286"/>
      <c r="J2867" s="286"/>
      <c r="K2867" s="286"/>
      <c r="L2867" s="286"/>
      <c r="M2867" s="226"/>
      <c r="N2867" s="226"/>
      <c r="P2867" s="230">
        <f t="shared" si="1298"/>
        <v>0</v>
      </c>
    </row>
    <row r="2868" spans="1:18" x14ac:dyDescent="0.2">
      <c r="B2868" s="225" t="s">
        <v>460</v>
      </c>
      <c r="C2868" s="234"/>
      <c r="D2868" s="234"/>
      <c r="E2868" s="234"/>
      <c r="F2868" s="234"/>
      <c r="G2868" s="234"/>
      <c r="H2868" s="234"/>
      <c r="I2868" s="235"/>
      <c r="J2868" s="235"/>
      <c r="K2868" s="235"/>
      <c r="L2868" s="287" t="s">
        <v>461</v>
      </c>
      <c r="M2868" s="287"/>
      <c r="N2868" s="287"/>
      <c r="P2868" s="230">
        <f t="shared" si="1298"/>
        <v>0</v>
      </c>
    </row>
    <row r="2869" spans="1:18" x14ac:dyDescent="0.2">
      <c r="B2869" s="225"/>
      <c r="C2869" s="234"/>
      <c r="D2869" s="234"/>
      <c r="E2869" s="234"/>
      <c r="F2869" s="234"/>
      <c r="G2869" s="234"/>
      <c r="H2869" s="234"/>
      <c r="I2869" s="235"/>
      <c r="J2869" s="235"/>
      <c r="K2869" s="235"/>
      <c r="L2869" s="235"/>
      <c r="M2869" s="235"/>
      <c r="N2869" s="235"/>
      <c r="P2869" s="230">
        <f t="shared" si="1298"/>
        <v>0</v>
      </c>
    </row>
    <row r="2870" spans="1:18" x14ac:dyDescent="0.2">
      <c r="B2870" s="225" t="s">
        <v>2038</v>
      </c>
      <c r="C2870" s="234"/>
      <c r="D2870" s="234"/>
      <c r="E2870" s="234"/>
      <c r="F2870" s="234"/>
      <c r="G2870" s="234"/>
      <c r="H2870" s="234"/>
      <c r="I2870" s="235"/>
      <c r="J2870" s="235"/>
      <c r="K2870" s="235"/>
      <c r="L2870" s="235"/>
      <c r="M2870" s="235"/>
      <c r="N2870" s="235"/>
      <c r="P2870" s="230">
        <f t="shared" si="1298"/>
        <v>0</v>
      </c>
    </row>
    <row r="2871" spans="1:18" x14ac:dyDescent="0.2">
      <c r="B2871" s="225" t="s">
        <v>462</v>
      </c>
      <c r="C2871" s="234"/>
      <c r="D2871" s="234"/>
      <c r="E2871" s="234"/>
      <c r="F2871" s="234"/>
      <c r="G2871" s="234"/>
      <c r="H2871" s="234"/>
      <c r="I2871" s="235"/>
      <c r="J2871" s="235"/>
      <c r="K2871" s="235"/>
      <c r="L2871" s="235"/>
      <c r="M2871" s="235"/>
      <c r="N2871" s="235"/>
      <c r="P2871" s="230">
        <f t="shared" si="1298"/>
        <v>0</v>
      </c>
    </row>
    <row r="2872" spans="1:18" x14ac:dyDescent="0.2">
      <c r="B2872" s="225" t="s">
        <v>2037</v>
      </c>
      <c r="C2872" s="234"/>
      <c r="D2872" s="234"/>
      <c r="E2872" s="234"/>
      <c r="F2872" s="234"/>
      <c r="G2872" s="234"/>
      <c r="H2872" s="234"/>
      <c r="I2872" s="235"/>
      <c r="J2872" s="235"/>
      <c r="K2872" s="235"/>
      <c r="L2872" s="235"/>
      <c r="M2872" s="235"/>
      <c r="N2872" s="235"/>
      <c r="P2872" s="230">
        <f t="shared" si="1298"/>
        <v>0</v>
      </c>
    </row>
    <row r="2873" spans="1:18" x14ac:dyDescent="0.2">
      <c r="B2873" s="225" t="s">
        <v>2052</v>
      </c>
      <c r="C2873" s="234"/>
      <c r="D2873" s="234"/>
      <c r="E2873" s="234"/>
      <c r="F2873" s="234"/>
      <c r="G2873" s="234"/>
      <c r="H2873" s="234"/>
      <c r="I2873" s="235"/>
      <c r="J2873" s="235"/>
      <c r="K2873" s="235"/>
      <c r="L2873" s="235"/>
      <c r="M2873" s="235"/>
      <c r="N2873" s="235"/>
      <c r="P2873" s="230">
        <f t="shared" si="1298"/>
        <v>0</v>
      </c>
    </row>
    <row r="2874" spans="1:18" x14ac:dyDescent="0.2">
      <c r="B2874" s="225"/>
      <c r="C2874" s="225"/>
      <c r="D2874" s="225"/>
      <c r="E2874" s="225"/>
      <c r="F2874" s="225"/>
      <c r="G2874" s="225"/>
      <c r="H2874" s="201"/>
      <c r="I2874" s="226"/>
      <c r="J2874" s="226"/>
      <c r="K2874" s="226"/>
      <c r="L2874" s="226"/>
      <c r="M2874" s="226"/>
      <c r="N2874" s="226"/>
      <c r="P2874" s="230">
        <f t="shared" si="1298"/>
        <v>0</v>
      </c>
    </row>
    <row r="2875" spans="1:18" x14ac:dyDescent="0.2">
      <c r="B2875" s="288" t="s">
        <v>106</v>
      </c>
      <c r="C2875" s="290" t="s">
        <v>463</v>
      </c>
      <c r="D2875" s="288" t="s">
        <v>464</v>
      </c>
      <c r="E2875" s="288" t="s">
        <v>465</v>
      </c>
      <c r="F2875" s="288" t="s">
        <v>490</v>
      </c>
      <c r="G2875" s="288" t="s">
        <v>466</v>
      </c>
      <c r="H2875" s="292" t="s">
        <v>8</v>
      </c>
      <c r="I2875" s="294" t="s">
        <v>467</v>
      </c>
      <c r="J2875" s="295"/>
      <c r="K2875" s="295"/>
      <c r="L2875" s="296"/>
      <c r="M2875" s="297" t="s">
        <v>468</v>
      </c>
      <c r="N2875" s="299" t="s">
        <v>469</v>
      </c>
      <c r="P2875" s="230">
        <f t="shared" si="1298"/>
        <v>0</v>
      </c>
    </row>
    <row r="2876" spans="1:18" x14ac:dyDescent="0.2">
      <c r="B2876" s="289"/>
      <c r="C2876" s="291"/>
      <c r="D2876" s="289"/>
      <c r="E2876" s="289"/>
      <c r="F2876" s="289"/>
      <c r="G2876" s="289"/>
      <c r="H2876" s="293"/>
      <c r="I2876" s="236" t="s">
        <v>470</v>
      </c>
      <c r="J2876" s="236" t="s">
        <v>471</v>
      </c>
      <c r="K2876" s="236" t="s">
        <v>472</v>
      </c>
      <c r="L2876" s="236" t="s">
        <v>473</v>
      </c>
      <c r="M2876" s="298"/>
      <c r="N2876" s="300"/>
      <c r="P2876" s="230">
        <f t="shared" si="1298"/>
        <v>0</v>
      </c>
    </row>
    <row r="2877" spans="1:18" x14ac:dyDescent="0.2">
      <c r="A2877" s="224" t="str">
        <f>CONCATENATE("Лот"," ",A2878)</f>
        <v>Лот 53</v>
      </c>
      <c r="B2877" s="273" t="s">
        <v>2087</v>
      </c>
      <c r="C2877" s="274"/>
      <c r="D2877" s="274"/>
      <c r="E2877" s="274"/>
      <c r="F2877" s="274"/>
      <c r="G2877" s="275"/>
      <c r="H2877" s="238" t="s">
        <v>17</v>
      </c>
      <c r="I2877" s="270">
        <f ca="1">ROUND(VLOOKUP($H2877,$AJ$4:$AN$13,2,0)*$Q2879*1.51,2)</f>
        <v>120.15</v>
      </c>
      <c r="J2877" s="270">
        <f ca="1">ROUND(VLOOKUP($H2877,$AJ$4:$AN$13,3,0)*$Q2879*1.51,2)</f>
        <v>85.62</v>
      </c>
      <c r="K2877" s="270">
        <f ca="1">ROUND(VLOOKUP($H2877,$AJ$4:$AN$13,4,0)*$Q2879*1.51,2)</f>
        <v>43.38</v>
      </c>
      <c r="L2877" s="270"/>
      <c r="M2877" s="270">
        <f ca="1">ROUND(VLOOKUP($H2877,$AJ$4:$AN$13,5,0)*$Q2879*1.51,2)</f>
        <v>6.85</v>
      </c>
      <c r="N2877" s="270"/>
      <c r="P2877" s="230">
        <f t="shared" si="1298"/>
        <v>1</v>
      </c>
    </row>
    <row r="2878" spans="1:18" x14ac:dyDescent="0.2">
      <c r="A2878" s="224">
        <f>A2823+1</f>
        <v>53</v>
      </c>
      <c r="B2878" s="276"/>
      <c r="C2878" s="277"/>
      <c r="D2878" s="277"/>
      <c r="E2878" s="277"/>
      <c r="F2878" s="277"/>
      <c r="G2878" s="278"/>
      <c r="H2878" s="238" t="s">
        <v>25</v>
      </c>
      <c r="I2878" s="270">
        <f ca="1">ROUND(VLOOKUP($H2878,$AJ$4:$AN$13,2,0)*$Q2879*1.51,2)</f>
        <v>898.69</v>
      </c>
      <c r="J2878" s="270">
        <f ca="1">ROUND(VLOOKUP($H2878,$AJ$4:$AN$13,3,0)*$Q2879*1.51,2)</f>
        <v>642.13</v>
      </c>
      <c r="K2878" s="270">
        <f ca="1">ROUND(VLOOKUP($H2878,$AJ$4:$AN$13,4,0)*$Q2879*1.51,2)</f>
        <v>323.06</v>
      </c>
      <c r="L2878" s="270"/>
      <c r="M2878" s="270">
        <f ca="1">ROUND(VLOOKUP($H2878,$AJ$4:$AN$13,5,0)*$Q2879*1.51,2)</f>
        <v>27.97</v>
      </c>
      <c r="N2878" s="270"/>
      <c r="P2878" s="230">
        <f t="shared" si="1298"/>
        <v>1</v>
      </c>
      <c r="Q2878" s="240" t="s">
        <v>2045</v>
      </c>
      <c r="R2878" s="240" t="s">
        <v>2046</v>
      </c>
    </row>
    <row r="2879" spans="1:18" x14ac:dyDescent="0.2">
      <c r="B2879" s="276"/>
      <c r="C2879" s="277"/>
      <c r="D2879" s="277"/>
      <c r="E2879" s="277"/>
      <c r="F2879" s="277"/>
      <c r="G2879" s="278"/>
      <c r="H2879" s="238" t="s">
        <v>19</v>
      </c>
      <c r="I2879" s="270">
        <f ca="1">ROUND(VLOOKUP($H2879,$AJ$4:$AN$13,2,0)*$Q2879*1.51,2)</f>
        <v>71.349999999999994</v>
      </c>
      <c r="J2879" s="270">
        <f ca="1">ROUND(VLOOKUP($H2879,$AJ$4:$AN$13,3,0)*$Q2879*1.51,2)</f>
        <v>51.94</v>
      </c>
      <c r="K2879" s="270">
        <f ca="1">ROUND(VLOOKUP($H2879,$AJ$4:$AN$13,4,0)*$Q2879*1.51,2)</f>
        <v>26.54</v>
      </c>
      <c r="L2879" s="270"/>
      <c r="M2879" s="270">
        <f ca="1">ROUND(VLOOKUP($H2879,$AJ$4:$AN$13,5,0)*$Q2879*1.51,2)</f>
        <v>1.43</v>
      </c>
      <c r="N2879" s="270"/>
      <c r="P2879" s="230">
        <f t="shared" si="1298"/>
        <v>0</v>
      </c>
      <c r="Q2879" s="123">
        <f ca="1">IFERROR(IF(R2879="","",IF(OR(R2879&lt;100,R2879=100),0.9,IF(OR(AND(R2879&gt;100,R2879&lt;150),R2879=150),1,IF(R2879&gt;150,1.05,"")))),"0")</f>
        <v>1.05</v>
      </c>
      <c r="R2879" s="123">
        <f ca="1">N2895/G2883</f>
        <v>153.09677419354838</v>
      </c>
    </row>
    <row r="2880" spans="1:18" x14ac:dyDescent="0.2">
      <c r="B2880" s="276"/>
      <c r="C2880" s="277"/>
      <c r="D2880" s="277"/>
      <c r="E2880" s="277"/>
      <c r="F2880" s="277"/>
      <c r="G2880" s="278"/>
      <c r="H2880" s="238" t="s">
        <v>268</v>
      </c>
      <c r="I2880" s="270">
        <f ca="1">ROUND(VLOOKUP($H2880,$AJ$4:$AN$13,2,0)*$Q2879*1.51,2)</f>
        <v>898.69</v>
      </c>
      <c r="J2880" s="270">
        <f ca="1">ROUND(VLOOKUP($H2880,$AJ$4:$AN$13,3,0)*$Q2879*1.51,2)</f>
        <v>642.13</v>
      </c>
      <c r="K2880" s="270">
        <f ca="1">ROUND(VLOOKUP($H2880,$AJ$4:$AN$13,4,0)*$Q2879*1.51,2)</f>
        <v>323.06</v>
      </c>
      <c r="L2880" s="270"/>
      <c r="M2880" s="270">
        <f ca="1">ROUND(VLOOKUP($H2880,$AJ$4:$AN$13,5,0)*$Q2879*1.51,2)</f>
        <v>27.97</v>
      </c>
      <c r="N2880" s="270"/>
    </row>
    <row r="2881" spans="1:43" x14ac:dyDescent="0.2">
      <c r="B2881" s="276"/>
      <c r="C2881" s="277"/>
      <c r="D2881" s="277"/>
      <c r="E2881" s="277"/>
      <c r="F2881" s="277"/>
      <c r="G2881" s="278"/>
      <c r="H2881" s="238" t="s">
        <v>40</v>
      </c>
      <c r="I2881" s="270">
        <f ca="1">ROUND(VLOOKUP($H2881,$AJ$4:$AN$13,2,0)*$Q2879*1.51,2)</f>
        <v>71.349999999999994</v>
      </c>
      <c r="J2881" s="270">
        <f ca="1">ROUND(VLOOKUP($H2881,$AJ$4:$AN$13,3,0)*$Q2879*1.51,2)</f>
        <v>51.94</v>
      </c>
      <c r="K2881" s="270">
        <f ca="1">ROUND(VLOOKUP($H2881,$AJ$4:$AN$13,4,0)*$Q2879*1.51,2)</f>
        <v>26.54</v>
      </c>
      <c r="L2881" s="270"/>
      <c r="M2881" s="270">
        <f ca="1">ROUND(VLOOKUP($H2881,$AJ$4:$AN$13,5,0)*$Q2879*1.51,2)</f>
        <v>1.43</v>
      </c>
      <c r="N2881" s="270"/>
      <c r="P2881" s="230">
        <f t="shared" ref="P2881:P2894" si="1299">IF(A2881&gt;0,1,0)</f>
        <v>0</v>
      </c>
    </row>
    <row r="2882" spans="1:43" x14ac:dyDescent="0.2">
      <c r="B2882" s="279"/>
      <c r="C2882" s="280"/>
      <c r="D2882" s="280"/>
      <c r="E2882" s="280"/>
      <c r="F2882" s="280"/>
      <c r="G2882" s="281"/>
      <c r="H2882" s="238" t="s">
        <v>18</v>
      </c>
      <c r="I2882" s="270">
        <f ca="1">ROUND(VLOOKUP($H2882,$AJ$4:$AN$13,2,0)*$Q2879*1.51,2)</f>
        <v>22.83</v>
      </c>
      <c r="J2882" s="270">
        <f ca="1">ROUND(VLOOKUP($H2882,$AJ$4:$AN$13,3,0)*$Q2879*1.51,2)</f>
        <v>17.41</v>
      </c>
      <c r="K2882" s="270">
        <f ca="1">ROUND(VLOOKUP($H2882,$AJ$4:$AN$13,4,0)*$Q2879*1.51,2)</f>
        <v>8.85</v>
      </c>
      <c r="L2882" s="270"/>
      <c r="M2882" s="270">
        <f ca="1">ROUND(VLOOKUP($H2882,$AJ$4:$AN$13,5,0)*$Q2879*1.51*1,2)</f>
        <v>0.56999999999999995</v>
      </c>
      <c r="N2882" s="270"/>
      <c r="P2882" s="230">
        <f t="shared" si="1299"/>
        <v>0</v>
      </c>
      <c r="AP2882" s="241" t="s">
        <v>2053</v>
      </c>
      <c r="AQ2882" s="242"/>
    </row>
    <row r="2883" spans="1:43" x14ac:dyDescent="0.2">
      <c r="A2883" s="224">
        <f>A2828+37</f>
        <v>1924</v>
      </c>
      <c r="B2883" s="243" t="str">
        <f ca="1">OFFSET(ЛОТЫ!$L$5,A2883,0,1,1)</f>
        <v>Чулпановское</v>
      </c>
      <c r="C2883" s="244" t="s">
        <v>474</v>
      </c>
      <c r="D2883" s="243">
        <f ca="1">OFFSET(ЛОТЫ!$M$5,A2883,0,1,1)</f>
        <v>14</v>
      </c>
      <c r="E2883" s="243">
        <f ca="1">OFFSET(ЛОТЫ!$N$5,A2883,0,1,1)</f>
        <v>10</v>
      </c>
      <c r="F2883" s="243">
        <f ca="1">OFFSET(ЛОТЫ!$O$5,A2883,0,1,1)</f>
        <v>1</v>
      </c>
      <c r="G2883" s="271">
        <f ca="1">IFERROR(INDEX('Ведомость расчета мин. платы'!$G$10:$AC$214,MATCH(CONCATENATE(B2883,"/",D2883,"/",E2883,"/",F2883),'Ведомость расчета мин. платы'!$AC$10:$AC$214,0),1),"")</f>
        <v>9.3000000000000007</v>
      </c>
      <c r="H2883" s="246" t="s">
        <v>17</v>
      </c>
      <c r="I2883" s="247">
        <f ca="1">IFERROR(INDEX('Ведомость расчета мин. платы'!$J$10:$AE$214,MATCH(CONCATENATE(РАСЧЕТ!B2883,"/",РАСЧЕТ!D2883,"/",РАСЧЕТ!E2883,"/",F2883,"/",H2883),'Ведомость расчета мин. платы'!$AE$10:$AE$214,0),2),"")</f>
        <v>0</v>
      </c>
      <c r="J2883" s="247">
        <f ca="1">IFERROR(INDEX('Ведомость расчета мин. платы'!$J$10:$AE$214,MATCH(CONCATENATE(РАСЧЕТ!B2883,"/",РАСЧЕТ!D2883,"/",РАСЧЕТ!E2883,"/",F2883,"/",H2883),'Ведомость расчета мин. платы'!$AE$10:$AE$214,0),3),"")</f>
        <v>8.8000000000000007</v>
      </c>
      <c r="K2883" s="247">
        <f ca="1">IFERROR(INDEX('Ведомость расчета мин. платы'!$J$10:$AE$214,MATCH(CONCATENATE(РАСЧЕТ!B2883,"/",РАСЧЕТ!D2883,"/",РАСЧЕТ!E2883,"/",F2883,"/",H2883),'Ведомость расчета мин. платы'!$AE$10:$AE$214,0),4),"")</f>
        <v>31.2</v>
      </c>
      <c r="L2883" s="248">
        <f t="shared" ref="L2883:L2895" ca="1" si="1300">IFERROR(SUM(I2883:K2883),"")</f>
        <v>40</v>
      </c>
      <c r="M2883" s="214">
        <f ca="1">IFERROR(INDEX('Ведомость расчета мин. платы'!$J$10:$AE$214,MATCH(CONCATENATE(РАСЧЕТ!B2883,"/",РАСЧЕТ!D2883,"/",РАСЧЕТ!E2883,"/",F2883,"/",H2883),'Ведомость расчета мин. платы'!$AE$10:$AE$214,0),6),"")</f>
        <v>36.1</v>
      </c>
      <c r="N2883" s="214">
        <f t="shared" ref="N2883:N2895" ca="1" si="1301">IFERROR(SUM(L2883:M2883),"")</f>
        <v>76.099999999999994</v>
      </c>
      <c r="O2883" s="229">
        <f>IF(H2883="стоимость","",1)</f>
        <v>1</v>
      </c>
      <c r="P2883" s="230">
        <f t="shared" si="1299"/>
        <v>1</v>
      </c>
      <c r="AP2883" s="242"/>
      <c r="AQ2883" s="242"/>
    </row>
    <row r="2884" spans="1:43" x14ac:dyDescent="0.2">
      <c r="B2884" s="249"/>
      <c r="C2884" s="249"/>
      <c r="D2884" s="249"/>
      <c r="E2884" s="249"/>
      <c r="F2884" s="249"/>
      <c r="G2884" s="249"/>
      <c r="H2884" s="250" t="s">
        <v>475</v>
      </c>
      <c r="I2884" s="251">
        <f ca="1">IFERROR(ROUND(I2883*I2877,2),"")</f>
        <v>0</v>
      </c>
      <c r="J2884" s="251">
        <f t="shared" ref="J2884:K2884" ca="1" si="1302">IFERROR(ROUND(J2883*J2877,2),"")</f>
        <v>753.46</v>
      </c>
      <c r="K2884" s="251">
        <f t="shared" ca="1" si="1302"/>
        <v>1353.46</v>
      </c>
      <c r="L2884" s="251">
        <f t="shared" ca="1" si="1300"/>
        <v>2106.92</v>
      </c>
      <c r="M2884" s="251">
        <f t="shared" ref="M2884" ca="1" si="1303">IFERROR(ROUND(M2883*M2877,2),"")</f>
        <v>247.29</v>
      </c>
      <c r="N2884" s="252">
        <f t="shared" ca="1" si="1301"/>
        <v>2354.21</v>
      </c>
      <c r="O2884" s="229" t="str">
        <f t="shared" ref="O2884:O2894" si="1304">IF(H2884="стоимость","",1)</f>
        <v/>
      </c>
      <c r="P2884" s="230">
        <f t="shared" si="1299"/>
        <v>0</v>
      </c>
      <c r="AP2884" s="242">
        <f ca="1">SUMIFS('Ведомость расчета мин. платы'!$S$10:$S$209,'Ведомость расчета мин. платы'!$AE$10:$AE$209,CONCATENATE(B2883,"/",D2883,"/",E2883,"/",F2883,"/",H2883))</f>
        <v>2354.21</v>
      </c>
      <c r="AQ2884" s="253">
        <f t="shared" ref="AQ2884" ca="1" si="1305">AP2884-N2884</f>
        <v>0</v>
      </c>
    </row>
    <row r="2885" spans="1:43" x14ac:dyDescent="0.2">
      <c r="B2885" s="249"/>
      <c r="C2885" s="249"/>
      <c r="D2885" s="249"/>
      <c r="E2885" s="249"/>
      <c r="F2885" s="249"/>
      <c r="G2885" s="249"/>
      <c r="H2885" s="246" t="s">
        <v>25</v>
      </c>
      <c r="I2885" s="247" t="str">
        <f ca="1">IFERROR(INDEX('Ведомость расчета мин. платы'!$J$10:$AE$214,MATCH(CONCATENATE(РАСЧЕТ!B2883,"/",РАСЧЕТ!D2883,"/",РАСЧЕТ!E2883,"/",F2883,"/",H2885),'Ведомость расчета мин. платы'!$AE$10:$AE$214,0),2),"")</f>
        <v/>
      </c>
      <c r="J2885" s="247" t="str">
        <f ca="1">IFERROR(INDEX('Ведомость расчета мин. платы'!$J$10:$AE$214,MATCH(CONCATENATE(РАСЧЕТ!B2883,"/",РАСЧЕТ!D2883,"/",РАСЧЕТ!E2883,"/",F2883,"/",H2885),'Ведомость расчета мин. платы'!$AE$10:$AE$214,0),3),"")</f>
        <v/>
      </c>
      <c r="K2885" s="247" t="str">
        <f ca="1">IFERROR(INDEX('Ведомость расчета мин. платы'!$J$10:$AE$214,MATCH(CONCATENATE(РАСЧЕТ!B2883,"/",РАСЧЕТ!D2883,"/",РАСЧЕТ!E2883,"/",F2883,"/",H2885),'Ведомость расчета мин. платы'!$AE$10:$AE$214,0),4),"")</f>
        <v/>
      </c>
      <c r="L2885" s="248">
        <f t="shared" ca="1" si="1300"/>
        <v>0</v>
      </c>
      <c r="M2885" s="214" t="str">
        <f ca="1">IFERROR(INDEX('Ведомость расчета мин. платы'!$J$10:$AE$214,MATCH(CONCATENATE(РАСЧЕТ!B2883,"/",РАСЧЕТ!D2883,"/",РАСЧЕТ!E2883,"/",F2883,"/",H2885),'Ведомость расчета мин. платы'!$AE$10:$AE$214,0),6),"")</f>
        <v/>
      </c>
      <c r="N2885" s="214">
        <f t="shared" ca="1" si="1301"/>
        <v>0</v>
      </c>
      <c r="O2885" s="229">
        <f t="shared" si="1304"/>
        <v>1</v>
      </c>
      <c r="P2885" s="230">
        <f t="shared" si="1299"/>
        <v>0</v>
      </c>
      <c r="AP2885" s="242"/>
      <c r="AQ2885" s="253"/>
    </row>
    <row r="2886" spans="1:43" x14ac:dyDescent="0.2">
      <c r="B2886" s="249"/>
      <c r="C2886" s="249"/>
      <c r="D2886" s="249"/>
      <c r="E2886" s="249"/>
      <c r="F2886" s="249"/>
      <c r="G2886" s="249"/>
      <c r="H2886" s="250" t="s">
        <v>475</v>
      </c>
      <c r="I2886" s="251" t="str">
        <f ca="1">IFERROR(ROUND(I2885*I2878,2),"")</f>
        <v/>
      </c>
      <c r="J2886" s="251" t="str">
        <f t="shared" ref="J2886:K2886" ca="1" si="1306">IFERROR(ROUND(J2885*J2878,2),"")</f>
        <v/>
      </c>
      <c r="K2886" s="251" t="str">
        <f t="shared" ca="1" si="1306"/>
        <v/>
      </c>
      <c r="L2886" s="251">
        <f t="shared" ca="1" si="1300"/>
        <v>0</v>
      </c>
      <c r="M2886" s="251" t="str">
        <f t="shared" ref="M2886" ca="1" si="1307">IFERROR(ROUND(M2885*M2878,2),"")</f>
        <v/>
      </c>
      <c r="N2886" s="252">
        <f t="shared" ca="1" si="1301"/>
        <v>0</v>
      </c>
      <c r="O2886" s="229" t="str">
        <f t="shared" si="1304"/>
        <v/>
      </c>
      <c r="P2886" s="230">
        <f t="shared" si="1299"/>
        <v>0</v>
      </c>
      <c r="AP2886" s="242">
        <f ca="1">SUMIFS('Ведомость расчета мин. платы'!$S$10:$S$209,'Ведомость расчета мин. платы'!$AE$10:$AE$209,CONCATENATE(B2883,"/",D2883,"/",E2883,"/",F2883,"/",H2885))</f>
        <v>0</v>
      </c>
      <c r="AQ2886" s="253">
        <f t="shared" ref="AQ2886" ca="1" si="1308">AP2886-N2886</f>
        <v>0</v>
      </c>
    </row>
    <row r="2887" spans="1:43" x14ac:dyDescent="0.2">
      <c r="B2887" s="249"/>
      <c r="C2887" s="249"/>
      <c r="D2887" s="249"/>
      <c r="E2887" s="249"/>
      <c r="F2887" s="249"/>
      <c r="G2887" s="249"/>
      <c r="H2887" s="205" t="s">
        <v>19</v>
      </c>
      <c r="I2887" s="248" t="str">
        <f ca="1">IFERROR(INDEX('Ведомость расчета мин. платы'!$J$10:$AE$214,MATCH(CONCATENATE(РАСЧЕТ!B2883,"/",РАСЧЕТ!D2883,"/",РАСЧЕТ!E2883,"/",F2883,"/",H2887),'Ведомость расчета мин. платы'!$AE$10:$AE$214,0),2),"")</f>
        <v/>
      </c>
      <c r="J2887" s="248" t="str">
        <f ca="1">IFERROR(INDEX('Ведомость расчета мин. платы'!$J$10:$AE$214,MATCH(CONCATENATE(РАСЧЕТ!B2883,"/",РАСЧЕТ!D2883,"/",РАСЧЕТ!E2883,"/",F2883,"/",H2887),'Ведомость расчета мин. платы'!$AE$10:$AE$214,0),3),"")</f>
        <v/>
      </c>
      <c r="K2887" s="248" t="str">
        <f ca="1">IFERROR(INDEX('Ведомость расчета мин. платы'!$J$10:$AE$214,MATCH(CONCATENATE(РАСЧЕТ!B2883,"/",РАСЧЕТ!D2883,"/",РАСЧЕТ!E2883,"/",F2883,"/",H2887),'Ведомость расчета мин. платы'!$AE$10:$AE$214,0),4),"")</f>
        <v/>
      </c>
      <c r="L2887" s="248">
        <f t="shared" ca="1" si="1300"/>
        <v>0</v>
      </c>
      <c r="M2887" s="248" t="str">
        <f ca="1">IFERROR(INDEX('Ведомость расчета мин. платы'!$J$10:$AE$214,MATCH(CONCATENATE(РАСЧЕТ!B2883,"/",РАСЧЕТ!D2883,"/",РАСЧЕТ!E2883,"/",F2883,"/",H2887),'Ведомость расчета мин. платы'!$AE$10:$AE$214,0),6),"")</f>
        <v/>
      </c>
      <c r="N2887" s="214">
        <f t="shared" ca="1" si="1301"/>
        <v>0</v>
      </c>
      <c r="O2887" s="229">
        <f t="shared" si="1304"/>
        <v>1</v>
      </c>
      <c r="P2887" s="230">
        <f t="shared" si="1299"/>
        <v>0</v>
      </c>
      <c r="AP2887" s="242"/>
      <c r="AQ2887" s="253"/>
    </row>
    <row r="2888" spans="1:43" x14ac:dyDescent="0.2">
      <c r="B2888" s="249"/>
      <c r="C2888" s="249"/>
      <c r="D2888" s="249"/>
      <c r="E2888" s="249"/>
      <c r="F2888" s="249"/>
      <c r="G2888" s="249"/>
      <c r="H2888" s="250" t="s">
        <v>475</v>
      </c>
      <c r="I2888" s="251" t="str">
        <f ca="1">IFERROR(ROUND(I2887*I2879,2),"")</f>
        <v/>
      </c>
      <c r="J2888" s="251" t="str">
        <f t="shared" ref="J2888:K2888" ca="1" si="1309">IFERROR(ROUND(J2887*J2879,2),"")</f>
        <v/>
      </c>
      <c r="K2888" s="251" t="str">
        <f t="shared" ca="1" si="1309"/>
        <v/>
      </c>
      <c r="L2888" s="251">
        <f t="shared" ca="1" si="1300"/>
        <v>0</v>
      </c>
      <c r="M2888" s="251" t="str">
        <f t="shared" ref="M2888" ca="1" si="1310">IFERROR(ROUND(M2887*M2879,2),"")</f>
        <v/>
      </c>
      <c r="N2888" s="252">
        <f t="shared" ca="1" si="1301"/>
        <v>0</v>
      </c>
      <c r="O2888" s="229" t="str">
        <f t="shared" si="1304"/>
        <v/>
      </c>
      <c r="P2888" s="230">
        <f t="shared" si="1299"/>
        <v>0</v>
      </c>
      <c r="AP2888" s="242">
        <f ca="1">SUMIFS('Ведомость расчета мин. платы'!$S$10:$S$209,'Ведомость расчета мин. платы'!$AE$10:$AE$209,CONCATENATE(B2883,"/",D2883,"/",E2883,"/",F2883,"/",H2887))</f>
        <v>0</v>
      </c>
      <c r="AQ2888" s="253">
        <f t="shared" ref="AQ2888" ca="1" si="1311">AP2888-N2888</f>
        <v>0</v>
      </c>
    </row>
    <row r="2889" spans="1:43" x14ac:dyDescent="0.2">
      <c r="B2889" s="249"/>
      <c r="C2889" s="249"/>
      <c r="D2889" s="249"/>
      <c r="E2889" s="249"/>
      <c r="F2889" s="249"/>
      <c r="G2889" s="249"/>
      <c r="H2889" s="205" t="s">
        <v>268</v>
      </c>
      <c r="I2889" s="248" t="str">
        <f ca="1">IFERROR(INDEX('Ведомость расчета мин. платы'!$J$10:$AE$214,MATCH(CONCATENATE(РАСЧЕТ!B2883,"/",РАСЧЕТ!D2883,"/",РАСЧЕТ!E2883,"/",F2883,"/",H2889),'Ведомость расчета мин. платы'!$AE$10:$AE$214,0),2),"")</f>
        <v/>
      </c>
      <c r="J2889" s="248" t="str">
        <f ca="1">IFERROR(INDEX('Ведомость расчета мин. платы'!$J$10:$AE$214,MATCH(CONCATENATE(РАСЧЕТ!B2883,"/",РАСЧЕТ!D2883,"/",РАСЧЕТ!E2883,"/",F2883,"/",H2889),'Ведомость расчета мин. платы'!$AE$10:$AE$214,0),3),"")</f>
        <v/>
      </c>
      <c r="K2889" s="248" t="str">
        <f ca="1">IFERROR(INDEX('Ведомость расчета мин. платы'!$J$10:$AE$214,MATCH(CONCATENATE(РАСЧЕТ!B2883,"/",РАСЧЕТ!D2883,"/",РАСЧЕТ!E2883,"/",F2883,"/",H2889),'Ведомость расчета мин. платы'!$AE$10:$AE$214,0),4),"")</f>
        <v/>
      </c>
      <c r="L2889" s="248">
        <f t="shared" ca="1" si="1300"/>
        <v>0</v>
      </c>
      <c r="M2889" s="248" t="str">
        <f ca="1">IFERROR(INDEX('Ведомость расчета мин. платы'!$J$10:$AE$214,MATCH(CONCATENATE(РАСЧЕТ!B2883,"/",РАСЧЕТ!D2883,"/",РАСЧЕТ!E2883,"/",F2883,"/",H2889),'Ведомость расчета мин. платы'!$AE$10:$AE$214,0),6),"")</f>
        <v/>
      </c>
      <c r="N2889" s="214">
        <f t="shared" ca="1" si="1301"/>
        <v>0</v>
      </c>
      <c r="O2889" s="229">
        <f t="shared" si="1304"/>
        <v>1</v>
      </c>
      <c r="P2889" s="230">
        <f t="shared" si="1299"/>
        <v>0</v>
      </c>
      <c r="AP2889" s="242"/>
      <c r="AQ2889" s="253"/>
    </row>
    <row r="2890" spans="1:43" x14ac:dyDescent="0.2">
      <c r="B2890" s="249"/>
      <c r="C2890" s="249"/>
      <c r="D2890" s="249"/>
      <c r="E2890" s="249"/>
      <c r="F2890" s="249"/>
      <c r="G2890" s="249"/>
      <c r="H2890" s="250" t="s">
        <v>475</v>
      </c>
      <c r="I2890" s="251" t="str">
        <f ca="1">IFERROR(ROUND(I2889*I2882,2),"")</f>
        <v/>
      </c>
      <c r="J2890" s="251" t="str">
        <f ca="1">IFERROR(ROUND(J2889*J2880,2),"")</f>
        <v/>
      </c>
      <c r="K2890" s="251" t="str">
        <f ca="1">IFERROR(ROUND(K2889*K2880,2),"")</f>
        <v/>
      </c>
      <c r="L2890" s="251">
        <f t="shared" ca="1" si="1300"/>
        <v>0</v>
      </c>
      <c r="M2890" s="251" t="str">
        <f ca="1">IFERROR(ROUND(M2889*M2880,2),"")</f>
        <v/>
      </c>
      <c r="N2890" s="252">
        <f t="shared" ca="1" si="1301"/>
        <v>0</v>
      </c>
      <c r="O2890" s="229" t="str">
        <f t="shared" si="1304"/>
        <v/>
      </c>
      <c r="P2890" s="230">
        <f t="shared" si="1299"/>
        <v>0</v>
      </c>
      <c r="AP2890" s="242">
        <f ca="1">SUMIFS('Ведомость расчета мин. платы'!$S$10:$S$209,'Ведомость расчета мин. платы'!$AE$10:$AE$209,CONCATENATE(B2883,"/",D2883,"/",E2883,"/",F2883,"/",H2889))</f>
        <v>0</v>
      </c>
      <c r="AQ2890" s="253">
        <f t="shared" ref="AQ2890" ca="1" si="1312">AP2890-N2890</f>
        <v>0</v>
      </c>
    </row>
    <row r="2891" spans="1:43" x14ac:dyDescent="0.2">
      <c r="B2891" s="249"/>
      <c r="C2891" s="249"/>
      <c r="D2891" s="249"/>
      <c r="E2891" s="249"/>
      <c r="F2891" s="249"/>
      <c r="G2891" s="249"/>
      <c r="H2891" s="205" t="s">
        <v>40</v>
      </c>
      <c r="I2891" s="248" t="str">
        <f ca="1">IFERROR(INDEX('Ведомость расчета мин. платы'!$J$10:$AE$214,MATCH(CONCATENATE(РАСЧЕТ!B2883,"/",РАСЧЕТ!D2883,"/",РАСЧЕТ!E2883,"/",F2883,"/",H2891),'Ведомость расчета мин. платы'!$AE$10:$AE$214,0),2),"")</f>
        <v/>
      </c>
      <c r="J2891" s="248" t="str">
        <f ca="1">IFERROR(INDEX('Ведомость расчета мин. платы'!$J$10:$AE$214,MATCH(CONCATENATE(РАСЧЕТ!B2883,"/",РАСЧЕТ!D2883,"/",РАСЧЕТ!E2883,"/",F2883,"/",H2891),'Ведомость расчета мин. платы'!$AE$10:$AE$214,0),3),"")</f>
        <v/>
      </c>
      <c r="K2891" s="248" t="str">
        <f ca="1">IFERROR(INDEX('Ведомость расчета мин. платы'!$J$10:$AE$214,MATCH(CONCATENATE(РАСЧЕТ!B2883,"/",РАСЧЕТ!D2883,"/",РАСЧЕТ!E2883,"/",F2883,"/",H2891),'Ведомость расчета мин. платы'!$AE$10:$AE$214,0),4),"")</f>
        <v/>
      </c>
      <c r="L2891" s="248">
        <f t="shared" ca="1" si="1300"/>
        <v>0</v>
      </c>
      <c r="M2891" s="248" t="str">
        <f ca="1">IFERROR(INDEX('Ведомость расчета мин. платы'!$J$10:$AE$214,MATCH(CONCATENATE(РАСЧЕТ!B2883,"/",РАСЧЕТ!D2883,"/",РАСЧЕТ!E2883,"/",F2883,"/",H2891),'Ведомость расчета мин. платы'!$AE$10:$AE$214,0),6),"")</f>
        <v/>
      </c>
      <c r="N2891" s="214">
        <f t="shared" ca="1" si="1301"/>
        <v>0</v>
      </c>
      <c r="O2891" s="229">
        <f t="shared" si="1304"/>
        <v>1</v>
      </c>
      <c r="P2891" s="230">
        <f t="shared" si="1299"/>
        <v>0</v>
      </c>
      <c r="AP2891" s="242"/>
      <c r="AQ2891" s="253"/>
    </row>
    <row r="2892" spans="1:43" x14ac:dyDescent="0.2">
      <c r="B2892" s="249"/>
      <c r="C2892" s="249"/>
      <c r="D2892" s="249"/>
      <c r="E2892" s="249"/>
      <c r="F2892" s="249"/>
      <c r="G2892" s="249"/>
      <c r="H2892" s="250" t="s">
        <v>475</v>
      </c>
      <c r="I2892" s="251" t="str">
        <f ca="1">IFERROR(ROUND(I2891*I2881,2),"")</f>
        <v/>
      </c>
      <c r="J2892" s="251" t="str">
        <f t="shared" ref="J2892:K2892" ca="1" si="1313">IFERROR(ROUND(J2891*J2881,2),"")</f>
        <v/>
      </c>
      <c r="K2892" s="251" t="str">
        <f t="shared" ca="1" si="1313"/>
        <v/>
      </c>
      <c r="L2892" s="251">
        <f t="shared" ca="1" si="1300"/>
        <v>0</v>
      </c>
      <c r="M2892" s="251" t="str">
        <f t="shared" ref="M2892" ca="1" si="1314">IFERROR(ROUND(M2891*M2881,2),"")</f>
        <v/>
      </c>
      <c r="N2892" s="252">
        <f t="shared" ca="1" si="1301"/>
        <v>0</v>
      </c>
      <c r="O2892" s="229" t="str">
        <f t="shared" si="1304"/>
        <v/>
      </c>
      <c r="P2892" s="230">
        <f t="shared" si="1299"/>
        <v>0</v>
      </c>
      <c r="AP2892" s="242">
        <f ca="1">SUMIFS('Ведомость расчета мин. платы'!$S$10:$S$209,'Ведомость расчета мин. платы'!$AE$10:$AE$209,CONCATENATE(B2883,"/",D2883,"/",E2883,"/",F2883,"/",H2891))</f>
        <v>0</v>
      </c>
      <c r="AQ2892" s="253">
        <f t="shared" ref="AQ2892" ca="1" si="1315">AP2892-N2892</f>
        <v>0</v>
      </c>
    </row>
    <row r="2893" spans="1:43" x14ac:dyDescent="0.2">
      <c r="B2893" s="249"/>
      <c r="C2893" s="249"/>
      <c r="D2893" s="249"/>
      <c r="E2893" s="249"/>
      <c r="F2893" s="249"/>
      <c r="G2893" s="249"/>
      <c r="H2893" s="205" t="s">
        <v>18</v>
      </c>
      <c r="I2893" s="248">
        <f ca="1">IFERROR(INDEX('Ведомость расчета мин. платы'!$J$10:$AE$214,MATCH(CONCATENATE(РАСЧЕТ!B2883,"/",РАСЧЕТ!D2883,"/",РАСЧЕТ!E2883,"/",F2883,"/",H2893),'Ведомость расчета мин. платы'!$AE$10:$AE$214,0),2),"")</f>
        <v>249</v>
      </c>
      <c r="J2893" s="248">
        <f ca="1">IFERROR(INDEX('Ведомость расчета мин. платы'!$J$10:$AE$214,MATCH(CONCATENATE(РАСЧЕТ!B2883,"/",РАСЧЕТ!D2883,"/",РАСЧЕТ!E2883,"/",F2883,"/",H2893),'Ведомость расчета мин. платы'!$AE$10:$AE$214,0),3),"")</f>
        <v>382.6</v>
      </c>
      <c r="K2893" s="248">
        <f ca="1">IFERROR(INDEX('Ведомость расчета мин. платы'!$J$10:$AE$214,MATCH(CONCATENATE(РАСЧЕТ!B2883,"/",РАСЧЕТ!D2883,"/",РАСЧЕТ!E2883,"/",F2883,"/",H2893),'Ведомость расчета мин. платы'!$AE$10:$AE$214,0),4),"")</f>
        <v>17.7</v>
      </c>
      <c r="L2893" s="248">
        <f t="shared" ca="1" si="1300"/>
        <v>649.30000000000007</v>
      </c>
      <c r="M2893" s="248">
        <f ca="1">IFERROR(INDEX('Ведомость расчета мин. платы'!$J$10:$AE$214,MATCH(CONCATENATE(РАСЧЕТ!B2883,"/",РАСЧЕТ!D2883,"/",РАСЧЕТ!E2883,"/",F2883,"/",H2893),'Ведомость расчета мин. платы'!$AE$10:$AE$214,0),6),"")</f>
        <v>698.4</v>
      </c>
      <c r="N2893" s="214">
        <f t="shared" ca="1" si="1301"/>
        <v>1347.7</v>
      </c>
      <c r="O2893" s="229">
        <f t="shared" si="1304"/>
        <v>1</v>
      </c>
      <c r="P2893" s="230">
        <f t="shared" si="1299"/>
        <v>0</v>
      </c>
      <c r="AP2893" s="242"/>
      <c r="AQ2893" s="253"/>
    </row>
    <row r="2894" spans="1:43" x14ac:dyDescent="0.2">
      <c r="B2894" s="249"/>
      <c r="C2894" s="249"/>
      <c r="D2894" s="249"/>
      <c r="E2894" s="249"/>
      <c r="F2894" s="249"/>
      <c r="G2894" s="249"/>
      <c r="H2894" s="250" t="s">
        <v>475</v>
      </c>
      <c r="I2894" s="251">
        <f ca="1">IFERROR(ROUND(I2893*I2882,2),"")</f>
        <v>5684.67</v>
      </c>
      <c r="J2894" s="251">
        <f t="shared" ref="J2894:K2894" ca="1" si="1316">IFERROR(ROUND(J2893*J2882,2),"")</f>
        <v>6661.07</v>
      </c>
      <c r="K2894" s="251">
        <f t="shared" ca="1" si="1316"/>
        <v>156.65</v>
      </c>
      <c r="L2894" s="251">
        <f t="shared" ca="1" si="1300"/>
        <v>12502.39</v>
      </c>
      <c r="M2894" s="251">
        <f t="shared" ref="M2894" ca="1" si="1317">IFERROR(ROUND(M2893*M2882,2),"")</f>
        <v>398.09</v>
      </c>
      <c r="N2894" s="252">
        <f t="shared" ca="1" si="1301"/>
        <v>12900.48</v>
      </c>
      <c r="O2894" s="229" t="str">
        <f t="shared" si="1304"/>
        <v/>
      </c>
      <c r="P2894" s="230">
        <f t="shared" si="1299"/>
        <v>0</v>
      </c>
      <c r="AP2894" s="242">
        <f ca="1">SUMIFS('Ведомость расчета мин. платы'!$S$10:$S$209,'Ведомость расчета мин. платы'!$AE$10:$AE$209,CONCATENATE(B2883,"/",D2883,"/",E2883,"/",F2883,"/",H2893))</f>
        <v>12900.48</v>
      </c>
      <c r="AQ2894" s="253">
        <f t="shared" ref="AQ2894" ca="1" si="1318">AP2894-N2894</f>
        <v>0</v>
      </c>
    </row>
    <row r="2895" spans="1:43" x14ac:dyDescent="0.2">
      <c r="B2895" s="249"/>
      <c r="C2895" s="249"/>
      <c r="D2895" s="249"/>
      <c r="E2895" s="249"/>
      <c r="F2895" s="249"/>
      <c r="G2895" s="249"/>
      <c r="H2895" s="254" t="s">
        <v>476</v>
      </c>
      <c r="I2895" s="251">
        <f ca="1">SUMIF($O2883:$O2896,1,I2883:I2894)</f>
        <v>249</v>
      </c>
      <c r="J2895" s="251">
        <f ca="1">SUMIF($O2883:$O2896,1,J2883:J2894)</f>
        <v>391.40000000000003</v>
      </c>
      <c r="K2895" s="251">
        <f ca="1">SUMIF($O2883:$O2896,1,K2883:K2894)</f>
        <v>48.9</v>
      </c>
      <c r="L2895" s="251">
        <f t="shared" ca="1" si="1300"/>
        <v>689.30000000000007</v>
      </c>
      <c r="M2895" s="251">
        <f ca="1">SUMIF($O2883:$O2896,1,M2883:M2894)</f>
        <v>734.5</v>
      </c>
      <c r="N2895" s="252">
        <f t="shared" ca="1" si="1301"/>
        <v>1423.8000000000002</v>
      </c>
      <c r="AP2895" s="242"/>
      <c r="AQ2895" s="253"/>
    </row>
    <row r="2896" spans="1:43" x14ac:dyDescent="0.2">
      <c r="B2896" s="249"/>
      <c r="C2896" s="249"/>
      <c r="D2896" s="249"/>
      <c r="E2896" s="249"/>
      <c r="F2896" s="249"/>
      <c r="G2896" s="249"/>
      <c r="H2896" s="254" t="s">
        <v>491</v>
      </c>
      <c r="I2896" s="251">
        <f ca="1">SUMIF(H2883:H2894,"стоимость",I2883:I2894)</f>
        <v>5684.67</v>
      </c>
      <c r="J2896" s="251">
        <f ca="1">SUMIF(H2883:H2894,"стоимость",J2883:J2894)</f>
        <v>7414.53</v>
      </c>
      <c r="K2896" s="251">
        <f ca="1">SUMIF(H2883:H2894,"стоимость",K2883:K2894)</f>
        <v>1510.1100000000001</v>
      </c>
      <c r="L2896" s="251">
        <f ca="1">IFERROR(SUM(I2896:K2896),"")</f>
        <v>14609.310000000001</v>
      </c>
      <c r="M2896" s="251">
        <f ca="1">SUMIF(H2883:H2894,"стоимость",M2883:M2894)</f>
        <v>645.38</v>
      </c>
      <c r="N2896" s="252">
        <f ca="1">IFERROR(SUM(L2896:M2896),"")</f>
        <v>15254.69</v>
      </c>
      <c r="AP2896" s="242">
        <f ca="1">SUMIFS('Ведомость расчета мин. платы'!$S$10:$S$209,'Ведомость расчета мин. платы'!$J$10:$J$209,"Итого",'Ведомость расчета мин. платы'!$AC$10:$AC$209,CONCATENATE(B2883,"/",D2883,"/",E2883,"/",F2883))</f>
        <v>15254.689999999999</v>
      </c>
      <c r="AQ2896" s="253">
        <f ca="1">AP2896-N2896</f>
        <v>0</v>
      </c>
    </row>
    <row r="2897" spans="2:16" x14ac:dyDescent="0.2">
      <c r="B2897" s="255"/>
      <c r="C2897" s="255"/>
      <c r="D2897" s="255"/>
      <c r="E2897" s="255"/>
      <c r="F2897" s="255"/>
      <c r="G2897" s="256"/>
      <c r="H2897" s="257"/>
      <c r="I2897" s="258"/>
      <c r="J2897" s="258"/>
      <c r="K2897" s="258"/>
      <c r="L2897" s="258"/>
      <c r="M2897" s="258"/>
      <c r="N2897" s="258"/>
      <c r="P2897" s="230">
        <f t="shared" ref="P2897:P2915" si="1319">IF(A2897&gt;0,1,0)</f>
        <v>0</v>
      </c>
    </row>
    <row r="2898" spans="2:16" x14ac:dyDescent="0.2">
      <c r="B2898" s="282" t="s">
        <v>477</v>
      </c>
      <c r="C2898" s="282"/>
      <c r="D2898" s="282"/>
      <c r="E2898" s="282"/>
      <c r="F2898" s="259"/>
      <c r="G2898" s="225"/>
      <c r="H2898" s="201"/>
      <c r="I2898" s="226"/>
      <c r="J2898" s="258"/>
      <c r="K2898" s="258"/>
      <c r="L2898" s="258"/>
      <c r="M2898" s="258"/>
      <c r="N2898" s="258"/>
      <c r="P2898" s="230">
        <f t="shared" si="1319"/>
        <v>0</v>
      </c>
    </row>
    <row r="2899" spans="2:16" x14ac:dyDescent="0.2">
      <c r="B2899" s="283" t="s">
        <v>525</v>
      </c>
      <c r="C2899" s="283"/>
      <c r="D2899" s="283"/>
      <c r="E2899" s="283"/>
      <c r="F2899" s="283"/>
      <c r="G2899" s="283"/>
      <c r="H2899" s="283"/>
      <c r="I2899" s="283"/>
      <c r="J2899" s="261"/>
      <c r="K2899" s="261"/>
      <c r="L2899" s="261"/>
      <c r="M2899" s="261"/>
      <c r="N2899" s="261"/>
      <c r="P2899" s="230">
        <f t="shared" si="1319"/>
        <v>0</v>
      </c>
    </row>
    <row r="2900" spans="2:16" x14ac:dyDescent="0.2">
      <c r="B2900" s="284" t="s">
        <v>478</v>
      </c>
      <c r="C2900" s="284"/>
      <c r="D2900" s="284"/>
      <c r="E2900" s="284"/>
      <c r="F2900" s="284"/>
      <c r="G2900" s="284"/>
      <c r="H2900" s="284"/>
      <c r="I2900" s="284"/>
      <c r="J2900" s="258"/>
      <c r="K2900" s="258"/>
      <c r="L2900" s="258"/>
      <c r="M2900" s="258"/>
      <c r="N2900" s="258"/>
      <c r="P2900" s="230">
        <f t="shared" si="1319"/>
        <v>0</v>
      </c>
    </row>
    <row r="2901" spans="2:16" x14ac:dyDescent="0.2">
      <c r="B2901" s="284" t="s">
        <v>479</v>
      </c>
      <c r="C2901" s="284"/>
      <c r="D2901" s="284"/>
      <c r="E2901" s="284"/>
      <c r="F2901" s="284"/>
      <c r="G2901" s="284"/>
      <c r="H2901" s="284"/>
      <c r="I2901" s="284"/>
      <c r="J2901" s="258"/>
      <c r="K2901" s="258"/>
      <c r="L2901" s="258"/>
      <c r="M2901" s="258"/>
      <c r="N2901" s="258"/>
      <c r="P2901" s="230">
        <f t="shared" si="1319"/>
        <v>0</v>
      </c>
    </row>
    <row r="2902" spans="2:16" x14ac:dyDescent="0.2">
      <c r="B2902" s="284" t="s">
        <v>480</v>
      </c>
      <c r="C2902" s="284"/>
      <c r="D2902" s="284"/>
      <c r="E2902" s="284"/>
      <c r="F2902" s="284"/>
      <c r="G2902" s="284"/>
      <c r="H2902" s="284"/>
      <c r="I2902" s="284"/>
      <c r="J2902" s="258"/>
      <c r="K2902" s="258"/>
      <c r="L2902" s="258"/>
      <c r="M2902" s="258"/>
      <c r="N2902" s="258"/>
      <c r="P2902" s="230">
        <f t="shared" si="1319"/>
        <v>0</v>
      </c>
    </row>
    <row r="2903" spans="2:16" x14ac:dyDescent="0.2">
      <c r="B2903" s="284" t="s">
        <v>481</v>
      </c>
      <c r="C2903" s="284"/>
      <c r="D2903" s="284"/>
      <c r="E2903" s="284"/>
      <c r="F2903" s="284"/>
      <c r="G2903" s="284"/>
      <c r="H2903" s="284"/>
      <c r="I2903" s="284"/>
      <c r="J2903" s="226"/>
      <c r="K2903" s="226"/>
      <c r="L2903" s="226"/>
      <c r="M2903" s="226"/>
      <c r="N2903" s="226"/>
      <c r="P2903" s="230">
        <f t="shared" si="1319"/>
        <v>0</v>
      </c>
    </row>
    <row r="2904" spans="2:16" x14ac:dyDescent="0.2">
      <c r="B2904" s="284" t="s">
        <v>482</v>
      </c>
      <c r="C2904" s="284"/>
      <c r="D2904" s="284"/>
      <c r="E2904" s="284"/>
      <c r="F2904" s="284"/>
      <c r="G2904" s="284"/>
      <c r="H2904" s="284"/>
      <c r="I2904" s="284"/>
      <c r="J2904" s="226"/>
      <c r="K2904" s="226"/>
      <c r="L2904" s="226"/>
      <c r="M2904" s="226"/>
      <c r="N2904" s="226"/>
      <c r="P2904" s="230">
        <f t="shared" si="1319"/>
        <v>0</v>
      </c>
    </row>
    <row r="2905" spans="2:16" x14ac:dyDescent="0.2">
      <c r="B2905" s="284" t="s">
        <v>483</v>
      </c>
      <c r="C2905" s="284"/>
      <c r="D2905" s="284"/>
      <c r="E2905" s="284"/>
      <c r="F2905" s="284"/>
      <c r="G2905" s="284"/>
      <c r="H2905" s="284"/>
      <c r="I2905" s="284"/>
      <c r="J2905" s="226"/>
      <c r="K2905" s="226"/>
      <c r="L2905" s="226"/>
      <c r="M2905" s="226"/>
      <c r="N2905" s="226"/>
      <c r="P2905" s="230">
        <f t="shared" si="1319"/>
        <v>0</v>
      </c>
    </row>
    <row r="2906" spans="2:16" x14ac:dyDescent="0.2">
      <c r="B2906" s="284" t="s">
        <v>484</v>
      </c>
      <c r="C2906" s="284"/>
      <c r="D2906" s="284"/>
      <c r="E2906" s="284"/>
      <c r="F2906" s="284"/>
      <c r="G2906" s="284"/>
      <c r="H2906" s="284"/>
      <c r="I2906" s="284"/>
      <c r="J2906" s="226"/>
      <c r="K2906" s="226"/>
      <c r="L2906" s="226"/>
      <c r="M2906" s="226"/>
      <c r="N2906" s="226"/>
      <c r="P2906" s="230">
        <f t="shared" si="1319"/>
        <v>0</v>
      </c>
    </row>
    <row r="2907" spans="2:16" x14ac:dyDescent="0.2">
      <c r="B2907" s="264"/>
      <c r="C2907" s="264"/>
      <c r="D2907" s="264"/>
      <c r="E2907" s="264"/>
      <c r="F2907" s="264"/>
      <c r="G2907" s="264"/>
      <c r="H2907" s="264"/>
      <c r="I2907" s="265"/>
      <c r="J2907" s="226"/>
      <c r="K2907" s="226"/>
      <c r="L2907" s="226"/>
      <c r="M2907" s="226"/>
      <c r="N2907" s="226"/>
      <c r="P2907" s="230">
        <f t="shared" si="1319"/>
        <v>0</v>
      </c>
    </row>
    <row r="2908" spans="2:16" x14ac:dyDescent="0.2">
      <c r="B2908" s="225" t="s">
        <v>485</v>
      </c>
      <c r="C2908" s="225"/>
      <c r="D2908" s="225"/>
      <c r="E2908" s="225"/>
      <c r="F2908" s="225"/>
      <c r="G2908" s="225"/>
      <c r="H2908" s="201"/>
      <c r="I2908" s="226"/>
      <c r="J2908" s="226" t="s">
        <v>486</v>
      </c>
      <c r="K2908" s="226"/>
      <c r="L2908" s="226"/>
      <c r="M2908" s="226"/>
      <c r="N2908" s="226"/>
      <c r="P2908" s="230">
        <f t="shared" si="1319"/>
        <v>0</v>
      </c>
    </row>
    <row r="2909" spans="2:16" x14ac:dyDescent="0.2">
      <c r="B2909" s="266" t="s">
        <v>524</v>
      </c>
      <c r="C2909" s="266"/>
      <c r="D2909" s="225"/>
      <c r="E2909" s="225"/>
      <c r="F2909" s="225"/>
      <c r="G2909" s="225"/>
      <c r="H2909" s="201"/>
      <c r="I2909" s="226"/>
      <c r="J2909" s="267"/>
      <c r="K2909" s="267"/>
      <c r="L2909" s="267"/>
      <c r="M2909" s="226"/>
      <c r="N2909" s="226"/>
      <c r="P2909" s="230">
        <f t="shared" si="1319"/>
        <v>0</v>
      </c>
    </row>
    <row r="2910" spans="2:16" x14ac:dyDescent="0.2">
      <c r="B2910" s="268" t="s">
        <v>487</v>
      </c>
      <c r="C2910" s="225"/>
      <c r="D2910" s="225"/>
      <c r="E2910" s="225"/>
      <c r="F2910" s="225"/>
      <c r="G2910" s="225"/>
      <c r="H2910" s="201"/>
      <c r="I2910" s="226"/>
      <c r="J2910" s="226" t="s">
        <v>487</v>
      </c>
      <c r="K2910" s="226"/>
      <c r="L2910" s="226"/>
      <c r="M2910" s="226"/>
      <c r="N2910" s="226"/>
      <c r="P2910" s="230">
        <f t="shared" si="1319"/>
        <v>0</v>
      </c>
    </row>
    <row r="2911" spans="2:16" x14ac:dyDescent="0.2">
      <c r="B2911" s="225"/>
      <c r="C2911" s="225"/>
      <c r="D2911" s="225"/>
      <c r="E2911" s="225"/>
      <c r="F2911" s="225"/>
      <c r="G2911" s="225"/>
      <c r="H2911" s="201"/>
      <c r="I2911" s="226"/>
      <c r="J2911" s="226"/>
      <c r="K2911" s="226"/>
      <c r="L2911" s="226"/>
      <c r="M2911" s="226"/>
      <c r="N2911" s="226"/>
      <c r="P2911" s="230">
        <f t="shared" si="1319"/>
        <v>0</v>
      </c>
    </row>
    <row r="2912" spans="2:16" x14ac:dyDescent="0.2">
      <c r="B2912" s="266"/>
      <c r="C2912" s="266"/>
      <c r="D2912" s="225"/>
      <c r="E2912" s="225"/>
      <c r="F2912" s="225"/>
      <c r="G2912" s="225"/>
      <c r="H2912" s="201"/>
      <c r="I2912" s="226"/>
      <c r="J2912" s="267"/>
      <c r="K2912" s="267"/>
      <c r="L2912" s="267"/>
      <c r="M2912" s="226"/>
      <c r="N2912" s="226"/>
      <c r="P2912" s="230">
        <f t="shared" si="1319"/>
        <v>0</v>
      </c>
    </row>
    <row r="2913" spans="1:16" x14ac:dyDescent="0.2">
      <c r="B2913" s="269" t="s">
        <v>488</v>
      </c>
      <c r="C2913" s="225"/>
      <c r="D2913" s="225"/>
      <c r="E2913" s="225"/>
      <c r="F2913" s="225"/>
      <c r="G2913" s="225"/>
      <c r="H2913" s="201"/>
      <c r="I2913" s="226"/>
      <c r="J2913" s="285" t="s">
        <v>488</v>
      </c>
      <c r="K2913" s="285"/>
      <c r="L2913" s="285"/>
      <c r="M2913" s="226"/>
      <c r="N2913" s="226"/>
      <c r="P2913" s="230">
        <f t="shared" si="1319"/>
        <v>0</v>
      </c>
    </row>
    <row r="2914" spans="1:16" x14ac:dyDescent="0.2">
      <c r="B2914" s="225"/>
      <c r="C2914" s="225"/>
      <c r="D2914" s="225"/>
      <c r="E2914" s="225"/>
      <c r="F2914" s="225"/>
      <c r="G2914" s="225"/>
      <c r="H2914" s="201"/>
      <c r="I2914" s="226"/>
      <c r="J2914" s="226"/>
      <c r="K2914" s="226"/>
      <c r="L2914" s="226"/>
      <c r="M2914" s="226"/>
      <c r="N2914" s="226"/>
      <c r="P2914" s="230">
        <f t="shared" si="1319"/>
        <v>0</v>
      </c>
    </row>
    <row r="2915" spans="1:16" x14ac:dyDescent="0.2">
      <c r="B2915" s="264" t="s">
        <v>489</v>
      </c>
      <c r="C2915" s="225"/>
      <c r="D2915" s="225"/>
      <c r="E2915" s="225"/>
      <c r="F2915" s="225"/>
      <c r="G2915" s="225"/>
      <c r="H2915" s="201"/>
      <c r="I2915" s="226"/>
      <c r="J2915" s="226" t="s">
        <v>489</v>
      </c>
      <c r="K2915" s="226"/>
      <c r="L2915" s="226"/>
      <c r="M2915" s="226"/>
      <c r="N2915" s="226"/>
      <c r="P2915" s="230">
        <f t="shared" si="1319"/>
        <v>0</v>
      </c>
    </row>
    <row r="2916" spans="1:16" x14ac:dyDescent="0.2">
      <c r="A2916" s="272"/>
      <c r="B2916" s="225"/>
      <c r="C2916" s="225"/>
      <c r="D2916" s="225"/>
      <c r="E2916" s="225"/>
      <c r="F2916" s="225"/>
      <c r="G2916" s="225"/>
      <c r="H2916" s="201"/>
      <c r="I2916" s="226"/>
      <c r="J2916" s="226"/>
      <c r="K2916" s="226"/>
      <c r="M2916" s="226"/>
      <c r="N2916" s="228"/>
    </row>
    <row r="2917" spans="1:16" x14ac:dyDescent="0.2">
      <c r="A2917" s="260"/>
      <c r="B2917" s="225"/>
      <c r="C2917" s="225"/>
      <c r="D2917" s="225"/>
      <c r="E2917" s="225"/>
      <c r="F2917" s="225"/>
      <c r="G2917" s="225"/>
      <c r="H2917" s="201"/>
      <c r="I2917" s="226"/>
      <c r="J2917" s="226"/>
      <c r="K2917" s="226"/>
      <c r="M2917" s="226"/>
      <c r="N2917" s="228" t="s">
        <v>455</v>
      </c>
      <c r="P2917" s="230">
        <f t="shared" ref="P2917:P2934" si="1320">IF(A2917&gt;0,1,0)</f>
        <v>0</v>
      </c>
    </row>
    <row r="2918" spans="1:16" x14ac:dyDescent="0.2">
      <c r="B2918" s="225"/>
      <c r="C2918" s="225"/>
      <c r="D2918" s="225"/>
      <c r="E2918" s="225"/>
      <c r="F2918" s="225"/>
      <c r="G2918" s="225"/>
      <c r="H2918" s="201"/>
      <c r="I2918" s="226"/>
      <c r="J2918" s="226"/>
      <c r="K2918" s="226"/>
      <c r="M2918" s="226"/>
      <c r="N2918" s="228" t="s">
        <v>456</v>
      </c>
      <c r="P2918" s="230">
        <f t="shared" si="1320"/>
        <v>0</v>
      </c>
    </row>
    <row r="2919" spans="1:16" x14ac:dyDescent="0.2">
      <c r="B2919" s="225"/>
      <c r="C2919" s="225"/>
      <c r="D2919" s="225"/>
      <c r="E2919" s="225"/>
      <c r="F2919" s="225"/>
      <c r="G2919" s="225"/>
      <c r="H2919" s="201"/>
      <c r="I2919" s="226"/>
      <c r="J2919" s="226"/>
      <c r="K2919" s="226"/>
      <c r="M2919" s="226"/>
      <c r="N2919" s="228" t="s">
        <v>457</v>
      </c>
      <c r="P2919" s="230">
        <f t="shared" si="1320"/>
        <v>0</v>
      </c>
    </row>
    <row r="2920" spans="1:16" x14ac:dyDescent="0.2">
      <c r="B2920" s="225"/>
      <c r="C2920" s="225"/>
      <c r="D2920" s="225"/>
      <c r="E2920" s="225"/>
      <c r="F2920" s="225"/>
      <c r="G2920" s="225"/>
      <c r="H2920" s="201"/>
      <c r="I2920" s="226"/>
      <c r="J2920" s="226"/>
      <c r="K2920" s="226"/>
      <c r="L2920" s="226"/>
      <c r="M2920" s="226"/>
      <c r="N2920" s="226"/>
      <c r="P2920" s="230">
        <f t="shared" si="1320"/>
        <v>0</v>
      </c>
    </row>
    <row r="2921" spans="1:16" x14ac:dyDescent="0.2">
      <c r="B2921" s="225"/>
      <c r="C2921" s="286" t="s">
        <v>458</v>
      </c>
      <c r="D2921" s="286"/>
      <c r="E2921" s="286"/>
      <c r="F2921" s="286"/>
      <c r="G2921" s="286"/>
      <c r="H2921" s="286"/>
      <c r="I2921" s="286"/>
      <c r="J2921" s="286"/>
      <c r="K2921" s="286"/>
      <c r="L2921" s="286"/>
      <c r="M2921" s="226"/>
      <c r="N2921" s="226"/>
      <c r="P2921" s="230">
        <f t="shared" si="1320"/>
        <v>0</v>
      </c>
    </row>
    <row r="2922" spans="1:16" x14ac:dyDescent="0.2">
      <c r="B2922" s="225"/>
      <c r="C2922" s="286" t="s">
        <v>459</v>
      </c>
      <c r="D2922" s="286"/>
      <c r="E2922" s="286"/>
      <c r="F2922" s="286"/>
      <c r="G2922" s="286"/>
      <c r="H2922" s="286"/>
      <c r="I2922" s="286"/>
      <c r="J2922" s="286"/>
      <c r="K2922" s="286"/>
      <c r="L2922" s="286"/>
      <c r="M2922" s="226"/>
      <c r="N2922" s="226"/>
      <c r="P2922" s="230">
        <f t="shared" si="1320"/>
        <v>0</v>
      </c>
    </row>
    <row r="2923" spans="1:16" x14ac:dyDescent="0.2">
      <c r="B2923" s="225" t="s">
        <v>460</v>
      </c>
      <c r="C2923" s="234"/>
      <c r="D2923" s="234"/>
      <c r="E2923" s="234"/>
      <c r="F2923" s="234"/>
      <c r="G2923" s="234"/>
      <c r="H2923" s="234"/>
      <c r="I2923" s="235"/>
      <c r="J2923" s="235"/>
      <c r="K2923" s="235"/>
      <c r="L2923" s="287" t="s">
        <v>461</v>
      </c>
      <c r="M2923" s="287"/>
      <c r="N2923" s="287"/>
      <c r="P2923" s="230">
        <f t="shared" si="1320"/>
        <v>0</v>
      </c>
    </row>
    <row r="2924" spans="1:16" x14ac:dyDescent="0.2">
      <c r="B2924" s="225"/>
      <c r="C2924" s="234"/>
      <c r="D2924" s="234"/>
      <c r="E2924" s="234"/>
      <c r="F2924" s="234"/>
      <c r="G2924" s="234"/>
      <c r="H2924" s="234"/>
      <c r="I2924" s="235"/>
      <c r="J2924" s="235"/>
      <c r="K2924" s="235"/>
      <c r="L2924" s="235"/>
      <c r="M2924" s="235"/>
      <c r="N2924" s="235"/>
      <c r="P2924" s="230">
        <f t="shared" si="1320"/>
        <v>0</v>
      </c>
    </row>
    <row r="2925" spans="1:16" x14ac:dyDescent="0.2">
      <c r="B2925" s="225" t="s">
        <v>2038</v>
      </c>
      <c r="C2925" s="234"/>
      <c r="D2925" s="234"/>
      <c r="E2925" s="234"/>
      <c r="F2925" s="234"/>
      <c r="G2925" s="234"/>
      <c r="H2925" s="234"/>
      <c r="I2925" s="235"/>
      <c r="J2925" s="235"/>
      <c r="K2925" s="235"/>
      <c r="L2925" s="235"/>
      <c r="M2925" s="235"/>
      <c r="N2925" s="235"/>
      <c r="P2925" s="230">
        <f t="shared" si="1320"/>
        <v>0</v>
      </c>
    </row>
    <row r="2926" spans="1:16" x14ac:dyDescent="0.2">
      <c r="B2926" s="225" t="s">
        <v>462</v>
      </c>
      <c r="C2926" s="234"/>
      <c r="D2926" s="234"/>
      <c r="E2926" s="234"/>
      <c r="F2926" s="234"/>
      <c r="G2926" s="234"/>
      <c r="H2926" s="234"/>
      <c r="I2926" s="235"/>
      <c r="J2926" s="235"/>
      <c r="K2926" s="235"/>
      <c r="L2926" s="235"/>
      <c r="M2926" s="235"/>
      <c r="N2926" s="235"/>
      <c r="P2926" s="230">
        <f t="shared" si="1320"/>
        <v>0</v>
      </c>
    </row>
    <row r="2927" spans="1:16" x14ac:dyDescent="0.2">
      <c r="B2927" s="225" t="s">
        <v>2037</v>
      </c>
      <c r="C2927" s="234"/>
      <c r="D2927" s="234"/>
      <c r="E2927" s="234"/>
      <c r="F2927" s="234"/>
      <c r="G2927" s="234"/>
      <c r="H2927" s="234"/>
      <c r="I2927" s="235"/>
      <c r="J2927" s="235"/>
      <c r="K2927" s="235"/>
      <c r="L2927" s="235"/>
      <c r="M2927" s="235"/>
      <c r="N2927" s="235"/>
      <c r="P2927" s="230">
        <f t="shared" si="1320"/>
        <v>0</v>
      </c>
    </row>
    <row r="2928" spans="1:16" x14ac:dyDescent="0.2">
      <c r="B2928" s="225" t="s">
        <v>2052</v>
      </c>
      <c r="C2928" s="234"/>
      <c r="D2928" s="234"/>
      <c r="E2928" s="234"/>
      <c r="F2928" s="234"/>
      <c r="G2928" s="234"/>
      <c r="H2928" s="234"/>
      <c r="I2928" s="235"/>
      <c r="J2928" s="235"/>
      <c r="K2928" s="235"/>
      <c r="L2928" s="235"/>
      <c r="M2928" s="235"/>
      <c r="N2928" s="235"/>
      <c r="P2928" s="230">
        <f t="shared" si="1320"/>
        <v>0</v>
      </c>
    </row>
    <row r="2929" spans="1:43" x14ac:dyDescent="0.2">
      <c r="B2929" s="225"/>
      <c r="C2929" s="225"/>
      <c r="D2929" s="225"/>
      <c r="E2929" s="225"/>
      <c r="F2929" s="225"/>
      <c r="G2929" s="225"/>
      <c r="H2929" s="201"/>
      <c r="I2929" s="226"/>
      <c r="J2929" s="226"/>
      <c r="K2929" s="226"/>
      <c r="L2929" s="226"/>
      <c r="M2929" s="226"/>
      <c r="N2929" s="226"/>
      <c r="P2929" s="230">
        <f t="shared" si="1320"/>
        <v>0</v>
      </c>
    </row>
    <row r="2930" spans="1:43" x14ac:dyDescent="0.2">
      <c r="B2930" s="288" t="s">
        <v>106</v>
      </c>
      <c r="C2930" s="290" t="s">
        <v>463</v>
      </c>
      <c r="D2930" s="288" t="s">
        <v>464</v>
      </c>
      <c r="E2930" s="288" t="s">
        <v>465</v>
      </c>
      <c r="F2930" s="288" t="s">
        <v>490</v>
      </c>
      <c r="G2930" s="288" t="s">
        <v>466</v>
      </c>
      <c r="H2930" s="292" t="s">
        <v>8</v>
      </c>
      <c r="I2930" s="294" t="s">
        <v>467</v>
      </c>
      <c r="J2930" s="295"/>
      <c r="K2930" s="295"/>
      <c r="L2930" s="296"/>
      <c r="M2930" s="297" t="s">
        <v>468</v>
      </c>
      <c r="N2930" s="299" t="s">
        <v>469</v>
      </c>
      <c r="P2930" s="230">
        <f t="shared" si="1320"/>
        <v>0</v>
      </c>
    </row>
    <row r="2931" spans="1:43" x14ac:dyDescent="0.2">
      <c r="B2931" s="289"/>
      <c r="C2931" s="291"/>
      <c r="D2931" s="289"/>
      <c r="E2931" s="289"/>
      <c r="F2931" s="289"/>
      <c r="G2931" s="289"/>
      <c r="H2931" s="293"/>
      <c r="I2931" s="236" t="s">
        <v>470</v>
      </c>
      <c r="J2931" s="236" t="s">
        <v>471</v>
      </c>
      <c r="K2931" s="236" t="s">
        <v>472</v>
      </c>
      <c r="L2931" s="236" t="s">
        <v>473</v>
      </c>
      <c r="M2931" s="298"/>
      <c r="N2931" s="300"/>
      <c r="P2931" s="230">
        <f t="shared" si="1320"/>
        <v>0</v>
      </c>
    </row>
    <row r="2932" spans="1:43" x14ac:dyDescent="0.2">
      <c r="A2932" s="224" t="str">
        <f>CONCATENATE("Лот"," ",A2933)</f>
        <v>Лот 54</v>
      </c>
      <c r="B2932" s="273" t="s">
        <v>2087</v>
      </c>
      <c r="C2932" s="274"/>
      <c r="D2932" s="274"/>
      <c r="E2932" s="274"/>
      <c r="F2932" s="274"/>
      <c r="G2932" s="275"/>
      <c r="H2932" s="238" t="s">
        <v>17</v>
      </c>
      <c r="I2932" s="270">
        <f ca="1">ROUND(VLOOKUP($H2932,$AJ$4:$AN$13,2,0)*$Q2934*1.51,2)</f>
        <v>120.15</v>
      </c>
      <c r="J2932" s="270">
        <f ca="1">ROUND(VLOOKUP($H2932,$AJ$4:$AN$13,3,0)*$Q2934*1.51,2)</f>
        <v>85.62</v>
      </c>
      <c r="K2932" s="270">
        <f ca="1">ROUND(VLOOKUP($H2932,$AJ$4:$AN$13,4,0)*$Q2934*1.51,2)</f>
        <v>43.38</v>
      </c>
      <c r="L2932" s="270"/>
      <c r="M2932" s="270">
        <f ca="1">ROUND(VLOOKUP($H2932,$AJ$4:$AN$13,5,0)*$Q2934*1.51,2)</f>
        <v>6.85</v>
      </c>
      <c r="N2932" s="270"/>
      <c r="P2932" s="230">
        <f t="shared" si="1320"/>
        <v>1</v>
      </c>
    </row>
    <row r="2933" spans="1:43" x14ac:dyDescent="0.2">
      <c r="A2933" s="224">
        <f>A2878+1</f>
        <v>54</v>
      </c>
      <c r="B2933" s="276"/>
      <c r="C2933" s="277"/>
      <c r="D2933" s="277"/>
      <c r="E2933" s="277"/>
      <c r="F2933" s="277"/>
      <c r="G2933" s="278"/>
      <c r="H2933" s="238" t="s">
        <v>25</v>
      </c>
      <c r="I2933" s="270">
        <f ca="1">ROUND(VLOOKUP($H2933,$AJ$4:$AN$13,2,0)*$Q2934*1.51,2)</f>
        <v>898.69</v>
      </c>
      <c r="J2933" s="270">
        <f ca="1">ROUND(VLOOKUP($H2933,$AJ$4:$AN$13,3,0)*$Q2934*1.51,2)</f>
        <v>642.13</v>
      </c>
      <c r="K2933" s="270">
        <f ca="1">ROUND(VLOOKUP($H2933,$AJ$4:$AN$13,4,0)*$Q2934*1.51,2)</f>
        <v>323.06</v>
      </c>
      <c r="L2933" s="270"/>
      <c r="M2933" s="270">
        <f ca="1">ROUND(VLOOKUP($H2933,$AJ$4:$AN$13,5,0)*$Q2934*1.51,2)</f>
        <v>27.97</v>
      </c>
      <c r="N2933" s="270"/>
      <c r="P2933" s="230">
        <f t="shared" si="1320"/>
        <v>1</v>
      </c>
      <c r="Q2933" s="240" t="s">
        <v>2045</v>
      </c>
      <c r="R2933" s="240" t="s">
        <v>2046</v>
      </c>
    </row>
    <row r="2934" spans="1:43" x14ac:dyDescent="0.2">
      <c r="B2934" s="276"/>
      <c r="C2934" s="277"/>
      <c r="D2934" s="277"/>
      <c r="E2934" s="277"/>
      <c r="F2934" s="277"/>
      <c r="G2934" s="278"/>
      <c r="H2934" s="238" t="s">
        <v>19</v>
      </c>
      <c r="I2934" s="270">
        <f ca="1">ROUND(VLOOKUP($H2934,$AJ$4:$AN$13,2,0)*$Q2934*1.51,2)</f>
        <v>71.349999999999994</v>
      </c>
      <c r="J2934" s="270">
        <f ca="1">ROUND(VLOOKUP($H2934,$AJ$4:$AN$13,3,0)*$Q2934*1.51,2)</f>
        <v>51.94</v>
      </c>
      <c r="K2934" s="270">
        <f ca="1">ROUND(VLOOKUP($H2934,$AJ$4:$AN$13,4,0)*$Q2934*1.51,2)</f>
        <v>26.54</v>
      </c>
      <c r="L2934" s="270"/>
      <c r="M2934" s="270">
        <f ca="1">ROUND(VLOOKUP($H2934,$AJ$4:$AN$13,5,0)*$Q2934*1.51,2)</f>
        <v>1.43</v>
      </c>
      <c r="N2934" s="270"/>
      <c r="P2934" s="230">
        <f t="shared" si="1320"/>
        <v>0</v>
      </c>
      <c r="Q2934" s="123">
        <f ca="1">IFERROR(IF(R2934="","",IF(OR(R2934&lt;100,R2934=100),0.9,IF(OR(AND(R2934&gt;100,R2934&lt;150),R2934=150),1,IF(R2934&gt;150,1.05,"")))),"0")</f>
        <v>1.05</v>
      </c>
      <c r="R2934" s="123">
        <f ca="1">N2950/G2938</f>
        <v>172.88</v>
      </c>
    </row>
    <row r="2935" spans="1:43" x14ac:dyDescent="0.2">
      <c r="B2935" s="276"/>
      <c r="C2935" s="277"/>
      <c r="D2935" s="277"/>
      <c r="E2935" s="277"/>
      <c r="F2935" s="277"/>
      <c r="G2935" s="278"/>
      <c r="H2935" s="238" t="s">
        <v>268</v>
      </c>
      <c r="I2935" s="270">
        <f ca="1">ROUND(VLOOKUP($H2935,$AJ$4:$AN$13,2,0)*$Q2934*1.51,2)</f>
        <v>898.69</v>
      </c>
      <c r="J2935" s="270">
        <f ca="1">ROUND(VLOOKUP($H2935,$AJ$4:$AN$13,3,0)*$Q2934*1.51,2)</f>
        <v>642.13</v>
      </c>
      <c r="K2935" s="270">
        <f ca="1">ROUND(VLOOKUP($H2935,$AJ$4:$AN$13,4,0)*$Q2934*1.51,2)</f>
        <v>323.06</v>
      </c>
      <c r="L2935" s="270"/>
      <c r="M2935" s="270">
        <f ca="1">ROUND(VLOOKUP($H2935,$AJ$4:$AN$13,5,0)*$Q2934*1.51,2)</f>
        <v>27.97</v>
      </c>
      <c r="N2935" s="270"/>
    </row>
    <row r="2936" spans="1:43" x14ac:dyDescent="0.2">
      <c r="B2936" s="276"/>
      <c r="C2936" s="277"/>
      <c r="D2936" s="277"/>
      <c r="E2936" s="277"/>
      <c r="F2936" s="277"/>
      <c r="G2936" s="278"/>
      <c r="H2936" s="238" t="s">
        <v>40</v>
      </c>
      <c r="I2936" s="270">
        <f ca="1">ROUND(VLOOKUP($H2936,$AJ$4:$AN$13,2,0)*$Q2934*1.51,2)</f>
        <v>71.349999999999994</v>
      </c>
      <c r="J2936" s="270">
        <f ca="1">ROUND(VLOOKUP($H2936,$AJ$4:$AN$13,3,0)*$Q2934*1.51,2)</f>
        <v>51.94</v>
      </c>
      <c r="K2936" s="270">
        <f ca="1">ROUND(VLOOKUP($H2936,$AJ$4:$AN$13,4,0)*$Q2934*1.51,2)</f>
        <v>26.54</v>
      </c>
      <c r="L2936" s="270"/>
      <c r="M2936" s="270">
        <f ca="1">ROUND(VLOOKUP($H2936,$AJ$4:$AN$13,5,0)*$Q2934*1.51,2)</f>
        <v>1.43</v>
      </c>
      <c r="N2936" s="270"/>
      <c r="P2936" s="230">
        <f t="shared" ref="P2936:P2949" si="1321">IF(A2936&gt;0,1,0)</f>
        <v>0</v>
      </c>
    </row>
    <row r="2937" spans="1:43" x14ac:dyDescent="0.2">
      <c r="B2937" s="279"/>
      <c r="C2937" s="280"/>
      <c r="D2937" s="280"/>
      <c r="E2937" s="280"/>
      <c r="F2937" s="280"/>
      <c r="G2937" s="281"/>
      <c r="H2937" s="238" t="s">
        <v>18</v>
      </c>
      <c r="I2937" s="270">
        <f ca="1">ROUND(VLOOKUP($H2937,$AJ$4:$AN$13,2,0)*$Q2934*1.51,2)</f>
        <v>22.83</v>
      </c>
      <c r="J2937" s="270">
        <f ca="1">ROUND(VLOOKUP($H2937,$AJ$4:$AN$13,3,0)*$Q2934*1.51,2)</f>
        <v>17.41</v>
      </c>
      <c r="K2937" s="270">
        <f ca="1">ROUND(VLOOKUP($H2937,$AJ$4:$AN$13,4,0)*$Q2934*1.51,2)</f>
        <v>8.85</v>
      </c>
      <c r="L2937" s="270"/>
      <c r="M2937" s="270">
        <f ca="1">ROUND(VLOOKUP($H2937,$AJ$4:$AN$13,5,0)*$Q2934*1.51*1,2)</f>
        <v>0.56999999999999995</v>
      </c>
      <c r="N2937" s="270"/>
      <c r="P2937" s="230">
        <f t="shared" si="1321"/>
        <v>0</v>
      </c>
      <c r="AP2937" s="241" t="s">
        <v>2053</v>
      </c>
      <c r="AQ2937" s="242"/>
    </row>
    <row r="2938" spans="1:43" x14ac:dyDescent="0.2">
      <c r="A2938" s="224">
        <f>A2883+37</f>
        <v>1961</v>
      </c>
      <c r="B2938" s="243" t="str">
        <f ca="1">OFFSET(ЛОТЫ!$L$5,A2938,0,1,1)</f>
        <v>Чулпановское</v>
      </c>
      <c r="C2938" s="244" t="s">
        <v>474</v>
      </c>
      <c r="D2938" s="243">
        <f ca="1">OFFSET(ЛОТЫ!$M$5,A2938,0,1,1)</f>
        <v>18</v>
      </c>
      <c r="E2938" s="243">
        <f ca="1">OFFSET(ЛОТЫ!$N$5,A2938,0,1,1)</f>
        <v>69</v>
      </c>
      <c r="F2938" s="243">
        <f ca="1">OFFSET(ЛОТЫ!$O$5,A2938,0,1,1)</f>
        <v>1</v>
      </c>
      <c r="G2938" s="271">
        <f ca="1">IFERROR(INDEX('Ведомость расчета мин. платы'!$G$10:$AC$214,MATCH(CONCATENATE(B2938,"/",D2938,"/",E2938,"/",F2938),'Ведомость расчета мин. платы'!$AC$10:$AC$214,0),1),"")</f>
        <v>3</v>
      </c>
      <c r="H2938" s="246" t="s">
        <v>17</v>
      </c>
      <c r="I2938" s="247" t="str">
        <f ca="1">IFERROR(INDEX('Ведомость расчета мин. платы'!$J$10:$AE$214,MATCH(CONCATENATE(РАСЧЕТ!B2938,"/",РАСЧЕТ!D2938,"/",РАСЧЕТ!E2938,"/",F2938,"/",H2938),'Ведомость расчета мин. платы'!$AE$10:$AE$214,0),2),"")</f>
        <v/>
      </c>
      <c r="J2938" s="247" t="str">
        <f ca="1">IFERROR(INDEX('Ведомость расчета мин. платы'!$J$10:$AE$214,MATCH(CONCATENATE(РАСЧЕТ!B2938,"/",РАСЧЕТ!D2938,"/",РАСЧЕТ!E2938,"/",F2938,"/",H2938),'Ведомость расчета мин. платы'!$AE$10:$AE$214,0),3),"")</f>
        <v/>
      </c>
      <c r="K2938" s="247" t="str">
        <f ca="1">IFERROR(INDEX('Ведомость расчета мин. платы'!$J$10:$AE$214,MATCH(CONCATENATE(РАСЧЕТ!B2938,"/",РАСЧЕТ!D2938,"/",РАСЧЕТ!E2938,"/",F2938,"/",H2938),'Ведомость расчета мин. платы'!$AE$10:$AE$214,0),4),"")</f>
        <v/>
      </c>
      <c r="L2938" s="248">
        <f t="shared" ref="L2938:L2950" ca="1" si="1322">IFERROR(SUM(I2938:K2938),"")</f>
        <v>0</v>
      </c>
      <c r="M2938" s="214" t="str">
        <f ca="1">IFERROR(INDEX('Ведомость расчета мин. платы'!$J$10:$AE$214,MATCH(CONCATENATE(РАСЧЕТ!B2938,"/",РАСЧЕТ!D2938,"/",РАСЧЕТ!E2938,"/",F2938,"/",H2938),'Ведомость расчета мин. платы'!$AE$10:$AE$214,0),6),"")</f>
        <v/>
      </c>
      <c r="N2938" s="214">
        <f t="shared" ref="N2938:N2950" ca="1" si="1323">IFERROR(SUM(L2938:M2938),"")</f>
        <v>0</v>
      </c>
      <c r="O2938" s="229">
        <f>IF(H2938="стоимость","",1)</f>
        <v>1</v>
      </c>
      <c r="P2938" s="230">
        <f t="shared" si="1321"/>
        <v>1</v>
      </c>
      <c r="AP2938" s="242"/>
      <c r="AQ2938" s="242"/>
    </row>
    <row r="2939" spans="1:43" x14ac:dyDescent="0.2">
      <c r="B2939" s="249"/>
      <c r="C2939" s="249"/>
      <c r="D2939" s="249"/>
      <c r="E2939" s="249"/>
      <c r="F2939" s="249"/>
      <c r="G2939" s="249"/>
      <c r="H2939" s="250" t="s">
        <v>475</v>
      </c>
      <c r="I2939" s="251" t="str">
        <f ca="1">IFERROR(ROUND(I2938*I2932,2),"")</f>
        <v/>
      </c>
      <c r="J2939" s="251" t="str">
        <f t="shared" ref="J2939:K2939" ca="1" si="1324">IFERROR(ROUND(J2938*J2932,2),"")</f>
        <v/>
      </c>
      <c r="K2939" s="251" t="str">
        <f t="shared" ca="1" si="1324"/>
        <v/>
      </c>
      <c r="L2939" s="251">
        <f t="shared" ca="1" si="1322"/>
        <v>0</v>
      </c>
      <c r="M2939" s="251" t="str">
        <f t="shared" ref="M2939" ca="1" si="1325">IFERROR(ROUND(M2938*M2932,2),"")</f>
        <v/>
      </c>
      <c r="N2939" s="252">
        <f t="shared" ca="1" si="1323"/>
        <v>0</v>
      </c>
      <c r="O2939" s="229" t="str">
        <f t="shared" ref="O2939:O2949" si="1326">IF(H2939="стоимость","",1)</f>
        <v/>
      </c>
      <c r="P2939" s="230">
        <f t="shared" si="1321"/>
        <v>0</v>
      </c>
      <c r="AP2939" s="242">
        <f ca="1">SUMIFS('Ведомость расчета мин. платы'!$S$10:$S$209,'Ведомость расчета мин. платы'!$AE$10:$AE$209,CONCATENATE(B2938,"/",D2938,"/",E2938,"/",F2938,"/",H2938))</f>
        <v>0</v>
      </c>
      <c r="AQ2939" s="253">
        <f t="shared" ref="AQ2939" ca="1" si="1327">AP2939-N2939</f>
        <v>0</v>
      </c>
    </row>
    <row r="2940" spans="1:43" x14ac:dyDescent="0.2">
      <c r="B2940" s="249"/>
      <c r="C2940" s="249"/>
      <c r="D2940" s="249"/>
      <c r="E2940" s="249"/>
      <c r="F2940" s="249"/>
      <c r="G2940" s="249"/>
      <c r="H2940" s="246" t="s">
        <v>25</v>
      </c>
      <c r="I2940" s="247" t="str">
        <f ca="1">IFERROR(INDEX('Ведомость расчета мин. платы'!$J$10:$AE$214,MATCH(CONCATENATE(РАСЧЕТ!B2938,"/",РАСЧЕТ!D2938,"/",РАСЧЕТ!E2938,"/",F2938,"/",H2940),'Ведомость расчета мин. платы'!$AE$10:$AE$214,0),2),"")</f>
        <v/>
      </c>
      <c r="J2940" s="247" t="str">
        <f ca="1">IFERROR(INDEX('Ведомость расчета мин. платы'!$J$10:$AE$214,MATCH(CONCATENATE(РАСЧЕТ!B2938,"/",РАСЧЕТ!D2938,"/",РАСЧЕТ!E2938,"/",F2938,"/",H2940),'Ведомость расчета мин. платы'!$AE$10:$AE$214,0),3),"")</f>
        <v/>
      </c>
      <c r="K2940" s="247" t="str">
        <f ca="1">IFERROR(INDEX('Ведомость расчета мин. платы'!$J$10:$AE$214,MATCH(CONCATENATE(РАСЧЕТ!B2938,"/",РАСЧЕТ!D2938,"/",РАСЧЕТ!E2938,"/",F2938,"/",H2940),'Ведомость расчета мин. платы'!$AE$10:$AE$214,0),4),"")</f>
        <v/>
      </c>
      <c r="L2940" s="248">
        <f t="shared" ca="1" si="1322"/>
        <v>0</v>
      </c>
      <c r="M2940" s="214" t="str">
        <f ca="1">IFERROR(INDEX('Ведомость расчета мин. платы'!$J$10:$AE$214,MATCH(CONCATENATE(РАСЧЕТ!B2938,"/",РАСЧЕТ!D2938,"/",РАСЧЕТ!E2938,"/",F2938,"/",H2940),'Ведомость расчета мин. платы'!$AE$10:$AE$214,0),6),"")</f>
        <v/>
      </c>
      <c r="N2940" s="214">
        <f t="shared" ca="1" si="1323"/>
        <v>0</v>
      </c>
      <c r="O2940" s="229">
        <f t="shared" si="1326"/>
        <v>1</v>
      </c>
      <c r="P2940" s="230">
        <f t="shared" si="1321"/>
        <v>0</v>
      </c>
      <c r="AP2940" s="242"/>
      <c r="AQ2940" s="253"/>
    </row>
    <row r="2941" spans="1:43" x14ac:dyDescent="0.2">
      <c r="B2941" s="249"/>
      <c r="C2941" s="249"/>
      <c r="D2941" s="249"/>
      <c r="E2941" s="249"/>
      <c r="F2941" s="249"/>
      <c r="G2941" s="249"/>
      <c r="H2941" s="250" t="s">
        <v>475</v>
      </c>
      <c r="I2941" s="251" t="str">
        <f ca="1">IFERROR(ROUND(I2940*I2933,2),"")</f>
        <v/>
      </c>
      <c r="J2941" s="251" t="str">
        <f t="shared" ref="J2941:K2941" ca="1" si="1328">IFERROR(ROUND(J2940*J2933,2),"")</f>
        <v/>
      </c>
      <c r="K2941" s="251" t="str">
        <f t="shared" ca="1" si="1328"/>
        <v/>
      </c>
      <c r="L2941" s="251">
        <f t="shared" ca="1" si="1322"/>
        <v>0</v>
      </c>
      <c r="M2941" s="251" t="str">
        <f t="shared" ref="M2941" ca="1" si="1329">IFERROR(ROUND(M2940*M2933,2),"")</f>
        <v/>
      </c>
      <c r="N2941" s="252">
        <f t="shared" ca="1" si="1323"/>
        <v>0</v>
      </c>
      <c r="O2941" s="229" t="str">
        <f t="shared" si="1326"/>
        <v/>
      </c>
      <c r="P2941" s="230">
        <f t="shared" si="1321"/>
        <v>0</v>
      </c>
      <c r="AP2941" s="242">
        <f ca="1">SUMIFS('Ведомость расчета мин. платы'!$S$10:$S$209,'Ведомость расчета мин. платы'!$AE$10:$AE$209,CONCATENATE(B2938,"/",D2938,"/",E2938,"/",F2938,"/",H2940))</f>
        <v>0</v>
      </c>
      <c r="AQ2941" s="253">
        <f t="shared" ref="AQ2941" ca="1" si="1330">AP2941-N2941</f>
        <v>0</v>
      </c>
    </row>
    <row r="2942" spans="1:43" x14ac:dyDescent="0.2">
      <c r="B2942" s="249"/>
      <c r="C2942" s="249"/>
      <c r="D2942" s="249"/>
      <c r="E2942" s="249"/>
      <c r="F2942" s="249"/>
      <c r="G2942" s="249"/>
      <c r="H2942" s="205" t="s">
        <v>19</v>
      </c>
      <c r="I2942" s="248" t="str">
        <f ca="1">IFERROR(INDEX('Ведомость расчета мин. платы'!$J$10:$AE$214,MATCH(CONCATENATE(РАСЧЕТ!B2938,"/",РАСЧЕТ!D2938,"/",РАСЧЕТ!E2938,"/",F2938,"/",H2942),'Ведомость расчета мин. платы'!$AE$10:$AE$214,0),2),"")</f>
        <v/>
      </c>
      <c r="J2942" s="248" t="str">
        <f ca="1">IFERROR(INDEX('Ведомость расчета мин. платы'!$J$10:$AE$214,MATCH(CONCATENATE(РАСЧЕТ!B2938,"/",РАСЧЕТ!D2938,"/",РАСЧЕТ!E2938,"/",F2938,"/",H2942),'Ведомость расчета мин. платы'!$AE$10:$AE$214,0),3),"")</f>
        <v/>
      </c>
      <c r="K2942" s="248" t="str">
        <f ca="1">IFERROR(INDEX('Ведомость расчета мин. платы'!$J$10:$AE$214,MATCH(CONCATENATE(РАСЧЕТ!B2938,"/",РАСЧЕТ!D2938,"/",РАСЧЕТ!E2938,"/",F2938,"/",H2942),'Ведомость расчета мин. платы'!$AE$10:$AE$214,0),4),"")</f>
        <v/>
      </c>
      <c r="L2942" s="248">
        <f t="shared" ca="1" si="1322"/>
        <v>0</v>
      </c>
      <c r="M2942" s="248" t="str">
        <f ca="1">IFERROR(INDEX('Ведомость расчета мин. платы'!$J$10:$AE$214,MATCH(CONCATENATE(РАСЧЕТ!B2938,"/",РАСЧЕТ!D2938,"/",РАСЧЕТ!E2938,"/",F2938,"/",H2942),'Ведомость расчета мин. платы'!$AE$10:$AE$214,0),6),"")</f>
        <v/>
      </c>
      <c r="N2942" s="214">
        <f t="shared" ca="1" si="1323"/>
        <v>0</v>
      </c>
      <c r="O2942" s="229">
        <f t="shared" si="1326"/>
        <v>1</v>
      </c>
      <c r="P2942" s="230">
        <f t="shared" si="1321"/>
        <v>0</v>
      </c>
      <c r="AP2942" s="242"/>
      <c r="AQ2942" s="253"/>
    </row>
    <row r="2943" spans="1:43" x14ac:dyDescent="0.2">
      <c r="B2943" s="249"/>
      <c r="C2943" s="249"/>
      <c r="D2943" s="249"/>
      <c r="E2943" s="249"/>
      <c r="F2943" s="249"/>
      <c r="G2943" s="249"/>
      <c r="H2943" s="250" t="s">
        <v>475</v>
      </c>
      <c r="I2943" s="251" t="str">
        <f ca="1">IFERROR(ROUND(I2942*I2934,2),"")</f>
        <v/>
      </c>
      <c r="J2943" s="251" t="str">
        <f t="shared" ref="J2943:K2943" ca="1" si="1331">IFERROR(ROUND(J2942*J2934,2),"")</f>
        <v/>
      </c>
      <c r="K2943" s="251" t="str">
        <f t="shared" ca="1" si="1331"/>
        <v/>
      </c>
      <c r="L2943" s="251">
        <f t="shared" ca="1" si="1322"/>
        <v>0</v>
      </c>
      <c r="M2943" s="251" t="str">
        <f t="shared" ref="M2943" ca="1" si="1332">IFERROR(ROUND(M2942*M2934,2),"")</f>
        <v/>
      </c>
      <c r="N2943" s="252">
        <f t="shared" ca="1" si="1323"/>
        <v>0</v>
      </c>
      <c r="O2943" s="229" t="str">
        <f t="shared" si="1326"/>
        <v/>
      </c>
      <c r="P2943" s="230">
        <f t="shared" si="1321"/>
        <v>0</v>
      </c>
      <c r="AP2943" s="242">
        <f ca="1">SUMIFS('Ведомость расчета мин. платы'!$S$10:$S$209,'Ведомость расчета мин. платы'!$AE$10:$AE$209,CONCATENATE(B2938,"/",D2938,"/",E2938,"/",F2938,"/",H2942))</f>
        <v>0</v>
      </c>
      <c r="AQ2943" s="253">
        <f t="shared" ref="AQ2943" ca="1" si="1333">AP2943-N2943</f>
        <v>0</v>
      </c>
    </row>
    <row r="2944" spans="1:43" x14ac:dyDescent="0.2">
      <c r="B2944" s="249"/>
      <c r="C2944" s="249"/>
      <c r="D2944" s="249"/>
      <c r="E2944" s="249"/>
      <c r="F2944" s="249"/>
      <c r="G2944" s="249"/>
      <c r="H2944" s="205" t="s">
        <v>268</v>
      </c>
      <c r="I2944" s="248" t="str">
        <f ca="1">IFERROR(INDEX('Ведомость расчета мин. платы'!$J$10:$AE$214,MATCH(CONCATENATE(РАСЧЕТ!B2938,"/",РАСЧЕТ!D2938,"/",РАСЧЕТ!E2938,"/",F2938,"/",H2944),'Ведомость расчета мин. платы'!$AE$10:$AE$214,0),2),"")</f>
        <v/>
      </c>
      <c r="J2944" s="248" t="str">
        <f ca="1">IFERROR(INDEX('Ведомость расчета мин. платы'!$J$10:$AE$214,MATCH(CONCATENATE(РАСЧЕТ!B2938,"/",РАСЧЕТ!D2938,"/",РАСЧЕТ!E2938,"/",F2938,"/",H2944),'Ведомость расчета мин. платы'!$AE$10:$AE$214,0),3),"")</f>
        <v/>
      </c>
      <c r="K2944" s="248" t="str">
        <f ca="1">IFERROR(INDEX('Ведомость расчета мин. платы'!$J$10:$AE$214,MATCH(CONCATENATE(РАСЧЕТ!B2938,"/",РАСЧЕТ!D2938,"/",РАСЧЕТ!E2938,"/",F2938,"/",H2944),'Ведомость расчета мин. платы'!$AE$10:$AE$214,0),4),"")</f>
        <v/>
      </c>
      <c r="L2944" s="248">
        <f t="shared" ca="1" si="1322"/>
        <v>0</v>
      </c>
      <c r="M2944" s="248" t="str">
        <f ca="1">IFERROR(INDEX('Ведомость расчета мин. платы'!$J$10:$AE$214,MATCH(CONCATENATE(РАСЧЕТ!B2938,"/",РАСЧЕТ!D2938,"/",РАСЧЕТ!E2938,"/",F2938,"/",H2944),'Ведомость расчета мин. платы'!$AE$10:$AE$214,0),6),"")</f>
        <v/>
      </c>
      <c r="N2944" s="214">
        <f t="shared" ca="1" si="1323"/>
        <v>0</v>
      </c>
      <c r="O2944" s="229">
        <f t="shared" si="1326"/>
        <v>1</v>
      </c>
      <c r="P2944" s="230">
        <f t="shared" si="1321"/>
        <v>0</v>
      </c>
      <c r="AP2944" s="242"/>
      <c r="AQ2944" s="253"/>
    </row>
    <row r="2945" spans="2:43" x14ac:dyDescent="0.2">
      <c r="B2945" s="249"/>
      <c r="C2945" s="249"/>
      <c r="D2945" s="249"/>
      <c r="E2945" s="249"/>
      <c r="F2945" s="249"/>
      <c r="G2945" s="249"/>
      <c r="H2945" s="250" t="s">
        <v>475</v>
      </c>
      <c r="I2945" s="251" t="str">
        <f ca="1">IFERROR(ROUND(I2944*I2935,2),"")</f>
        <v/>
      </c>
      <c r="J2945" s="251" t="str">
        <f ca="1">IFERROR(ROUND(J2944*J2935,2),"")</f>
        <v/>
      </c>
      <c r="K2945" s="251" t="str">
        <f ca="1">IFERROR(ROUND(K2944*K2935,2),"")</f>
        <v/>
      </c>
      <c r="L2945" s="251">
        <f t="shared" ca="1" si="1322"/>
        <v>0</v>
      </c>
      <c r="M2945" s="251" t="str">
        <f ca="1">IFERROR(ROUND(M2944*M2935,2),"")</f>
        <v/>
      </c>
      <c r="N2945" s="252">
        <f t="shared" ca="1" si="1323"/>
        <v>0</v>
      </c>
      <c r="O2945" s="229" t="str">
        <f t="shared" si="1326"/>
        <v/>
      </c>
      <c r="P2945" s="230">
        <f t="shared" si="1321"/>
        <v>0</v>
      </c>
      <c r="AP2945" s="242">
        <f ca="1">SUMIFS('Ведомость расчета мин. платы'!$S$10:$S$209,'Ведомость расчета мин. платы'!$AE$10:$AE$209,CONCATENATE(B2938,"/",D2938,"/",E2938,"/",F2938,"/",H2944))</f>
        <v>0</v>
      </c>
      <c r="AQ2945" s="253">
        <f t="shared" ref="AQ2945" ca="1" si="1334">AP2945-N2945</f>
        <v>0</v>
      </c>
    </row>
    <row r="2946" spans="2:43" x14ac:dyDescent="0.2">
      <c r="B2946" s="249"/>
      <c r="C2946" s="249"/>
      <c r="D2946" s="249"/>
      <c r="E2946" s="249"/>
      <c r="F2946" s="249"/>
      <c r="G2946" s="249"/>
      <c r="H2946" s="205" t="s">
        <v>40</v>
      </c>
      <c r="I2946" s="248" t="str">
        <f ca="1">IFERROR(INDEX('Ведомость расчета мин. платы'!$J$10:$AE$214,MATCH(CONCATENATE(РАСЧЕТ!B2938,"/",РАСЧЕТ!D2938,"/",РАСЧЕТ!E2938,"/",F2938,"/",H2946),'Ведомость расчета мин. платы'!$AE$10:$AE$214,0),2),"")</f>
        <v/>
      </c>
      <c r="J2946" s="248" t="str">
        <f ca="1">IFERROR(INDEX('Ведомость расчета мин. платы'!$J$10:$AE$214,MATCH(CONCATENATE(РАСЧЕТ!B2938,"/",РАСЧЕТ!D2938,"/",РАСЧЕТ!E2938,"/",F2938,"/",H2946),'Ведомость расчета мин. платы'!$AE$10:$AE$214,0),3),"")</f>
        <v/>
      </c>
      <c r="K2946" s="248" t="str">
        <f ca="1">IFERROR(INDEX('Ведомость расчета мин. платы'!$J$10:$AE$214,MATCH(CONCATENATE(РАСЧЕТ!B2938,"/",РАСЧЕТ!D2938,"/",РАСЧЕТ!E2938,"/",F2938,"/",H2946),'Ведомость расчета мин. платы'!$AE$10:$AE$214,0),4),"")</f>
        <v/>
      </c>
      <c r="L2946" s="248">
        <f t="shared" ca="1" si="1322"/>
        <v>0</v>
      </c>
      <c r="M2946" s="248" t="str">
        <f ca="1">IFERROR(INDEX('Ведомость расчета мин. платы'!$J$10:$AE$214,MATCH(CONCATENATE(РАСЧЕТ!B2938,"/",РАСЧЕТ!D2938,"/",РАСЧЕТ!E2938,"/",F2938,"/",H2946),'Ведомость расчета мин. платы'!$AE$10:$AE$214,0),6),"")</f>
        <v/>
      </c>
      <c r="N2946" s="214">
        <f t="shared" ca="1" si="1323"/>
        <v>0</v>
      </c>
      <c r="O2946" s="229">
        <f t="shared" si="1326"/>
        <v>1</v>
      </c>
      <c r="P2946" s="230">
        <f t="shared" si="1321"/>
        <v>0</v>
      </c>
      <c r="AP2946" s="242"/>
      <c r="AQ2946" s="253"/>
    </row>
    <row r="2947" spans="2:43" x14ac:dyDescent="0.2">
      <c r="B2947" s="249"/>
      <c r="C2947" s="249"/>
      <c r="D2947" s="249"/>
      <c r="E2947" s="249"/>
      <c r="F2947" s="249"/>
      <c r="G2947" s="249"/>
      <c r="H2947" s="250" t="s">
        <v>475</v>
      </c>
      <c r="I2947" s="251" t="str">
        <f ca="1">IFERROR(ROUND(I2946*I2936,2),"")</f>
        <v/>
      </c>
      <c r="J2947" s="251" t="str">
        <f t="shared" ref="J2947:K2947" ca="1" si="1335">IFERROR(ROUND(J2946*J2936,2),"")</f>
        <v/>
      </c>
      <c r="K2947" s="251" t="str">
        <f t="shared" ca="1" si="1335"/>
        <v/>
      </c>
      <c r="L2947" s="251">
        <f t="shared" ca="1" si="1322"/>
        <v>0</v>
      </c>
      <c r="M2947" s="251" t="str">
        <f t="shared" ref="M2947" ca="1" si="1336">IFERROR(ROUND(M2946*M2936,2),"")</f>
        <v/>
      </c>
      <c r="N2947" s="252">
        <f t="shared" ca="1" si="1323"/>
        <v>0</v>
      </c>
      <c r="O2947" s="229" t="str">
        <f t="shared" si="1326"/>
        <v/>
      </c>
      <c r="P2947" s="230">
        <f t="shared" si="1321"/>
        <v>0</v>
      </c>
      <c r="AP2947" s="242">
        <f ca="1">SUMIFS('Ведомость расчета мин. платы'!$S$10:$S$209,'Ведомость расчета мин. платы'!$AE$10:$AE$209,CONCATENATE(B2938,"/",D2938,"/",E2938,"/",F2938,"/",H2946))</f>
        <v>0</v>
      </c>
      <c r="AQ2947" s="253">
        <f t="shared" ref="AQ2947" ca="1" si="1337">AP2947-N2947</f>
        <v>0</v>
      </c>
    </row>
    <row r="2948" spans="2:43" x14ac:dyDescent="0.2">
      <c r="B2948" s="249"/>
      <c r="C2948" s="249"/>
      <c r="D2948" s="249"/>
      <c r="E2948" s="249"/>
      <c r="F2948" s="249"/>
      <c r="G2948" s="249"/>
      <c r="H2948" s="205" t="s">
        <v>18</v>
      </c>
      <c r="I2948" s="248">
        <f ca="1">IFERROR(INDEX('Ведомость расчета мин. платы'!$J$10:$AE$214,MATCH(CONCATENATE(РАСЧЕТ!B2938,"/",РАСЧЕТ!D2938,"/",РАСЧЕТ!E2938,"/",F2938,"/",H2948),'Ведомость расчета мин. платы'!$AE$10:$AE$214,0),2),"")</f>
        <v>64.81</v>
      </c>
      <c r="J2948" s="248">
        <f ca="1">IFERROR(INDEX('Ведомость расчета мин. платы'!$J$10:$AE$214,MATCH(CONCATENATE(РАСЧЕТ!B2938,"/",РАСЧЕТ!D2938,"/",РАСЧЕТ!E2938,"/",F2938,"/",H2948),'Ведомость расчета мин. платы'!$AE$10:$AE$214,0),3),"")</f>
        <v>100.88</v>
      </c>
      <c r="K2948" s="248">
        <f ca="1">IFERROR(INDEX('Ведомость расчета мин. платы'!$J$10:$AE$214,MATCH(CONCATENATE(РАСЧЕТ!B2938,"/",РАСЧЕТ!D2938,"/",РАСЧЕТ!E2938,"/",F2938,"/",H2948),'Ведомость расчета мин. платы'!$AE$10:$AE$214,0),4),"")</f>
        <v>6.36</v>
      </c>
      <c r="L2948" s="248">
        <f t="shared" ca="1" si="1322"/>
        <v>172.05</v>
      </c>
      <c r="M2948" s="248">
        <f ca="1">IFERROR(INDEX('Ведомость расчета мин. платы'!$J$10:$AE$214,MATCH(CONCATENATE(РАСЧЕТ!B2938,"/",РАСЧЕТ!D2938,"/",РАСЧЕТ!E2938,"/",F2938,"/",H2948),'Ведомость расчета мин. платы'!$AE$10:$AE$214,0),6),"")</f>
        <v>346.59</v>
      </c>
      <c r="N2948" s="214">
        <f t="shared" ca="1" si="1323"/>
        <v>518.64</v>
      </c>
      <c r="O2948" s="229">
        <f t="shared" si="1326"/>
        <v>1</v>
      </c>
      <c r="P2948" s="230">
        <f t="shared" si="1321"/>
        <v>0</v>
      </c>
      <c r="AP2948" s="242"/>
      <c r="AQ2948" s="253"/>
    </row>
    <row r="2949" spans="2:43" x14ac:dyDescent="0.2">
      <c r="B2949" s="249"/>
      <c r="C2949" s="249"/>
      <c r="D2949" s="249"/>
      <c r="E2949" s="249"/>
      <c r="F2949" s="249"/>
      <c r="G2949" s="249"/>
      <c r="H2949" s="250" t="s">
        <v>475</v>
      </c>
      <c r="I2949" s="251">
        <f ca="1">IFERROR(ROUND(I2948*I2937,2),"")</f>
        <v>1479.61</v>
      </c>
      <c r="J2949" s="251">
        <f t="shared" ref="J2949:K2949" ca="1" si="1338">IFERROR(ROUND(J2948*J2937,2),"")</f>
        <v>1756.32</v>
      </c>
      <c r="K2949" s="251">
        <f t="shared" ca="1" si="1338"/>
        <v>56.29</v>
      </c>
      <c r="L2949" s="251">
        <f t="shared" ca="1" si="1322"/>
        <v>3292.22</v>
      </c>
      <c r="M2949" s="251">
        <v>197.55000000000024</v>
      </c>
      <c r="N2949" s="252">
        <f t="shared" ca="1" si="1323"/>
        <v>3489.77</v>
      </c>
      <c r="O2949" s="229" t="str">
        <f t="shared" si="1326"/>
        <v/>
      </c>
      <c r="P2949" s="230">
        <f t="shared" si="1321"/>
        <v>0</v>
      </c>
      <c r="AP2949" s="242">
        <f ca="1">SUMIFS('Ведомость расчета мин. платы'!$S$10:$S$209,'Ведомость расчета мин. платы'!$AE$10:$AE$209,CONCATENATE(B2938,"/",D2938,"/",E2938,"/",F2938,"/",H2948))</f>
        <v>3489.77</v>
      </c>
      <c r="AQ2949" s="253">
        <f t="shared" ref="AQ2949" ca="1" si="1339">AP2949-N2949</f>
        <v>0</v>
      </c>
    </row>
    <row r="2950" spans="2:43" x14ac:dyDescent="0.2">
      <c r="B2950" s="249"/>
      <c r="C2950" s="249"/>
      <c r="D2950" s="249"/>
      <c r="E2950" s="249"/>
      <c r="F2950" s="249"/>
      <c r="G2950" s="249"/>
      <c r="H2950" s="254" t="s">
        <v>476</v>
      </c>
      <c r="I2950" s="251">
        <f ca="1">SUMIF($O2938:$O2951,1,I2938:I2949)</f>
        <v>64.81</v>
      </c>
      <c r="J2950" s="251">
        <f ca="1">SUMIF($O2938:$O2951,1,J2938:J2949)</f>
        <v>100.88</v>
      </c>
      <c r="K2950" s="251">
        <f ca="1">SUMIF($O2938:$O2951,1,K2938:K2949)</f>
        <v>6.36</v>
      </c>
      <c r="L2950" s="251">
        <f t="shared" ca="1" si="1322"/>
        <v>172.05</v>
      </c>
      <c r="M2950" s="251">
        <f ca="1">SUMIF($O2938:$O2951,1,M2938:M2949)</f>
        <v>346.59</v>
      </c>
      <c r="N2950" s="252">
        <f t="shared" ca="1" si="1323"/>
        <v>518.64</v>
      </c>
      <c r="AP2950" s="242"/>
      <c r="AQ2950" s="253"/>
    </row>
    <row r="2951" spans="2:43" x14ac:dyDescent="0.2">
      <c r="B2951" s="249"/>
      <c r="C2951" s="249"/>
      <c r="D2951" s="249"/>
      <c r="E2951" s="249"/>
      <c r="F2951" s="249"/>
      <c r="G2951" s="249"/>
      <c r="H2951" s="254" t="s">
        <v>491</v>
      </c>
      <c r="I2951" s="251">
        <f ca="1">SUMIF(H2938:H2949,"стоимость",I2938:I2949)</f>
        <v>1479.61</v>
      </c>
      <c r="J2951" s="251">
        <f ca="1">SUMIF(H2938:H2949,"стоимость",J2938:J2949)</f>
        <v>1756.32</v>
      </c>
      <c r="K2951" s="251">
        <f ca="1">SUMIF(H2938:H2949,"стоимость",K2938:K2949)</f>
        <v>56.29</v>
      </c>
      <c r="L2951" s="251">
        <f ca="1">IFERROR(SUM(I2951:K2951),"")</f>
        <v>3292.22</v>
      </c>
      <c r="M2951" s="251">
        <f ca="1">SUMIF(H2938:H2949,"стоимость",M2938:M2949)</f>
        <v>197.55000000000024</v>
      </c>
      <c r="N2951" s="252">
        <f ca="1">IFERROR(SUM(L2951:M2951),"")</f>
        <v>3489.77</v>
      </c>
      <c r="AP2951" s="242">
        <f ca="1">SUMIFS('Ведомость расчета мин. платы'!$S$10:$S$209,'Ведомость расчета мин. платы'!$J$10:$J$209,"Итого",'Ведомость расчета мин. платы'!$AC$10:$AC$209,CONCATENATE(B2938,"/",D2938,"/",E2938,"/",F2938))</f>
        <v>3489.77</v>
      </c>
      <c r="AQ2951" s="253">
        <f ca="1">AP2951-N2951</f>
        <v>0</v>
      </c>
    </row>
    <row r="2952" spans="2:43" x14ac:dyDescent="0.2">
      <c r="B2952" s="255"/>
      <c r="C2952" s="255"/>
      <c r="D2952" s="255"/>
      <c r="E2952" s="255"/>
      <c r="F2952" s="255"/>
      <c r="G2952" s="256"/>
      <c r="H2952" s="257"/>
      <c r="I2952" s="258"/>
      <c r="J2952" s="258"/>
      <c r="K2952" s="258"/>
      <c r="L2952" s="258"/>
      <c r="M2952" s="258"/>
      <c r="N2952" s="258"/>
      <c r="P2952" s="230">
        <f t="shared" ref="P2952:P2970" si="1340">IF(A2952&gt;0,1,0)</f>
        <v>0</v>
      </c>
    </row>
    <row r="2953" spans="2:43" x14ac:dyDescent="0.2">
      <c r="B2953" s="282" t="s">
        <v>477</v>
      </c>
      <c r="C2953" s="282"/>
      <c r="D2953" s="282"/>
      <c r="E2953" s="282"/>
      <c r="F2953" s="259"/>
      <c r="G2953" s="225"/>
      <c r="H2953" s="201"/>
      <c r="I2953" s="226"/>
      <c r="J2953" s="258"/>
      <c r="K2953" s="258"/>
      <c r="L2953" s="258"/>
      <c r="M2953" s="258"/>
      <c r="N2953" s="258"/>
      <c r="P2953" s="230">
        <f t="shared" si="1340"/>
        <v>0</v>
      </c>
    </row>
    <row r="2954" spans="2:43" x14ac:dyDescent="0.2">
      <c r="B2954" s="283" t="s">
        <v>525</v>
      </c>
      <c r="C2954" s="283"/>
      <c r="D2954" s="283"/>
      <c r="E2954" s="283"/>
      <c r="F2954" s="283"/>
      <c r="G2954" s="283"/>
      <c r="H2954" s="283"/>
      <c r="I2954" s="283"/>
      <c r="J2954" s="261"/>
      <c r="K2954" s="261"/>
      <c r="L2954" s="261"/>
      <c r="M2954" s="261"/>
      <c r="N2954" s="261"/>
      <c r="P2954" s="230">
        <f t="shared" si="1340"/>
        <v>0</v>
      </c>
    </row>
    <row r="2955" spans="2:43" x14ac:dyDescent="0.2">
      <c r="B2955" s="284" t="s">
        <v>478</v>
      </c>
      <c r="C2955" s="284"/>
      <c r="D2955" s="284"/>
      <c r="E2955" s="284"/>
      <c r="F2955" s="284"/>
      <c r="G2955" s="284"/>
      <c r="H2955" s="284"/>
      <c r="I2955" s="284"/>
      <c r="J2955" s="258"/>
      <c r="K2955" s="258"/>
      <c r="L2955" s="258"/>
      <c r="M2955" s="258"/>
      <c r="N2955" s="258"/>
      <c r="P2955" s="230">
        <f t="shared" si="1340"/>
        <v>0</v>
      </c>
    </row>
    <row r="2956" spans="2:43" x14ac:dyDescent="0.2">
      <c r="B2956" s="284" t="s">
        <v>479</v>
      </c>
      <c r="C2956" s="284"/>
      <c r="D2956" s="284"/>
      <c r="E2956" s="284"/>
      <c r="F2956" s="284"/>
      <c r="G2956" s="284"/>
      <c r="H2956" s="284"/>
      <c r="I2956" s="284"/>
      <c r="J2956" s="258"/>
      <c r="K2956" s="258"/>
      <c r="L2956" s="258"/>
      <c r="M2956" s="258"/>
      <c r="N2956" s="258"/>
      <c r="P2956" s="230">
        <f t="shared" si="1340"/>
        <v>0</v>
      </c>
    </row>
    <row r="2957" spans="2:43" x14ac:dyDescent="0.2">
      <c r="B2957" s="284" t="s">
        <v>480</v>
      </c>
      <c r="C2957" s="284"/>
      <c r="D2957" s="284"/>
      <c r="E2957" s="284"/>
      <c r="F2957" s="284"/>
      <c r="G2957" s="284"/>
      <c r="H2957" s="284"/>
      <c r="I2957" s="284"/>
      <c r="J2957" s="258"/>
      <c r="K2957" s="258"/>
      <c r="L2957" s="258"/>
      <c r="M2957" s="258"/>
      <c r="N2957" s="258"/>
      <c r="P2957" s="230">
        <f t="shared" si="1340"/>
        <v>0</v>
      </c>
    </row>
    <row r="2958" spans="2:43" x14ac:dyDescent="0.2">
      <c r="B2958" s="284" t="s">
        <v>481</v>
      </c>
      <c r="C2958" s="284"/>
      <c r="D2958" s="284"/>
      <c r="E2958" s="284"/>
      <c r="F2958" s="284"/>
      <c r="G2958" s="284"/>
      <c r="H2958" s="284"/>
      <c r="I2958" s="284"/>
      <c r="J2958" s="226"/>
      <c r="K2958" s="226"/>
      <c r="L2958" s="226"/>
      <c r="M2958" s="226"/>
      <c r="N2958" s="226"/>
      <c r="P2958" s="230">
        <f t="shared" si="1340"/>
        <v>0</v>
      </c>
    </row>
    <row r="2959" spans="2:43" x14ac:dyDescent="0.2">
      <c r="B2959" s="284" t="s">
        <v>482</v>
      </c>
      <c r="C2959" s="284"/>
      <c r="D2959" s="284"/>
      <c r="E2959" s="284"/>
      <c r="F2959" s="284"/>
      <c r="G2959" s="284"/>
      <c r="H2959" s="284"/>
      <c r="I2959" s="284"/>
      <c r="J2959" s="226"/>
      <c r="K2959" s="226"/>
      <c r="L2959" s="226"/>
      <c r="M2959" s="226"/>
      <c r="N2959" s="226"/>
      <c r="P2959" s="230">
        <f t="shared" si="1340"/>
        <v>0</v>
      </c>
    </row>
    <row r="2960" spans="2:43" x14ac:dyDescent="0.2">
      <c r="B2960" s="284" t="s">
        <v>483</v>
      </c>
      <c r="C2960" s="284"/>
      <c r="D2960" s="284"/>
      <c r="E2960" s="284"/>
      <c r="F2960" s="284"/>
      <c r="G2960" s="284"/>
      <c r="H2960" s="284"/>
      <c r="I2960" s="284"/>
      <c r="J2960" s="226"/>
      <c r="K2960" s="226"/>
      <c r="L2960" s="226"/>
      <c r="M2960" s="226"/>
      <c r="N2960" s="226"/>
      <c r="P2960" s="230">
        <f t="shared" si="1340"/>
        <v>0</v>
      </c>
    </row>
    <row r="2961" spans="1:16" x14ac:dyDescent="0.2">
      <c r="B2961" s="284" t="s">
        <v>484</v>
      </c>
      <c r="C2961" s="284"/>
      <c r="D2961" s="284"/>
      <c r="E2961" s="284"/>
      <c r="F2961" s="284"/>
      <c r="G2961" s="284"/>
      <c r="H2961" s="284"/>
      <c r="I2961" s="284"/>
      <c r="J2961" s="226"/>
      <c r="K2961" s="226"/>
      <c r="L2961" s="226"/>
      <c r="M2961" s="226"/>
      <c r="N2961" s="226"/>
      <c r="P2961" s="230">
        <f t="shared" si="1340"/>
        <v>0</v>
      </c>
    </row>
    <row r="2962" spans="1:16" x14ac:dyDescent="0.2">
      <c r="B2962" s="264"/>
      <c r="C2962" s="264"/>
      <c r="D2962" s="264"/>
      <c r="E2962" s="264"/>
      <c r="F2962" s="264"/>
      <c r="G2962" s="264"/>
      <c r="H2962" s="264"/>
      <c r="I2962" s="265"/>
      <c r="J2962" s="226"/>
      <c r="K2962" s="226"/>
      <c r="L2962" s="226"/>
      <c r="M2962" s="226"/>
      <c r="N2962" s="226"/>
      <c r="P2962" s="230">
        <f t="shared" si="1340"/>
        <v>0</v>
      </c>
    </row>
    <row r="2963" spans="1:16" x14ac:dyDescent="0.2">
      <c r="B2963" s="225" t="s">
        <v>485</v>
      </c>
      <c r="C2963" s="225"/>
      <c r="D2963" s="225"/>
      <c r="E2963" s="225"/>
      <c r="F2963" s="225"/>
      <c r="G2963" s="225"/>
      <c r="H2963" s="201"/>
      <c r="I2963" s="226"/>
      <c r="J2963" s="226" t="s">
        <v>486</v>
      </c>
      <c r="K2963" s="226"/>
      <c r="L2963" s="226"/>
      <c r="M2963" s="226"/>
      <c r="N2963" s="226"/>
      <c r="P2963" s="230">
        <f t="shared" si="1340"/>
        <v>0</v>
      </c>
    </row>
    <row r="2964" spans="1:16" x14ac:dyDescent="0.2">
      <c r="B2964" s="266" t="s">
        <v>524</v>
      </c>
      <c r="C2964" s="266"/>
      <c r="D2964" s="225"/>
      <c r="E2964" s="225"/>
      <c r="F2964" s="225"/>
      <c r="G2964" s="225"/>
      <c r="H2964" s="201"/>
      <c r="I2964" s="226"/>
      <c r="J2964" s="267"/>
      <c r="K2964" s="267"/>
      <c r="L2964" s="267"/>
      <c r="M2964" s="226"/>
      <c r="N2964" s="226"/>
      <c r="P2964" s="230">
        <f t="shared" si="1340"/>
        <v>0</v>
      </c>
    </row>
    <row r="2965" spans="1:16" x14ac:dyDescent="0.2">
      <c r="B2965" s="268" t="s">
        <v>487</v>
      </c>
      <c r="C2965" s="225"/>
      <c r="D2965" s="225"/>
      <c r="E2965" s="225"/>
      <c r="F2965" s="225"/>
      <c r="G2965" s="225"/>
      <c r="H2965" s="201"/>
      <c r="I2965" s="226"/>
      <c r="J2965" s="226" t="s">
        <v>487</v>
      </c>
      <c r="K2965" s="226"/>
      <c r="L2965" s="226"/>
      <c r="M2965" s="226"/>
      <c r="N2965" s="226"/>
      <c r="P2965" s="230">
        <f t="shared" si="1340"/>
        <v>0</v>
      </c>
    </row>
    <row r="2966" spans="1:16" x14ac:dyDescent="0.2">
      <c r="B2966" s="225"/>
      <c r="C2966" s="225"/>
      <c r="D2966" s="225"/>
      <c r="E2966" s="225"/>
      <c r="F2966" s="225"/>
      <c r="G2966" s="225"/>
      <c r="H2966" s="201"/>
      <c r="I2966" s="226"/>
      <c r="J2966" s="226"/>
      <c r="K2966" s="226"/>
      <c r="L2966" s="226"/>
      <c r="M2966" s="226"/>
      <c r="N2966" s="226"/>
      <c r="P2966" s="230">
        <f t="shared" si="1340"/>
        <v>0</v>
      </c>
    </row>
    <row r="2967" spans="1:16" x14ac:dyDescent="0.2">
      <c r="B2967" s="266"/>
      <c r="C2967" s="266"/>
      <c r="D2967" s="225"/>
      <c r="E2967" s="225"/>
      <c r="F2967" s="225"/>
      <c r="G2967" s="225"/>
      <c r="H2967" s="201"/>
      <c r="I2967" s="226"/>
      <c r="J2967" s="267"/>
      <c r="K2967" s="267"/>
      <c r="L2967" s="267"/>
      <c r="M2967" s="226"/>
      <c r="N2967" s="226"/>
      <c r="P2967" s="230">
        <f t="shared" si="1340"/>
        <v>0</v>
      </c>
    </row>
    <row r="2968" spans="1:16" x14ac:dyDescent="0.2">
      <c r="B2968" s="269" t="s">
        <v>488</v>
      </c>
      <c r="C2968" s="225"/>
      <c r="D2968" s="225"/>
      <c r="E2968" s="225"/>
      <c r="F2968" s="225"/>
      <c r="G2968" s="225"/>
      <c r="H2968" s="201"/>
      <c r="I2968" s="226"/>
      <c r="J2968" s="285" t="s">
        <v>488</v>
      </c>
      <c r="K2968" s="285"/>
      <c r="L2968" s="285"/>
      <c r="M2968" s="226"/>
      <c r="N2968" s="226"/>
      <c r="P2968" s="230">
        <f t="shared" si="1340"/>
        <v>0</v>
      </c>
    </row>
    <row r="2969" spans="1:16" x14ac:dyDescent="0.2">
      <c r="B2969" s="225"/>
      <c r="C2969" s="225"/>
      <c r="D2969" s="225"/>
      <c r="E2969" s="225"/>
      <c r="F2969" s="225"/>
      <c r="G2969" s="225"/>
      <c r="H2969" s="201"/>
      <c r="I2969" s="226"/>
      <c r="J2969" s="226"/>
      <c r="K2969" s="226"/>
      <c r="L2969" s="226"/>
      <c r="M2969" s="226"/>
      <c r="N2969" s="226"/>
      <c r="P2969" s="230">
        <f t="shared" si="1340"/>
        <v>0</v>
      </c>
    </row>
    <row r="2970" spans="1:16" x14ac:dyDescent="0.2">
      <c r="B2970" s="264" t="s">
        <v>489</v>
      </c>
      <c r="C2970" s="225"/>
      <c r="D2970" s="225"/>
      <c r="E2970" s="225"/>
      <c r="F2970" s="225"/>
      <c r="G2970" s="225"/>
      <c r="H2970" s="201"/>
      <c r="I2970" s="226"/>
      <c r="J2970" s="226" t="s">
        <v>489</v>
      </c>
      <c r="K2970" s="226"/>
      <c r="L2970" s="226"/>
      <c r="M2970" s="226"/>
      <c r="N2970" s="226"/>
      <c r="P2970" s="230">
        <f t="shared" si="1340"/>
        <v>0</v>
      </c>
    </row>
    <row r="2971" spans="1:16" x14ac:dyDescent="0.2">
      <c r="A2971" s="272"/>
      <c r="B2971" s="225"/>
      <c r="C2971" s="225"/>
      <c r="D2971" s="225"/>
      <c r="E2971" s="225"/>
      <c r="F2971" s="225"/>
      <c r="G2971" s="225"/>
      <c r="H2971" s="201"/>
      <c r="I2971" s="226"/>
      <c r="J2971" s="226"/>
      <c r="K2971" s="226"/>
      <c r="M2971" s="226"/>
      <c r="N2971" s="228"/>
    </row>
    <row r="2972" spans="1:16" x14ac:dyDescent="0.2">
      <c r="A2972" s="260"/>
      <c r="B2972" s="225"/>
      <c r="C2972" s="225"/>
      <c r="D2972" s="225"/>
      <c r="E2972" s="225"/>
      <c r="F2972" s="225"/>
      <c r="G2972" s="225"/>
      <c r="H2972" s="201"/>
      <c r="I2972" s="226"/>
      <c r="J2972" s="226"/>
      <c r="K2972" s="226"/>
      <c r="M2972" s="226"/>
      <c r="N2972" s="228" t="s">
        <v>455</v>
      </c>
      <c r="P2972" s="230">
        <f t="shared" ref="P2972:P2989" si="1341">IF(A2972&gt;0,1,0)</f>
        <v>0</v>
      </c>
    </row>
    <row r="2973" spans="1:16" x14ac:dyDescent="0.2">
      <c r="B2973" s="225"/>
      <c r="C2973" s="225"/>
      <c r="D2973" s="225"/>
      <c r="E2973" s="225"/>
      <c r="F2973" s="225"/>
      <c r="G2973" s="225"/>
      <c r="H2973" s="201"/>
      <c r="I2973" s="226"/>
      <c r="J2973" s="226"/>
      <c r="K2973" s="226"/>
      <c r="M2973" s="226"/>
      <c r="N2973" s="228" t="s">
        <v>456</v>
      </c>
      <c r="P2973" s="230">
        <f t="shared" si="1341"/>
        <v>0</v>
      </c>
    </row>
    <row r="2974" spans="1:16" x14ac:dyDescent="0.2">
      <c r="B2974" s="225"/>
      <c r="C2974" s="225"/>
      <c r="D2974" s="225"/>
      <c r="E2974" s="225"/>
      <c r="F2974" s="225"/>
      <c r="G2974" s="225"/>
      <c r="H2974" s="201"/>
      <c r="I2974" s="226"/>
      <c r="J2974" s="226"/>
      <c r="K2974" s="226"/>
      <c r="M2974" s="226"/>
      <c r="N2974" s="228" t="s">
        <v>457</v>
      </c>
      <c r="P2974" s="230">
        <f t="shared" si="1341"/>
        <v>0</v>
      </c>
    </row>
    <row r="2975" spans="1:16" x14ac:dyDescent="0.2">
      <c r="B2975" s="225"/>
      <c r="C2975" s="225"/>
      <c r="D2975" s="225"/>
      <c r="E2975" s="225"/>
      <c r="F2975" s="225"/>
      <c r="G2975" s="225"/>
      <c r="H2975" s="201"/>
      <c r="I2975" s="226"/>
      <c r="J2975" s="226"/>
      <c r="K2975" s="226"/>
      <c r="L2975" s="226"/>
      <c r="M2975" s="226"/>
      <c r="N2975" s="226"/>
      <c r="P2975" s="230">
        <f t="shared" si="1341"/>
        <v>0</v>
      </c>
    </row>
    <row r="2976" spans="1:16" x14ac:dyDescent="0.2">
      <c r="B2976" s="225"/>
      <c r="C2976" s="286" t="s">
        <v>458</v>
      </c>
      <c r="D2976" s="286"/>
      <c r="E2976" s="286"/>
      <c r="F2976" s="286"/>
      <c r="G2976" s="286"/>
      <c r="H2976" s="286"/>
      <c r="I2976" s="286"/>
      <c r="J2976" s="286"/>
      <c r="K2976" s="286"/>
      <c r="L2976" s="286"/>
      <c r="M2976" s="226"/>
      <c r="N2976" s="226"/>
      <c r="P2976" s="230">
        <f t="shared" si="1341"/>
        <v>0</v>
      </c>
    </row>
    <row r="2977" spans="1:43" x14ac:dyDescent="0.2">
      <c r="B2977" s="225"/>
      <c r="C2977" s="286" t="s">
        <v>459</v>
      </c>
      <c r="D2977" s="286"/>
      <c r="E2977" s="286"/>
      <c r="F2977" s="286"/>
      <c r="G2977" s="286"/>
      <c r="H2977" s="286"/>
      <c r="I2977" s="286"/>
      <c r="J2977" s="286"/>
      <c r="K2977" s="286"/>
      <c r="L2977" s="286"/>
      <c r="M2977" s="226"/>
      <c r="N2977" s="226"/>
      <c r="P2977" s="230">
        <f t="shared" si="1341"/>
        <v>0</v>
      </c>
    </row>
    <row r="2978" spans="1:43" x14ac:dyDescent="0.2">
      <c r="B2978" s="225" t="s">
        <v>460</v>
      </c>
      <c r="C2978" s="234"/>
      <c r="D2978" s="234"/>
      <c r="E2978" s="234"/>
      <c r="F2978" s="234"/>
      <c r="G2978" s="234"/>
      <c r="H2978" s="234"/>
      <c r="I2978" s="235"/>
      <c r="J2978" s="235"/>
      <c r="K2978" s="235"/>
      <c r="L2978" s="287" t="s">
        <v>461</v>
      </c>
      <c r="M2978" s="287"/>
      <c r="N2978" s="287"/>
      <c r="P2978" s="230">
        <f t="shared" si="1341"/>
        <v>0</v>
      </c>
    </row>
    <row r="2979" spans="1:43" x14ac:dyDescent="0.2">
      <c r="B2979" s="225"/>
      <c r="C2979" s="234"/>
      <c r="D2979" s="234"/>
      <c r="E2979" s="234"/>
      <c r="F2979" s="234"/>
      <c r="G2979" s="234"/>
      <c r="H2979" s="234"/>
      <c r="I2979" s="235"/>
      <c r="J2979" s="235"/>
      <c r="K2979" s="235"/>
      <c r="L2979" s="235"/>
      <c r="M2979" s="235"/>
      <c r="N2979" s="235"/>
      <c r="P2979" s="230">
        <f t="shared" si="1341"/>
        <v>0</v>
      </c>
    </row>
    <row r="2980" spans="1:43" x14ac:dyDescent="0.2">
      <c r="B2980" s="225" t="s">
        <v>2038</v>
      </c>
      <c r="C2980" s="234"/>
      <c r="D2980" s="234"/>
      <c r="E2980" s="234"/>
      <c r="F2980" s="234"/>
      <c r="G2980" s="234"/>
      <c r="H2980" s="234"/>
      <c r="I2980" s="235"/>
      <c r="J2980" s="235"/>
      <c r="K2980" s="235"/>
      <c r="L2980" s="235"/>
      <c r="M2980" s="235"/>
      <c r="N2980" s="235"/>
      <c r="P2980" s="230">
        <f t="shared" si="1341"/>
        <v>0</v>
      </c>
    </row>
    <row r="2981" spans="1:43" x14ac:dyDescent="0.2">
      <c r="B2981" s="225" t="s">
        <v>462</v>
      </c>
      <c r="C2981" s="234"/>
      <c r="D2981" s="234"/>
      <c r="E2981" s="234"/>
      <c r="F2981" s="234"/>
      <c r="G2981" s="234"/>
      <c r="H2981" s="234"/>
      <c r="I2981" s="235"/>
      <c r="J2981" s="235"/>
      <c r="K2981" s="235"/>
      <c r="L2981" s="235"/>
      <c r="M2981" s="235"/>
      <c r="N2981" s="235"/>
      <c r="P2981" s="230">
        <f t="shared" si="1341"/>
        <v>0</v>
      </c>
    </row>
    <row r="2982" spans="1:43" x14ac:dyDescent="0.2">
      <c r="B2982" s="225" t="s">
        <v>2037</v>
      </c>
      <c r="C2982" s="234"/>
      <c r="D2982" s="234"/>
      <c r="E2982" s="234"/>
      <c r="F2982" s="234"/>
      <c r="G2982" s="234"/>
      <c r="H2982" s="234"/>
      <c r="I2982" s="235"/>
      <c r="J2982" s="235"/>
      <c r="K2982" s="235"/>
      <c r="L2982" s="235"/>
      <c r="M2982" s="235"/>
      <c r="N2982" s="235"/>
      <c r="P2982" s="230">
        <f t="shared" si="1341"/>
        <v>0</v>
      </c>
    </row>
    <row r="2983" spans="1:43" x14ac:dyDescent="0.2">
      <c r="B2983" s="225" t="s">
        <v>2052</v>
      </c>
      <c r="C2983" s="234"/>
      <c r="D2983" s="234"/>
      <c r="E2983" s="234"/>
      <c r="F2983" s="234"/>
      <c r="G2983" s="234"/>
      <c r="H2983" s="234"/>
      <c r="I2983" s="235"/>
      <c r="J2983" s="235"/>
      <c r="K2983" s="235"/>
      <c r="L2983" s="235"/>
      <c r="M2983" s="235"/>
      <c r="N2983" s="235"/>
      <c r="P2983" s="230">
        <f t="shared" si="1341"/>
        <v>0</v>
      </c>
    </row>
    <row r="2984" spans="1:43" x14ac:dyDescent="0.2">
      <c r="B2984" s="225"/>
      <c r="C2984" s="225"/>
      <c r="D2984" s="225"/>
      <c r="E2984" s="225"/>
      <c r="F2984" s="225"/>
      <c r="G2984" s="225"/>
      <c r="H2984" s="201"/>
      <c r="I2984" s="226"/>
      <c r="J2984" s="226"/>
      <c r="K2984" s="226"/>
      <c r="L2984" s="226"/>
      <c r="M2984" s="226"/>
      <c r="N2984" s="226"/>
      <c r="P2984" s="230">
        <f t="shared" si="1341"/>
        <v>0</v>
      </c>
    </row>
    <row r="2985" spans="1:43" x14ac:dyDescent="0.2">
      <c r="B2985" s="288" t="s">
        <v>106</v>
      </c>
      <c r="C2985" s="290" t="s">
        <v>463</v>
      </c>
      <c r="D2985" s="288" t="s">
        <v>464</v>
      </c>
      <c r="E2985" s="288" t="s">
        <v>465</v>
      </c>
      <c r="F2985" s="288" t="s">
        <v>490</v>
      </c>
      <c r="G2985" s="288" t="s">
        <v>466</v>
      </c>
      <c r="H2985" s="292" t="s">
        <v>8</v>
      </c>
      <c r="I2985" s="294" t="s">
        <v>467</v>
      </c>
      <c r="J2985" s="295"/>
      <c r="K2985" s="295"/>
      <c r="L2985" s="296"/>
      <c r="M2985" s="297" t="s">
        <v>468</v>
      </c>
      <c r="N2985" s="299" t="s">
        <v>469</v>
      </c>
      <c r="P2985" s="230">
        <f t="shared" si="1341"/>
        <v>0</v>
      </c>
    </row>
    <row r="2986" spans="1:43" x14ac:dyDescent="0.2">
      <c r="B2986" s="289"/>
      <c r="C2986" s="291"/>
      <c r="D2986" s="289"/>
      <c r="E2986" s="289"/>
      <c r="F2986" s="289"/>
      <c r="G2986" s="289"/>
      <c r="H2986" s="293"/>
      <c r="I2986" s="236" t="s">
        <v>470</v>
      </c>
      <c r="J2986" s="236" t="s">
        <v>471</v>
      </c>
      <c r="K2986" s="236" t="s">
        <v>472</v>
      </c>
      <c r="L2986" s="236" t="s">
        <v>473</v>
      </c>
      <c r="M2986" s="298"/>
      <c r="N2986" s="300"/>
      <c r="P2986" s="230">
        <f t="shared" si="1341"/>
        <v>0</v>
      </c>
    </row>
    <row r="2987" spans="1:43" x14ac:dyDescent="0.2">
      <c r="A2987" s="224" t="str">
        <f>CONCATENATE("Лот"," ",A2988)</f>
        <v>Лот 55</v>
      </c>
      <c r="B2987" s="273" t="s">
        <v>2087</v>
      </c>
      <c r="C2987" s="274"/>
      <c r="D2987" s="274"/>
      <c r="E2987" s="274"/>
      <c r="F2987" s="274"/>
      <c r="G2987" s="275"/>
      <c r="H2987" s="238" t="s">
        <v>17</v>
      </c>
      <c r="I2987" s="270">
        <f ca="1">ROUND(VLOOKUP($H2987,$AJ$4:$AN$13,2,0)*$Q2989*1.51,2)</f>
        <v>120.15</v>
      </c>
      <c r="J2987" s="270">
        <f ca="1">ROUND(VLOOKUP($H2987,$AJ$4:$AN$13,3,0)*$Q2989*1.51,2)</f>
        <v>85.62</v>
      </c>
      <c r="K2987" s="270">
        <f ca="1">ROUND(VLOOKUP($H2987,$AJ$4:$AN$13,4,0)*$Q2989*1.51,2)</f>
        <v>43.38</v>
      </c>
      <c r="L2987" s="270"/>
      <c r="M2987" s="270">
        <f ca="1">ROUND(VLOOKUP($H2987,$AJ$4:$AN$13,5,0)*$Q2989*1.51,2)</f>
        <v>6.85</v>
      </c>
      <c r="N2987" s="270"/>
      <c r="P2987" s="230">
        <f t="shared" si="1341"/>
        <v>1</v>
      </c>
    </row>
    <row r="2988" spans="1:43" x14ac:dyDescent="0.2">
      <c r="A2988" s="224">
        <f>A2933+1</f>
        <v>55</v>
      </c>
      <c r="B2988" s="276"/>
      <c r="C2988" s="277"/>
      <c r="D2988" s="277"/>
      <c r="E2988" s="277"/>
      <c r="F2988" s="277"/>
      <c r="G2988" s="278"/>
      <c r="H2988" s="238" t="s">
        <v>25</v>
      </c>
      <c r="I2988" s="270">
        <f ca="1">ROUND(VLOOKUP($H2988,$AJ$4:$AN$13,2,0)*$Q2989*1.51,2)</f>
        <v>898.69</v>
      </c>
      <c r="J2988" s="270">
        <f ca="1">ROUND(VLOOKUP($H2988,$AJ$4:$AN$13,3,0)*$Q2989*1.51,2)</f>
        <v>642.13</v>
      </c>
      <c r="K2988" s="270">
        <f ca="1">ROUND(VLOOKUP($H2988,$AJ$4:$AN$13,4,0)*$Q2989*1.51,2)</f>
        <v>323.06</v>
      </c>
      <c r="L2988" s="270"/>
      <c r="M2988" s="270">
        <f ca="1">ROUND(VLOOKUP($H2988,$AJ$4:$AN$13,5,0)*$Q2989*1.51,2)</f>
        <v>27.97</v>
      </c>
      <c r="N2988" s="270"/>
      <c r="P2988" s="230">
        <f t="shared" si="1341"/>
        <v>1</v>
      </c>
      <c r="Q2988" s="240" t="s">
        <v>2045</v>
      </c>
      <c r="R2988" s="240" t="s">
        <v>2046</v>
      </c>
    </row>
    <row r="2989" spans="1:43" x14ac:dyDescent="0.2">
      <c r="B2989" s="276"/>
      <c r="C2989" s="277"/>
      <c r="D2989" s="277"/>
      <c r="E2989" s="277"/>
      <c r="F2989" s="277"/>
      <c r="G2989" s="278"/>
      <c r="H2989" s="238" t="s">
        <v>19</v>
      </c>
      <c r="I2989" s="270">
        <f ca="1">ROUND(VLOOKUP($H2989,$AJ$4:$AN$13,2,0)*$Q2989*1.51,2)</f>
        <v>71.349999999999994</v>
      </c>
      <c r="J2989" s="270">
        <f ca="1">ROUND(VLOOKUP($H2989,$AJ$4:$AN$13,3,0)*$Q2989*1.51,2)</f>
        <v>51.94</v>
      </c>
      <c r="K2989" s="270">
        <f ca="1">ROUND(VLOOKUP($H2989,$AJ$4:$AN$13,4,0)*$Q2989*1.51,2)</f>
        <v>26.54</v>
      </c>
      <c r="L2989" s="270"/>
      <c r="M2989" s="270">
        <f ca="1">ROUND(VLOOKUP($H2989,$AJ$4:$AN$13,5,0)*$Q2989*1.51,2)</f>
        <v>1.43</v>
      </c>
      <c r="N2989" s="270"/>
      <c r="P2989" s="230">
        <f t="shared" si="1341"/>
        <v>0</v>
      </c>
      <c r="Q2989" s="123">
        <f ca="1">IFERROR(IF(R2989="","",IF(OR(R2989&lt;100,R2989=100),0.9,IF(OR(AND(R2989&gt;100,R2989&lt;150),R2989=150),1,IF(R2989&gt;150,1.05,"")))),"0")</f>
        <v>1.05</v>
      </c>
      <c r="R2989" s="123">
        <f ca="1">N3005/G2993</f>
        <v>199.4111111111111</v>
      </c>
    </row>
    <row r="2990" spans="1:43" x14ac:dyDescent="0.2">
      <c r="B2990" s="276"/>
      <c r="C2990" s="277"/>
      <c r="D2990" s="277"/>
      <c r="E2990" s="277"/>
      <c r="F2990" s="277"/>
      <c r="G2990" s="278"/>
      <c r="H2990" s="238" t="s">
        <v>268</v>
      </c>
      <c r="I2990" s="270">
        <f ca="1">ROUND(VLOOKUP($H2990,$AJ$4:$AN$13,2,0)*$Q2989*1.51,2)</f>
        <v>898.69</v>
      </c>
      <c r="J2990" s="270">
        <f ca="1">ROUND(VLOOKUP($H2990,$AJ$4:$AN$13,3,0)*$Q2989*1.51,2)</f>
        <v>642.13</v>
      </c>
      <c r="K2990" s="270">
        <f ca="1">ROUND(VLOOKUP($H2990,$AJ$4:$AN$13,4,0)*$Q2989*1.51,2)</f>
        <v>323.06</v>
      </c>
      <c r="L2990" s="270"/>
      <c r="M2990" s="270">
        <f ca="1">ROUND(VLOOKUP($H2990,$AJ$4:$AN$13,5,0)*$Q2989*1.51,2)</f>
        <v>27.97</v>
      </c>
      <c r="N2990" s="270"/>
    </row>
    <row r="2991" spans="1:43" x14ac:dyDescent="0.2">
      <c r="B2991" s="276"/>
      <c r="C2991" s="277"/>
      <c r="D2991" s="277"/>
      <c r="E2991" s="277"/>
      <c r="F2991" s="277"/>
      <c r="G2991" s="278"/>
      <c r="H2991" s="238" t="s">
        <v>40</v>
      </c>
      <c r="I2991" s="270">
        <f ca="1">ROUND(VLOOKUP($H2991,$AJ$4:$AN$13,2,0)*$Q2989*1.51,2)</f>
        <v>71.349999999999994</v>
      </c>
      <c r="J2991" s="270">
        <f ca="1">ROUND(VLOOKUP($H2991,$AJ$4:$AN$13,3,0)*$Q2989*1.51,2)</f>
        <v>51.94</v>
      </c>
      <c r="K2991" s="270">
        <f ca="1">ROUND(VLOOKUP($H2991,$AJ$4:$AN$13,4,0)*$Q2989*1.51,2)</f>
        <v>26.54</v>
      </c>
      <c r="L2991" s="270"/>
      <c r="M2991" s="270">
        <f ca="1">ROUND(VLOOKUP($H2991,$AJ$4:$AN$13,5,0)*$Q2989*1.51,2)</f>
        <v>1.43</v>
      </c>
      <c r="N2991" s="270"/>
      <c r="P2991" s="230">
        <f t="shared" ref="P2991:P3004" si="1342">IF(A2991&gt;0,1,0)</f>
        <v>0</v>
      </c>
    </row>
    <row r="2992" spans="1:43" x14ac:dyDescent="0.2">
      <c r="B2992" s="279"/>
      <c r="C2992" s="280"/>
      <c r="D2992" s="280"/>
      <c r="E2992" s="280"/>
      <c r="F2992" s="280"/>
      <c r="G2992" s="281"/>
      <c r="H2992" s="238" t="s">
        <v>18</v>
      </c>
      <c r="I2992" s="270">
        <f ca="1">ROUND(VLOOKUP($H2992,$AJ$4:$AN$13,2,0)*$Q2989*1.51,2)</f>
        <v>22.83</v>
      </c>
      <c r="J2992" s="270">
        <f ca="1">ROUND(VLOOKUP($H2992,$AJ$4:$AN$13,3,0)*$Q2989*1.51,2)</f>
        <v>17.41</v>
      </c>
      <c r="K2992" s="270">
        <f ca="1">ROUND(VLOOKUP($H2992,$AJ$4:$AN$13,4,0)*$Q2989*1.51,2)</f>
        <v>8.85</v>
      </c>
      <c r="L2992" s="270"/>
      <c r="M2992" s="270">
        <f ca="1">ROUND(VLOOKUP($H2992,$AJ$4:$AN$13,5,0)*$Q2989*1.51*1,2)</f>
        <v>0.56999999999999995</v>
      </c>
      <c r="N2992" s="270"/>
      <c r="P2992" s="230">
        <f t="shared" si="1342"/>
        <v>0</v>
      </c>
      <c r="AP2992" s="241" t="s">
        <v>2053</v>
      </c>
      <c r="AQ2992" s="242"/>
    </row>
    <row r="2993" spans="1:43" x14ac:dyDescent="0.2">
      <c r="A2993" s="224">
        <f>A2938+37</f>
        <v>1998</v>
      </c>
      <c r="B2993" s="243" t="str">
        <f ca="1">OFFSET(ЛОТЫ!$L$5,A2993,0,1,1)</f>
        <v>Чулпановское</v>
      </c>
      <c r="C2993" s="244" t="s">
        <v>474</v>
      </c>
      <c r="D2993" s="243">
        <f ca="1">OFFSET(ЛОТЫ!$M$5,A2993,0,1,1)</f>
        <v>59</v>
      </c>
      <c r="E2993" s="243">
        <f ca="1">OFFSET(ЛОТЫ!$N$5,A2993,0,1,1)</f>
        <v>57</v>
      </c>
      <c r="F2993" s="243">
        <f ca="1">OFFSET(ЛОТЫ!$O$5,A2993,0,1,1)</f>
        <v>3</v>
      </c>
      <c r="G2993" s="271">
        <f ca="1">IFERROR(INDEX('Ведомость расчета мин. платы'!$G$10:$AC$214,MATCH(CONCATENATE(B2993,"/",D2993,"/",E2993,"/",F2993),'Ведомость расчета мин. платы'!$AC$10:$AC$214,0),1),"")</f>
        <v>0.9</v>
      </c>
      <c r="H2993" s="246" t="s">
        <v>17</v>
      </c>
      <c r="I2993" s="247" t="str">
        <f ca="1">IFERROR(INDEX('Ведомость расчета мин. платы'!$J$10:$AE$214,MATCH(CONCATENATE(РАСЧЕТ!B2993,"/",РАСЧЕТ!D2993,"/",РАСЧЕТ!E2993,"/",F2993,"/",H2993),'Ведомость расчета мин. платы'!$AE$10:$AE$214,0),2),"")</f>
        <v/>
      </c>
      <c r="J2993" s="247" t="str">
        <f ca="1">IFERROR(INDEX('Ведомость расчета мин. платы'!$J$10:$AE$214,MATCH(CONCATENATE(РАСЧЕТ!B2993,"/",РАСЧЕТ!D2993,"/",РАСЧЕТ!E2993,"/",F2993,"/",H2993),'Ведомость расчета мин. платы'!$AE$10:$AE$214,0),3),"")</f>
        <v/>
      </c>
      <c r="K2993" s="247" t="str">
        <f ca="1">IFERROR(INDEX('Ведомость расчета мин. платы'!$J$10:$AE$214,MATCH(CONCATENATE(РАСЧЕТ!B2993,"/",РАСЧЕТ!D2993,"/",РАСЧЕТ!E2993,"/",F2993,"/",H2993),'Ведомость расчета мин. платы'!$AE$10:$AE$214,0),4),"")</f>
        <v/>
      </c>
      <c r="L2993" s="248">
        <f t="shared" ref="L2993:L3005" ca="1" si="1343">IFERROR(SUM(I2993:K2993),"")</f>
        <v>0</v>
      </c>
      <c r="M2993" s="214" t="str">
        <f ca="1">IFERROR(INDEX('Ведомость расчета мин. платы'!$J$10:$AE$214,MATCH(CONCATENATE(РАСЧЕТ!B2993,"/",РАСЧЕТ!D2993,"/",РАСЧЕТ!E2993,"/",F2993,"/",H2993),'Ведомость расчета мин. платы'!$AE$10:$AE$214,0),6),"")</f>
        <v/>
      </c>
      <c r="N2993" s="214">
        <f t="shared" ref="N2993:N3005" ca="1" si="1344">IFERROR(SUM(L2993:M2993),"")</f>
        <v>0</v>
      </c>
      <c r="O2993" s="229">
        <f>IF(H2993="стоимость","",1)</f>
        <v>1</v>
      </c>
      <c r="P2993" s="230">
        <f t="shared" si="1342"/>
        <v>1</v>
      </c>
      <c r="AP2993" s="242"/>
      <c r="AQ2993" s="242"/>
    </row>
    <row r="2994" spans="1:43" x14ac:dyDescent="0.2">
      <c r="B2994" s="249"/>
      <c r="C2994" s="249"/>
      <c r="D2994" s="249"/>
      <c r="E2994" s="249"/>
      <c r="F2994" s="249"/>
      <c r="G2994" s="249"/>
      <c r="H2994" s="250" t="s">
        <v>475</v>
      </c>
      <c r="I2994" s="251" t="str">
        <f ca="1">IFERROR(ROUND(I2993*I2987,2),"")</f>
        <v/>
      </c>
      <c r="J2994" s="251" t="str">
        <f t="shared" ref="J2994:K2994" ca="1" si="1345">IFERROR(ROUND(J2993*J2987,2),"")</f>
        <v/>
      </c>
      <c r="K2994" s="251" t="str">
        <f t="shared" ca="1" si="1345"/>
        <v/>
      </c>
      <c r="L2994" s="251">
        <f t="shared" ca="1" si="1343"/>
        <v>0</v>
      </c>
      <c r="M2994" s="251" t="str">
        <f t="shared" ref="M2994" ca="1" si="1346">IFERROR(ROUND(M2993*M2987,2),"")</f>
        <v/>
      </c>
      <c r="N2994" s="252">
        <f t="shared" ca="1" si="1344"/>
        <v>0</v>
      </c>
      <c r="O2994" s="229" t="str">
        <f t="shared" ref="O2994:O3004" si="1347">IF(H2994="стоимость","",1)</f>
        <v/>
      </c>
      <c r="P2994" s="230">
        <f t="shared" si="1342"/>
        <v>0</v>
      </c>
      <c r="AP2994" s="242">
        <f ca="1">SUMIFS('Ведомость расчета мин. платы'!$S$10:$S$209,'Ведомость расчета мин. платы'!$AE$10:$AE$209,CONCATENATE(B2993,"/",D2993,"/",E2993,"/",F2993,"/",H2993))</f>
        <v>0</v>
      </c>
      <c r="AQ2994" s="253">
        <f t="shared" ref="AQ2994" ca="1" si="1348">AP2994-N2994</f>
        <v>0</v>
      </c>
    </row>
    <row r="2995" spans="1:43" x14ac:dyDescent="0.2">
      <c r="B2995" s="249"/>
      <c r="C2995" s="249"/>
      <c r="D2995" s="249"/>
      <c r="E2995" s="249"/>
      <c r="F2995" s="249"/>
      <c r="G2995" s="249"/>
      <c r="H2995" s="246" t="s">
        <v>25</v>
      </c>
      <c r="I2995" s="247" t="str">
        <f ca="1">IFERROR(INDEX('Ведомость расчета мин. платы'!$J$10:$AE$214,MATCH(CONCATENATE(РАСЧЕТ!B2993,"/",РАСЧЕТ!D2993,"/",РАСЧЕТ!E2993,"/",F2993,"/",H2995),'Ведомость расчета мин. платы'!$AE$10:$AE$214,0),2),"")</f>
        <v/>
      </c>
      <c r="J2995" s="247" t="str">
        <f ca="1">IFERROR(INDEX('Ведомость расчета мин. платы'!$J$10:$AE$214,MATCH(CONCATENATE(РАСЧЕТ!B2993,"/",РАСЧЕТ!D2993,"/",РАСЧЕТ!E2993,"/",F2993,"/",H2995),'Ведомость расчета мин. платы'!$AE$10:$AE$214,0),3),"")</f>
        <v/>
      </c>
      <c r="K2995" s="247" t="str">
        <f ca="1">IFERROR(INDEX('Ведомость расчета мин. платы'!$J$10:$AE$214,MATCH(CONCATENATE(РАСЧЕТ!B2993,"/",РАСЧЕТ!D2993,"/",РАСЧЕТ!E2993,"/",F2993,"/",H2995),'Ведомость расчета мин. платы'!$AE$10:$AE$214,0),4),"")</f>
        <v/>
      </c>
      <c r="L2995" s="248">
        <f t="shared" ca="1" si="1343"/>
        <v>0</v>
      </c>
      <c r="M2995" s="214" t="str">
        <f ca="1">IFERROR(INDEX('Ведомость расчета мин. платы'!$J$10:$AE$214,MATCH(CONCATENATE(РАСЧЕТ!B2993,"/",РАСЧЕТ!D2993,"/",РАСЧЕТ!E2993,"/",F2993,"/",H2995),'Ведомость расчета мин. платы'!$AE$10:$AE$214,0),6),"")</f>
        <v/>
      </c>
      <c r="N2995" s="214">
        <f t="shared" ca="1" si="1344"/>
        <v>0</v>
      </c>
      <c r="O2995" s="229">
        <f t="shared" si="1347"/>
        <v>1</v>
      </c>
      <c r="P2995" s="230">
        <f t="shared" si="1342"/>
        <v>0</v>
      </c>
      <c r="AP2995" s="242"/>
      <c r="AQ2995" s="253"/>
    </row>
    <row r="2996" spans="1:43" x14ac:dyDescent="0.2">
      <c r="B2996" s="249"/>
      <c r="C2996" s="249"/>
      <c r="D2996" s="249"/>
      <c r="E2996" s="249"/>
      <c r="F2996" s="249"/>
      <c r="G2996" s="249"/>
      <c r="H2996" s="250" t="s">
        <v>475</v>
      </c>
      <c r="I2996" s="251" t="str">
        <f ca="1">IFERROR(ROUND(I2995*I2988,2),"")</f>
        <v/>
      </c>
      <c r="J2996" s="251" t="str">
        <f t="shared" ref="J2996:K2996" ca="1" si="1349">IFERROR(ROUND(J2995*J2988,2),"")</f>
        <v/>
      </c>
      <c r="K2996" s="251" t="str">
        <f t="shared" ca="1" si="1349"/>
        <v/>
      </c>
      <c r="L2996" s="251">
        <f t="shared" ca="1" si="1343"/>
        <v>0</v>
      </c>
      <c r="M2996" s="251" t="str">
        <f t="shared" ref="M2996" ca="1" si="1350">IFERROR(ROUND(M2995*M2988,2),"")</f>
        <v/>
      </c>
      <c r="N2996" s="252">
        <f t="shared" ca="1" si="1344"/>
        <v>0</v>
      </c>
      <c r="O2996" s="229" t="str">
        <f t="shared" si="1347"/>
        <v/>
      </c>
      <c r="P2996" s="230">
        <f t="shared" si="1342"/>
        <v>0</v>
      </c>
      <c r="AP2996" s="242">
        <f ca="1">SUMIFS('Ведомость расчета мин. платы'!$S$10:$S$209,'Ведомость расчета мин. платы'!$AE$10:$AE$209,CONCATENATE(B2993,"/",D2993,"/",E2993,"/",F2993,"/",H2995))</f>
        <v>0</v>
      </c>
      <c r="AQ2996" s="253">
        <f t="shared" ref="AQ2996" ca="1" si="1351">AP2996-N2996</f>
        <v>0</v>
      </c>
    </row>
    <row r="2997" spans="1:43" x14ac:dyDescent="0.2">
      <c r="B2997" s="249"/>
      <c r="C2997" s="249"/>
      <c r="D2997" s="249"/>
      <c r="E2997" s="249"/>
      <c r="F2997" s="249"/>
      <c r="G2997" s="249"/>
      <c r="H2997" s="205" t="s">
        <v>19</v>
      </c>
      <c r="I2997" s="248" t="str">
        <f ca="1">IFERROR(INDEX('Ведомость расчета мин. платы'!$J$10:$AE$214,MATCH(CONCATENATE(РАСЧЕТ!B2993,"/",РАСЧЕТ!D2993,"/",РАСЧЕТ!E2993,"/",F2993,"/",H2997),'Ведомость расчета мин. платы'!$AE$10:$AE$214,0),2),"")</f>
        <v/>
      </c>
      <c r="J2997" s="248" t="str">
        <f ca="1">IFERROR(INDEX('Ведомость расчета мин. платы'!$J$10:$AE$214,MATCH(CONCATENATE(РАСЧЕТ!B2993,"/",РАСЧЕТ!D2993,"/",РАСЧЕТ!E2993,"/",F2993,"/",H2997),'Ведомость расчета мин. платы'!$AE$10:$AE$214,0),3),"")</f>
        <v/>
      </c>
      <c r="K2997" s="248" t="str">
        <f ca="1">IFERROR(INDEX('Ведомость расчета мин. платы'!$J$10:$AE$214,MATCH(CONCATENATE(РАСЧЕТ!B2993,"/",РАСЧЕТ!D2993,"/",РАСЧЕТ!E2993,"/",F2993,"/",H2997),'Ведомость расчета мин. платы'!$AE$10:$AE$214,0),4),"")</f>
        <v/>
      </c>
      <c r="L2997" s="248">
        <f t="shared" ca="1" si="1343"/>
        <v>0</v>
      </c>
      <c r="M2997" s="248" t="str">
        <f ca="1">IFERROR(INDEX('Ведомость расчета мин. платы'!$J$10:$AE$214,MATCH(CONCATENATE(РАСЧЕТ!B2993,"/",РАСЧЕТ!D2993,"/",РАСЧЕТ!E2993,"/",F2993,"/",H2997),'Ведомость расчета мин. платы'!$AE$10:$AE$214,0),6),"")</f>
        <v/>
      </c>
      <c r="N2997" s="214">
        <f t="shared" ca="1" si="1344"/>
        <v>0</v>
      </c>
      <c r="O2997" s="229">
        <f t="shared" si="1347"/>
        <v>1</v>
      </c>
      <c r="P2997" s="230">
        <f t="shared" si="1342"/>
        <v>0</v>
      </c>
      <c r="AP2997" s="242"/>
      <c r="AQ2997" s="253"/>
    </row>
    <row r="2998" spans="1:43" x14ac:dyDescent="0.2">
      <c r="B2998" s="249"/>
      <c r="C2998" s="249"/>
      <c r="D2998" s="249"/>
      <c r="E2998" s="249"/>
      <c r="F2998" s="249"/>
      <c r="G2998" s="249"/>
      <c r="H2998" s="250" t="s">
        <v>475</v>
      </c>
      <c r="I2998" s="251" t="str">
        <f ca="1">IFERROR(ROUND(I2997*I2989,2),"")</f>
        <v/>
      </c>
      <c r="J2998" s="251" t="str">
        <f t="shared" ref="J2998:K2998" ca="1" si="1352">IFERROR(ROUND(J2997*J2989,2),"")</f>
        <v/>
      </c>
      <c r="K2998" s="251" t="str">
        <f t="shared" ca="1" si="1352"/>
        <v/>
      </c>
      <c r="L2998" s="251">
        <f t="shared" ca="1" si="1343"/>
        <v>0</v>
      </c>
      <c r="M2998" s="251" t="str">
        <f t="shared" ref="M2998" ca="1" si="1353">IFERROR(ROUND(M2997*M2989,2),"")</f>
        <v/>
      </c>
      <c r="N2998" s="252">
        <f t="shared" ca="1" si="1344"/>
        <v>0</v>
      </c>
      <c r="O2998" s="229" t="str">
        <f t="shared" si="1347"/>
        <v/>
      </c>
      <c r="P2998" s="230">
        <f t="shared" si="1342"/>
        <v>0</v>
      </c>
      <c r="AP2998" s="242">
        <f ca="1">SUMIFS('Ведомость расчета мин. платы'!$S$10:$S$209,'Ведомость расчета мин. платы'!$AE$10:$AE$209,CONCATENATE(B2993,"/",D2993,"/",E2993,"/",F2993,"/",H2997))</f>
        <v>0</v>
      </c>
      <c r="AQ2998" s="253">
        <f t="shared" ref="AQ2998" ca="1" si="1354">AP2998-N2998</f>
        <v>0</v>
      </c>
    </row>
    <row r="2999" spans="1:43" x14ac:dyDescent="0.2">
      <c r="B2999" s="249"/>
      <c r="C2999" s="249"/>
      <c r="D2999" s="249"/>
      <c r="E2999" s="249"/>
      <c r="F2999" s="249"/>
      <c r="G2999" s="249"/>
      <c r="H2999" s="205" t="s">
        <v>268</v>
      </c>
      <c r="I2999" s="248" t="str">
        <f ca="1">IFERROR(INDEX('Ведомость расчета мин. платы'!$J$10:$AE$214,MATCH(CONCATENATE(РАСЧЕТ!B2993,"/",РАСЧЕТ!D2993,"/",РАСЧЕТ!E2993,"/",F2993,"/",H2999),'Ведомость расчета мин. платы'!$AE$10:$AE$214,0),2),"")</f>
        <v/>
      </c>
      <c r="J2999" s="248" t="str">
        <f ca="1">IFERROR(INDEX('Ведомость расчета мин. платы'!$J$10:$AE$214,MATCH(CONCATENATE(РАСЧЕТ!B2993,"/",РАСЧЕТ!D2993,"/",РАСЧЕТ!E2993,"/",F2993,"/",H2999),'Ведомость расчета мин. платы'!$AE$10:$AE$214,0),3),"")</f>
        <v/>
      </c>
      <c r="K2999" s="248" t="str">
        <f ca="1">IFERROR(INDEX('Ведомость расчета мин. платы'!$J$10:$AE$214,MATCH(CONCATENATE(РАСЧЕТ!B2993,"/",РАСЧЕТ!D2993,"/",РАСЧЕТ!E2993,"/",F2993,"/",H2999),'Ведомость расчета мин. платы'!$AE$10:$AE$214,0),4),"")</f>
        <v/>
      </c>
      <c r="L2999" s="248">
        <f t="shared" ca="1" si="1343"/>
        <v>0</v>
      </c>
      <c r="M2999" s="248" t="str">
        <f ca="1">IFERROR(INDEX('Ведомость расчета мин. платы'!$J$10:$AE$214,MATCH(CONCATENATE(РАСЧЕТ!B2993,"/",РАСЧЕТ!D2993,"/",РАСЧЕТ!E2993,"/",F2993,"/",H2999),'Ведомость расчета мин. платы'!$AE$10:$AE$214,0),6),"")</f>
        <v/>
      </c>
      <c r="N2999" s="214">
        <f t="shared" ca="1" si="1344"/>
        <v>0</v>
      </c>
      <c r="O2999" s="229">
        <f t="shared" si="1347"/>
        <v>1</v>
      </c>
      <c r="P2999" s="230">
        <f t="shared" si="1342"/>
        <v>0</v>
      </c>
      <c r="AP2999" s="242"/>
      <c r="AQ2999" s="253"/>
    </row>
    <row r="3000" spans="1:43" x14ac:dyDescent="0.2">
      <c r="B3000" s="249"/>
      <c r="C3000" s="249"/>
      <c r="D3000" s="249"/>
      <c r="E3000" s="249"/>
      <c r="F3000" s="249"/>
      <c r="G3000" s="249"/>
      <c r="H3000" s="250" t="s">
        <v>475</v>
      </c>
      <c r="I3000" s="251" t="str">
        <f ca="1">IFERROR(ROUND(I2999*I2990,2),"")</f>
        <v/>
      </c>
      <c r="J3000" s="251" t="str">
        <f ca="1">IFERROR(ROUND(J2999*J2990,2),"")</f>
        <v/>
      </c>
      <c r="K3000" s="251" t="str">
        <f ca="1">IFERROR(ROUND(K2999*K2990,2),"")</f>
        <v/>
      </c>
      <c r="L3000" s="251">
        <f t="shared" ca="1" si="1343"/>
        <v>0</v>
      </c>
      <c r="M3000" s="251" t="str">
        <f ca="1">IFERROR(ROUND(M2999*M2990,2),"")</f>
        <v/>
      </c>
      <c r="N3000" s="252">
        <f t="shared" ca="1" si="1344"/>
        <v>0</v>
      </c>
      <c r="O3000" s="229" t="str">
        <f t="shared" si="1347"/>
        <v/>
      </c>
      <c r="P3000" s="230">
        <f t="shared" si="1342"/>
        <v>0</v>
      </c>
      <c r="AP3000" s="242">
        <f ca="1">SUMIFS('Ведомость расчета мин. платы'!$S$10:$S$209,'Ведомость расчета мин. платы'!$AE$10:$AE$209,CONCATENATE(B2993,"/",D2993,"/",E2993,"/",F2993,"/",H2999))</f>
        <v>0</v>
      </c>
      <c r="AQ3000" s="253">
        <f t="shared" ref="AQ3000" ca="1" si="1355">AP3000-N3000</f>
        <v>0</v>
      </c>
    </row>
    <row r="3001" spans="1:43" x14ac:dyDescent="0.2">
      <c r="B3001" s="249"/>
      <c r="C3001" s="249"/>
      <c r="D3001" s="249"/>
      <c r="E3001" s="249"/>
      <c r="F3001" s="249"/>
      <c r="G3001" s="249"/>
      <c r="H3001" s="205" t="s">
        <v>40</v>
      </c>
      <c r="I3001" s="248" t="str">
        <f ca="1">IFERROR(INDEX('Ведомость расчета мин. платы'!$J$10:$AE$214,MATCH(CONCATENATE(РАСЧЕТ!B2993,"/",РАСЧЕТ!D2993,"/",РАСЧЕТ!E2993,"/",F2993,"/",H3001),'Ведомость расчета мин. платы'!$AE$10:$AE$214,0),2),"")</f>
        <v/>
      </c>
      <c r="J3001" s="248" t="str">
        <f ca="1">IFERROR(INDEX('Ведомость расчета мин. платы'!$J$10:$AE$214,MATCH(CONCATENATE(РАСЧЕТ!B2993,"/",РАСЧЕТ!D2993,"/",РАСЧЕТ!E2993,"/",F2993,"/",H3001),'Ведомость расчета мин. платы'!$AE$10:$AE$214,0),3),"")</f>
        <v/>
      </c>
      <c r="K3001" s="248" t="str">
        <f ca="1">IFERROR(INDEX('Ведомость расчета мин. платы'!$J$10:$AE$214,MATCH(CONCATENATE(РАСЧЕТ!B2993,"/",РАСЧЕТ!D2993,"/",РАСЧЕТ!E2993,"/",F2993,"/",H3001),'Ведомость расчета мин. платы'!$AE$10:$AE$214,0),4),"")</f>
        <v/>
      </c>
      <c r="L3001" s="248">
        <f t="shared" ca="1" si="1343"/>
        <v>0</v>
      </c>
      <c r="M3001" s="248" t="str">
        <f ca="1">IFERROR(INDEX('Ведомость расчета мин. платы'!$J$10:$AE$214,MATCH(CONCATENATE(РАСЧЕТ!B2993,"/",РАСЧЕТ!D2993,"/",РАСЧЕТ!E2993,"/",F2993,"/",H3001),'Ведомость расчета мин. платы'!$AE$10:$AE$214,0),6),"")</f>
        <v/>
      </c>
      <c r="N3001" s="214">
        <f t="shared" ca="1" si="1344"/>
        <v>0</v>
      </c>
      <c r="O3001" s="229">
        <f t="shared" si="1347"/>
        <v>1</v>
      </c>
      <c r="P3001" s="230">
        <f t="shared" si="1342"/>
        <v>0</v>
      </c>
      <c r="AP3001" s="242"/>
      <c r="AQ3001" s="253"/>
    </row>
    <row r="3002" spans="1:43" x14ac:dyDescent="0.2">
      <c r="B3002" s="249"/>
      <c r="C3002" s="249"/>
      <c r="D3002" s="249"/>
      <c r="E3002" s="249"/>
      <c r="F3002" s="249"/>
      <c r="G3002" s="249"/>
      <c r="H3002" s="250" t="s">
        <v>475</v>
      </c>
      <c r="I3002" s="251" t="str">
        <f ca="1">IFERROR(ROUND(I3001*I2991,2),"")</f>
        <v/>
      </c>
      <c r="J3002" s="251" t="str">
        <f t="shared" ref="J3002:K3002" ca="1" si="1356">IFERROR(ROUND(J3001*J2991,2),"")</f>
        <v/>
      </c>
      <c r="K3002" s="251" t="str">
        <f t="shared" ca="1" si="1356"/>
        <v/>
      </c>
      <c r="L3002" s="251">
        <f t="shared" ca="1" si="1343"/>
        <v>0</v>
      </c>
      <c r="M3002" s="251" t="str">
        <f t="shared" ref="M3002" ca="1" si="1357">IFERROR(ROUND(M3001*M2991,2),"")</f>
        <v/>
      </c>
      <c r="N3002" s="252">
        <f t="shared" ca="1" si="1344"/>
        <v>0</v>
      </c>
      <c r="O3002" s="229" t="str">
        <f t="shared" si="1347"/>
        <v/>
      </c>
      <c r="P3002" s="230">
        <f t="shared" si="1342"/>
        <v>0</v>
      </c>
      <c r="AP3002" s="242">
        <f ca="1">SUMIFS('Ведомость расчета мин. платы'!$S$10:$S$209,'Ведомость расчета мин. платы'!$AE$10:$AE$209,CONCATENATE(B2993,"/",D2993,"/",E2993,"/",F2993,"/",H3001))</f>
        <v>0</v>
      </c>
      <c r="AQ3002" s="253">
        <f t="shared" ref="AQ3002" ca="1" si="1358">AP3002-N3002</f>
        <v>0</v>
      </c>
    </row>
    <row r="3003" spans="1:43" x14ac:dyDescent="0.2">
      <c r="B3003" s="249"/>
      <c r="C3003" s="249"/>
      <c r="D3003" s="249"/>
      <c r="E3003" s="249"/>
      <c r="F3003" s="249"/>
      <c r="G3003" s="249"/>
      <c r="H3003" s="205" t="s">
        <v>18</v>
      </c>
      <c r="I3003" s="248">
        <f ca="1">IFERROR(INDEX('Ведомость расчета мин. платы'!$J$10:$AE$214,MATCH(CONCATENATE(РАСЧЕТ!B2993,"/",РАСЧЕТ!D2993,"/",РАСЧЕТ!E2993,"/",F2993,"/",H3003),'Ведомость расчета мин. платы'!$AE$10:$AE$214,0),2),"")</f>
        <v>32.67</v>
      </c>
      <c r="J3003" s="248">
        <f ca="1">IFERROR(INDEX('Ведомость расчета мин. платы'!$J$10:$AE$214,MATCH(CONCATENATE(РАСЧЕТ!B2993,"/",РАСЧЕТ!D2993,"/",РАСЧЕТ!E2993,"/",F2993,"/",H3003),'Ведомость расчета мин. платы'!$AE$10:$AE$214,0),3),"")</f>
        <v>36.69</v>
      </c>
      <c r="K3003" s="248">
        <f ca="1">IFERROR(INDEX('Ведомость расчета мин. платы'!$J$10:$AE$214,MATCH(CONCATENATE(РАСЧЕТ!B2993,"/",РАСЧЕТ!D2993,"/",РАСЧЕТ!E2993,"/",F2993,"/",H3003),'Ведомость расчета мин. платы'!$AE$10:$AE$214,0),4),"")</f>
        <v>2.37</v>
      </c>
      <c r="L3003" s="248">
        <f t="shared" ca="1" si="1343"/>
        <v>71.73</v>
      </c>
      <c r="M3003" s="248">
        <f ca="1">IFERROR(INDEX('Ведомость расчета мин. платы'!$J$10:$AE$214,MATCH(CONCATENATE(РАСЧЕТ!B2993,"/",РАСЧЕТ!D2993,"/",РАСЧЕТ!E2993,"/",F2993,"/",H3003),'Ведомость расчета мин. платы'!$AE$10:$AE$214,0),6),"")</f>
        <v>107.74</v>
      </c>
      <c r="N3003" s="214">
        <f t="shared" ca="1" si="1344"/>
        <v>179.47</v>
      </c>
      <c r="O3003" s="229">
        <f t="shared" si="1347"/>
        <v>1</v>
      </c>
      <c r="P3003" s="230">
        <f t="shared" si="1342"/>
        <v>0</v>
      </c>
      <c r="AP3003" s="242"/>
      <c r="AQ3003" s="253"/>
    </row>
    <row r="3004" spans="1:43" x14ac:dyDescent="0.2">
      <c r="B3004" s="249"/>
      <c r="C3004" s="249"/>
      <c r="D3004" s="249"/>
      <c r="E3004" s="249"/>
      <c r="F3004" s="249"/>
      <c r="G3004" s="249"/>
      <c r="H3004" s="250" t="s">
        <v>475</v>
      </c>
      <c r="I3004" s="251">
        <f ca="1">IFERROR(ROUND(I3003*I2992,2),"")</f>
        <v>745.86</v>
      </c>
      <c r="J3004" s="251">
        <f t="shared" ref="J3004:K3004" ca="1" si="1359">IFERROR(ROUND(J3003*J2992,2),"")</f>
        <v>638.77</v>
      </c>
      <c r="K3004" s="251">
        <f t="shared" ca="1" si="1359"/>
        <v>20.97</v>
      </c>
      <c r="L3004" s="251">
        <f t="shared" ca="1" si="1343"/>
        <v>1405.6000000000001</v>
      </c>
      <c r="M3004" s="251">
        <f t="shared" ref="M3004" ca="1" si="1360">IFERROR(ROUND(M3003*M2992,2),"")</f>
        <v>61.41</v>
      </c>
      <c r="N3004" s="252">
        <f t="shared" ca="1" si="1344"/>
        <v>1467.0100000000002</v>
      </c>
      <c r="O3004" s="229" t="str">
        <f t="shared" si="1347"/>
        <v/>
      </c>
      <c r="P3004" s="230">
        <f t="shared" si="1342"/>
        <v>0</v>
      </c>
      <c r="AP3004" s="242">
        <f ca="1">SUMIFS('Ведомость расчета мин. платы'!$S$10:$S$209,'Ведомость расчета мин. платы'!$AE$10:$AE$209,CONCATENATE(B2993,"/",D2993,"/",E2993,"/",F2993,"/",H3003))</f>
        <v>1467.01</v>
      </c>
      <c r="AQ3004" s="253">
        <f t="shared" ref="AQ3004" ca="1" si="1361">AP3004-N3004</f>
        <v>0</v>
      </c>
    </row>
    <row r="3005" spans="1:43" x14ac:dyDescent="0.2">
      <c r="B3005" s="249"/>
      <c r="C3005" s="249"/>
      <c r="D3005" s="249"/>
      <c r="E3005" s="249"/>
      <c r="F3005" s="249"/>
      <c r="G3005" s="249"/>
      <c r="H3005" s="254" t="s">
        <v>476</v>
      </c>
      <c r="I3005" s="251">
        <f ca="1">SUMIF($O2993:$O3006,1,I2993:I3004)</f>
        <v>32.67</v>
      </c>
      <c r="J3005" s="251">
        <f ca="1">SUMIF($O2993:$O3006,1,J2993:J3004)</f>
        <v>36.69</v>
      </c>
      <c r="K3005" s="251">
        <f ca="1">SUMIF($O2993:$O3006,1,K2993:K3004)</f>
        <v>2.37</v>
      </c>
      <c r="L3005" s="251">
        <f t="shared" ca="1" si="1343"/>
        <v>71.73</v>
      </c>
      <c r="M3005" s="251">
        <f ca="1">SUMIF($O2993:$O3006,1,M2993:M3004)</f>
        <v>107.74</v>
      </c>
      <c r="N3005" s="252">
        <f t="shared" ca="1" si="1344"/>
        <v>179.47</v>
      </c>
      <c r="AP3005" s="242"/>
      <c r="AQ3005" s="253"/>
    </row>
    <row r="3006" spans="1:43" x14ac:dyDescent="0.2">
      <c r="B3006" s="249"/>
      <c r="C3006" s="249"/>
      <c r="D3006" s="249"/>
      <c r="E3006" s="249"/>
      <c r="F3006" s="249"/>
      <c r="G3006" s="249"/>
      <c r="H3006" s="254" t="s">
        <v>491</v>
      </c>
      <c r="I3006" s="251">
        <f ca="1">SUMIF(H2993:H3004,"стоимость",I2993:I3004)</f>
        <v>745.86</v>
      </c>
      <c r="J3006" s="251">
        <f ca="1">SUMIF(H2993:H3004,"стоимость",J2993:J3004)</f>
        <v>638.77</v>
      </c>
      <c r="K3006" s="251">
        <f ca="1">SUMIF(H2993:H3004,"стоимость",K2993:K3004)</f>
        <v>20.97</v>
      </c>
      <c r="L3006" s="251">
        <f ca="1">IFERROR(SUM(I3006:K3006),"")</f>
        <v>1405.6000000000001</v>
      </c>
      <c r="M3006" s="251">
        <f ca="1">SUMIF(H2993:H3004,"стоимость",M2993:M3004)</f>
        <v>61.41</v>
      </c>
      <c r="N3006" s="252">
        <f ca="1">IFERROR(SUM(L3006:M3006),"")</f>
        <v>1467.0100000000002</v>
      </c>
      <c r="AP3006" s="242">
        <f ca="1">SUMIFS('Ведомость расчета мин. платы'!$S$10:$S$209,'Ведомость расчета мин. платы'!$J$10:$J$209,"Итого",'Ведомость расчета мин. платы'!$AC$10:$AC$209,CONCATENATE(B2993,"/",D2993,"/",E2993,"/",F2993))</f>
        <v>1467.01</v>
      </c>
      <c r="AQ3006" s="253">
        <f ca="1">AP3006-N3006</f>
        <v>0</v>
      </c>
    </row>
    <row r="3007" spans="1:43" x14ac:dyDescent="0.2">
      <c r="B3007" s="255"/>
      <c r="C3007" s="255"/>
      <c r="D3007" s="255"/>
      <c r="E3007" s="255"/>
      <c r="F3007" s="255"/>
      <c r="G3007" s="256"/>
      <c r="H3007" s="257"/>
      <c r="I3007" s="258"/>
      <c r="J3007" s="258"/>
      <c r="K3007" s="258"/>
      <c r="L3007" s="258"/>
      <c r="M3007" s="258"/>
      <c r="N3007" s="258"/>
      <c r="P3007" s="230">
        <f t="shared" ref="P3007:P3025" si="1362">IF(A3007&gt;0,1,0)</f>
        <v>0</v>
      </c>
    </row>
    <row r="3008" spans="1:43" x14ac:dyDescent="0.2">
      <c r="B3008" s="282" t="s">
        <v>477</v>
      </c>
      <c r="C3008" s="282"/>
      <c r="D3008" s="282"/>
      <c r="E3008" s="282"/>
      <c r="F3008" s="259"/>
      <c r="G3008" s="225"/>
      <c r="H3008" s="201"/>
      <c r="I3008" s="226"/>
      <c r="J3008" s="258"/>
      <c r="K3008" s="258"/>
      <c r="L3008" s="258"/>
      <c r="M3008" s="258"/>
      <c r="N3008" s="258"/>
      <c r="P3008" s="230">
        <f t="shared" si="1362"/>
        <v>0</v>
      </c>
    </row>
    <row r="3009" spans="2:16" x14ac:dyDescent="0.2">
      <c r="B3009" s="283" t="s">
        <v>525</v>
      </c>
      <c r="C3009" s="283"/>
      <c r="D3009" s="283"/>
      <c r="E3009" s="283"/>
      <c r="F3009" s="283"/>
      <c r="G3009" s="283"/>
      <c r="H3009" s="283"/>
      <c r="I3009" s="283"/>
      <c r="J3009" s="261"/>
      <c r="K3009" s="261"/>
      <c r="L3009" s="261"/>
      <c r="M3009" s="261"/>
      <c r="N3009" s="261"/>
      <c r="P3009" s="230">
        <f t="shared" si="1362"/>
        <v>0</v>
      </c>
    </row>
    <row r="3010" spans="2:16" x14ac:dyDescent="0.2">
      <c r="B3010" s="284" t="s">
        <v>478</v>
      </c>
      <c r="C3010" s="284"/>
      <c r="D3010" s="284"/>
      <c r="E3010" s="284"/>
      <c r="F3010" s="284"/>
      <c r="G3010" s="284"/>
      <c r="H3010" s="284"/>
      <c r="I3010" s="284"/>
      <c r="J3010" s="258"/>
      <c r="K3010" s="258"/>
      <c r="L3010" s="258"/>
      <c r="M3010" s="258"/>
      <c r="N3010" s="258"/>
      <c r="P3010" s="230">
        <f t="shared" si="1362"/>
        <v>0</v>
      </c>
    </row>
    <row r="3011" spans="2:16" x14ac:dyDescent="0.2">
      <c r="B3011" s="284" t="s">
        <v>479</v>
      </c>
      <c r="C3011" s="284"/>
      <c r="D3011" s="284"/>
      <c r="E3011" s="284"/>
      <c r="F3011" s="284"/>
      <c r="G3011" s="284"/>
      <c r="H3011" s="284"/>
      <c r="I3011" s="284"/>
      <c r="J3011" s="258"/>
      <c r="K3011" s="258"/>
      <c r="L3011" s="258"/>
      <c r="M3011" s="258"/>
      <c r="N3011" s="258"/>
      <c r="P3011" s="230">
        <f t="shared" si="1362"/>
        <v>0</v>
      </c>
    </row>
    <row r="3012" spans="2:16" x14ac:dyDescent="0.2">
      <c r="B3012" s="284" t="s">
        <v>480</v>
      </c>
      <c r="C3012" s="284"/>
      <c r="D3012" s="284"/>
      <c r="E3012" s="284"/>
      <c r="F3012" s="284"/>
      <c r="G3012" s="284"/>
      <c r="H3012" s="284"/>
      <c r="I3012" s="284"/>
      <c r="J3012" s="258"/>
      <c r="K3012" s="258"/>
      <c r="L3012" s="258"/>
      <c r="M3012" s="258"/>
      <c r="N3012" s="258"/>
      <c r="P3012" s="230">
        <f t="shared" si="1362"/>
        <v>0</v>
      </c>
    </row>
    <row r="3013" spans="2:16" x14ac:dyDescent="0.2">
      <c r="B3013" s="284" t="s">
        <v>481</v>
      </c>
      <c r="C3013" s="284"/>
      <c r="D3013" s="284"/>
      <c r="E3013" s="284"/>
      <c r="F3013" s="284"/>
      <c r="G3013" s="284"/>
      <c r="H3013" s="284"/>
      <c r="I3013" s="284"/>
      <c r="J3013" s="226"/>
      <c r="K3013" s="226"/>
      <c r="L3013" s="226"/>
      <c r="M3013" s="226"/>
      <c r="N3013" s="226"/>
      <c r="P3013" s="230">
        <f t="shared" si="1362"/>
        <v>0</v>
      </c>
    </row>
    <row r="3014" spans="2:16" x14ac:dyDescent="0.2">
      <c r="B3014" s="284" t="s">
        <v>482</v>
      </c>
      <c r="C3014" s="284"/>
      <c r="D3014" s="284"/>
      <c r="E3014" s="284"/>
      <c r="F3014" s="284"/>
      <c r="G3014" s="284"/>
      <c r="H3014" s="284"/>
      <c r="I3014" s="284"/>
      <c r="J3014" s="226"/>
      <c r="K3014" s="226"/>
      <c r="L3014" s="226"/>
      <c r="M3014" s="226"/>
      <c r="N3014" s="226"/>
      <c r="P3014" s="230">
        <f t="shared" si="1362"/>
        <v>0</v>
      </c>
    </row>
    <row r="3015" spans="2:16" x14ac:dyDescent="0.2">
      <c r="B3015" s="284" t="s">
        <v>483</v>
      </c>
      <c r="C3015" s="284"/>
      <c r="D3015" s="284"/>
      <c r="E3015" s="284"/>
      <c r="F3015" s="284"/>
      <c r="G3015" s="284"/>
      <c r="H3015" s="284"/>
      <c r="I3015" s="284"/>
      <c r="J3015" s="226"/>
      <c r="K3015" s="226"/>
      <c r="L3015" s="226"/>
      <c r="M3015" s="226"/>
      <c r="N3015" s="226"/>
      <c r="P3015" s="230">
        <f t="shared" si="1362"/>
        <v>0</v>
      </c>
    </row>
    <row r="3016" spans="2:16" x14ac:dyDescent="0.2">
      <c r="B3016" s="284" t="s">
        <v>484</v>
      </c>
      <c r="C3016" s="284"/>
      <c r="D3016" s="284"/>
      <c r="E3016" s="284"/>
      <c r="F3016" s="284"/>
      <c r="G3016" s="284"/>
      <c r="H3016" s="284"/>
      <c r="I3016" s="284"/>
      <c r="J3016" s="226"/>
      <c r="K3016" s="226"/>
      <c r="L3016" s="226"/>
      <c r="M3016" s="226"/>
      <c r="N3016" s="226"/>
      <c r="P3016" s="230">
        <f t="shared" si="1362"/>
        <v>0</v>
      </c>
    </row>
    <row r="3017" spans="2:16" x14ac:dyDescent="0.2">
      <c r="B3017" s="264"/>
      <c r="C3017" s="264"/>
      <c r="D3017" s="264"/>
      <c r="E3017" s="264"/>
      <c r="F3017" s="264"/>
      <c r="G3017" s="264"/>
      <c r="H3017" s="264"/>
      <c r="I3017" s="265"/>
      <c r="J3017" s="226"/>
      <c r="K3017" s="226"/>
      <c r="L3017" s="226"/>
      <c r="M3017" s="226"/>
      <c r="N3017" s="226"/>
      <c r="P3017" s="230">
        <f t="shared" si="1362"/>
        <v>0</v>
      </c>
    </row>
    <row r="3018" spans="2:16" x14ac:dyDescent="0.2">
      <c r="B3018" s="225" t="s">
        <v>485</v>
      </c>
      <c r="C3018" s="225"/>
      <c r="D3018" s="225"/>
      <c r="E3018" s="225"/>
      <c r="F3018" s="225"/>
      <c r="G3018" s="225"/>
      <c r="H3018" s="201"/>
      <c r="I3018" s="226"/>
      <c r="J3018" s="226" t="s">
        <v>486</v>
      </c>
      <c r="K3018" s="226"/>
      <c r="L3018" s="226"/>
      <c r="M3018" s="226"/>
      <c r="N3018" s="226"/>
      <c r="P3018" s="230">
        <f t="shared" si="1362"/>
        <v>0</v>
      </c>
    </row>
    <row r="3019" spans="2:16" x14ac:dyDescent="0.2">
      <c r="B3019" s="266" t="s">
        <v>524</v>
      </c>
      <c r="C3019" s="266"/>
      <c r="D3019" s="225"/>
      <c r="E3019" s="225"/>
      <c r="F3019" s="225"/>
      <c r="G3019" s="225"/>
      <c r="H3019" s="201"/>
      <c r="I3019" s="226"/>
      <c r="J3019" s="267"/>
      <c r="K3019" s="267"/>
      <c r="L3019" s="267"/>
      <c r="M3019" s="226"/>
      <c r="N3019" s="226"/>
      <c r="P3019" s="230">
        <f t="shared" si="1362"/>
        <v>0</v>
      </c>
    </row>
    <row r="3020" spans="2:16" x14ac:dyDescent="0.2">
      <c r="B3020" s="268" t="s">
        <v>487</v>
      </c>
      <c r="C3020" s="225"/>
      <c r="D3020" s="225"/>
      <c r="E3020" s="225"/>
      <c r="F3020" s="225"/>
      <c r="G3020" s="225"/>
      <c r="H3020" s="201"/>
      <c r="I3020" s="226"/>
      <c r="J3020" s="226" t="s">
        <v>487</v>
      </c>
      <c r="K3020" s="226"/>
      <c r="L3020" s="226"/>
      <c r="M3020" s="226"/>
      <c r="N3020" s="226"/>
      <c r="P3020" s="230">
        <f t="shared" si="1362"/>
        <v>0</v>
      </c>
    </row>
    <row r="3021" spans="2:16" x14ac:dyDescent="0.2">
      <c r="B3021" s="225"/>
      <c r="C3021" s="225"/>
      <c r="D3021" s="225"/>
      <c r="E3021" s="225"/>
      <c r="F3021" s="225"/>
      <c r="G3021" s="225"/>
      <c r="H3021" s="201"/>
      <c r="I3021" s="226"/>
      <c r="J3021" s="226"/>
      <c r="K3021" s="226"/>
      <c r="L3021" s="226"/>
      <c r="M3021" s="226"/>
      <c r="N3021" s="226"/>
      <c r="P3021" s="230">
        <f t="shared" si="1362"/>
        <v>0</v>
      </c>
    </row>
    <row r="3022" spans="2:16" x14ac:dyDescent="0.2">
      <c r="B3022" s="266"/>
      <c r="C3022" s="266"/>
      <c r="D3022" s="225"/>
      <c r="E3022" s="225"/>
      <c r="F3022" s="225"/>
      <c r="G3022" s="225"/>
      <c r="H3022" s="201"/>
      <c r="I3022" s="226"/>
      <c r="J3022" s="267"/>
      <c r="K3022" s="267"/>
      <c r="L3022" s="267"/>
      <c r="M3022" s="226"/>
      <c r="N3022" s="226"/>
      <c r="P3022" s="230">
        <f t="shared" si="1362"/>
        <v>0</v>
      </c>
    </row>
    <row r="3023" spans="2:16" x14ac:dyDescent="0.2">
      <c r="B3023" s="269" t="s">
        <v>488</v>
      </c>
      <c r="C3023" s="225"/>
      <c r="D3023" s="225"/>
      <c r="E3023" s="225"/>
      <c r="F3023" s="225"/>
      <c r="G3023" s="225"/>
      <c r="H3023" s="201"/>
      <c r="I3023" s="226"/>
      <c r="J3023" s="285" t="s">
        <v>488</v>
      </c>
      <c r="K3023" s="285"/>
      <c r="L3023" s="285"/>
      <c r="M3023" s="226"/>
      <c r="N3023" s="226"/>
      <c r="P3023" s="230">
        <f t="shared" si="1362"/>
        <v>0</v>
      </c>
    </row>
    <row r="3024" spans="2:16" x14ac:dyDescent="0.2">
      <c r="B3024" s="225"/>
      <c r="C3024" s="225"/>
      <c r="D3024" s="225"/>
      <c r="E3024" s="225"/>
      <c r="F3024" s="225"/>
      <c r="G3024" s="225"/>
      <c r="H3024" s="201"/>
      <c r="I3024" s="226"/>
      <c r="J3024" s="226"/>
      <c r="K3024" s="226"/>
      <c r="L3024" s="226"/>
      <c r="M3024" s="226"/>
      <c r="N3024" s="226"/>
      <c r="P3024" s="230">
        <f t="shared" si="1362"/>
        <v>0</v>
      </c>
    </row>
    <row r="3025" spans="1:16" x14ac:dyDescent="0.2">
      <c r="B3025" s="264" t="s">
        <v>489</v>
      </c>
      <c r="C3025" s="225"/>
      <c r="D3025" s="225"/>
      <c r="E3025" s="225"/>
      <c r="F3025" s="225"/>
      <c r="G3025" s="225"/>
      <c r="H3025" s="201"/>
      <c r="I3025" s="226"/>
      <c r="J3025" s="226" t="s">
        <v>489</v>
      </c>
      <c r="K3025" s="226"/>
      <c r="L3025" s="226"/>
      <c r="M3025" s="226"/>
      <c r="N3025" s="226"/>
      <c r="P3025" s="230">
        <f t="shared" si="1362"/>
        <v>0</v>
      </c>
    </row>
    <row r="3026" spans="1:16" x14ac:dyDescent="0.2">
      <c r="A3026" s="272"/>
      <c r="B3026" s="225"/>
      <c r="C3026" s="225"/>
      <c r="D3026" s="225"/>
      <c r="E3026" s="225"/>
      <c r="F3026" s="225"/>
      <c r="G3026" s="225"/>
      <c r="H3026" s="201"/>
      <c r="I3026" s="226"/>
      <c r="J3026" s="226"/>
      <c r="K3026" s="226"/>
      <c r="M3026" s="226"/>
      <c r="N3026" s="228"/>
    </row>
    <row r="3027" spans="1:16" x14ac:dyDescent="0.2">
      <c r="A3027" s="260"/>
      <c r="B3027" s="225"/>
      <c r="C3027" s="225"/>
      <c r="D3027" s="225"/>
      <c r="E3027" s="225"/>
      <c r="F3027" s="225"/>
      <c r="G3027" s="225"/>
      <c r="H3027" s="201"/>
      <c r="I3027" s="226"/>
      <c r="J3027" s="226"/>
      <c r="K3027" s="226"/>
      <c r="M3027" s="226"/>
      <c r="N3027" s="228" t="s">
        <v>455</v>
      </c>
      <c r="P3027" s="230">
        <f t="shared" ref="P3027:P3044" si="1363">IF(A3027&gt;0,1,0)</f>
        <v>0</v>
      </c>
    </row>
    <row r="3028" spans="1:16" x14ac:dyDescent="0.2">
      <c r="B3028" s="225"/>
      <c r="C3028" s="225"/>
      <c r="D3028" s="225"/>
      <c r="E3028" s="225"/>
      <c r="F3028" s="225"/>
      <c r="G3028" s="225"/>
      <c r="H3028" s="201"/>
      <c r="I3028" s="226"/>
      <c r="J3028" s="226"/>
      <c r="K3028" s="226"/>
      <c r="M3028" s="226"/>
      <c r="N3028" s="228" t="s">
        <v>456</v>
      </c>
      <c r="P3028" s="230">
        <f t="shared" si="1363"/>
        <v>0</v>
      </c>
    </row>
    <row r="3029" spans="1:16" x14ac:dyDescent="0.2">
      <c r="B3029" s="225"/>
      <c r="C3029" s="225"/>
      <c r="D3029" s="225"/>
      <c r="E3029" s="225"/>
      <c r="F3029" s="225"/>
      <c r="G3029" s="225"/>
      <c r="H3029" s="201"/>
      <c r="I3029" s="226"/>
      <c r="J3029" s="226"/>
      <c r="K3029" s="226"/>
      <c r="M3029" s="226"/>
      <c r="N3029" s="228" t="s">
        <v>457</v>
      </c>
      <c r="P3029" s="230">
        <f t="shared" si="1363"/>
        <v>0</v>
      </c>
    </row>
    <row r="3030" spans="1:16" x14ac:dyDescent="0.2">
      <c r="B3030" s="225"/>
      <c r="C3030" s="225"/>
      <c r="D3030" s="225"/>
      <c r="E3030" s="225"/>
      <c r="F3030" s="225"/>
      <c r="G3030" s="225"/>
      <c r="H3030" s="201"/>
      <c r="I3030" s="226"/>
      <c r="J3030" s="226"/>
      <c r="K3030" s="226"/>
      <c r="L3030" s="226"/>
      <c r="M3030" s="226"/>
      <c r="N3030" s="226"/>
      <c r="P3030" s="230">
        <f t="shared" si="1363"/>
        <v>0</v>
      </c>
    </row>
    <row r="3031" spans="1:16" x14ac:dyDescent="0.2">
      <c r="B3031" s="225"/>
      <c r="C3031" s="286" t="s">
        <v>458</v>
      </c>
      <c r="D3031" s="286"/>
      <c r="E3031" s="286"/>
      <c r="F3031" s="286"/>
      <c r="G3031" s="286"/>
      <c r="H3031" s="286"/>
      <c r="I3031" s="286"/>
      <c r="J3031" s="286"/>
      <c r="K3031" s="286"/>
      <c r="L3031" s="286"/>
      <c r="M3031" s="226"/>
      <c r="N3031" s="226"/>
      <c r="P3031" s="230">
        <f t="shared" si="1363"/>
        <v>0</v>
      </c>
    </row>
    <row r="3032" spans="1:16" x14ac:dyDescent="0.2">
      <c r="B3032" s="225"/>
      <c r="C3032" s="286" t="s">
        <v>459</v>
      </c>
      <c r="D3032" s="286"/>
      <c r="E3032" s="286"/>
      <c r="F3032" s="286"/>
      <c r="G3032" s="286"/>
      <c r="H3032" s="286"/>
      <c r="I3032" s="286"/>
      <c r="J3032" s="286"/>
      <c r="K3032" s="286"/>
      <c r="L3032" s="286"/>
      <c r="M3032" s="226"/>
      <c r="N3032" s="226"/>
      <c r="P3032" s="230">
        <f t="shared" si="1363"/>
        <v>0</v>
      </c>
    </row>
    <row r="3033" spans="1:16" x14ac:dyDescent="0.2">
      <c r="B3033" s="225" t="s">
        <v>460</v>
      </c>
      <c r="C3033" s="234"/>
      <c r="D3033" s="234"/>
      <c r="E3033" s="234"/>
      <c r="F3033" s="234"/>
      <c r="G3033" s="234"/>
      <c r="H3033" s="234"/>
      <c r="I3033" s="235"/>
      <c r="J3033" s="235"/>
      <c r="K3033" s="235"/>
      <c r="L3033" s="287" t="s">
        <v>461</v>
      </c>
      <c r="M3033" s="287"/>
      <c r="N3033" s="287"/>
      <c r="P3033" s="230">
        <f t="shared" si="1363"/>
        <v>0</v>
      </c>
    </row>
    <row r="3034" spans="1:16" x14ac:dyDescent="0.2">
      <c r="B3034" s="225"/>
      <c r="C3034" s="234"/>
      <c r="D3034" s="234"/>
      <c r="E3034" s="234"/>
      <c r="F3034" s="234"/>
      <c r="G3034" s="234"/>
      <c r="H3034" s="234"/>
      <c r="I3034" s="235"/>
      <c r="J3034" s="235"/>
      <c r="K3034" s="235"/>
      <c r="L3034" s="235"/>
      <c r="M3034" s="235"/>
      <c r="N3034" s="235"/>
      <c r="P3034" s="230">
        <f t="shared" si="1363"/>
        <v>0</v>
      </c>
    </row>
    <row r="3035" spans="1:16" x14ac:dyDescent="0.2">
      <c r="B3035" s="225" t="s">
        <v>2038</v>
      </c>
      <c r="C3035" s="234"/>
      <c r="D3035" s="234"/>
      <c r="E3035" s="234"/>
      <c r="F3035" s="234"/>
      <c r="G3035" s="234"/>
      <c r="H3035" s="234"/>
      <c r="I3035" s="235"/>
      <c r="J3035" s="235"/>
      <c r="K3035" s="235"/>
      <c r="L3035" s="235"/>
      <c r="M3035" s="235"/>
      <c r="N3035" s="235"/>
      <c r="P3035" s="230">
        <f t="shared" si="1363"/>
        <v>0</v>
      </c>
    </row>
    <row r="3036" spans="1:16" x14ac:dyDescent="0.2">
      <c r="B3036" s="225" t="s">
        <v>462</v>
      </c>
      <c r="C3036" s="234"/>
      <c r="D3036" s="234"/>
      <c r="E3036" s="234"/>
      <c r="F3036" s="234"/>
      <c r="G3036" s="234"/>
      <c r="H3036" s="234"/>
      <c r="I3036" s="235"/>
      <c r="J3036" s="235"/>
      <c r="K3036" s="235"/>
      <c r="L3036" s="235"/>
      <c r="M3036" s="235"/>
      <c r="N3036" s="235"/>
      <c r="P3036" s="230">
        <f t="shared" si="1363"/>
        <v>0</v>
      </c>
    </row>
    <row r="3037" spans="1:16" x14ac:dyDescent="0.2">
      <c r="B3037" s="225" t="s">
        <v>2037</v>
      </c>
      <c r="C3037" s="234"/>
      <c r="D3037" s="234"/>
      <c r="E3037" s="234"/>
      <c r="F3037" s="234"/>
      <c r="G3037" s="234"/>
      <c r="H3037" s="234"/>
      <c r="I3037" s="235"/>
      <c r="J3037" s="235"/>
      <c r="K3037" s="235"/>
      <c r="L3037" s="235"/>
      <c r="M3037" s="235"/>
      <c r="N3037" s="235"/>
      <c r="P3037" s="230">
        <f t="shared" si="1363"/>
        <v>0</v>
      </c>
    </row>
    <row r="3038" spans="1:16" x14ac:dyDescent="0.2">
      <c r="B3038" s="225" t="s">
        <v>2052</v>
      </c>
      <c r="C3038" s="234"/>
      <c r="D3038" s="234"/>
      <c r="E3038" s="234"/>
      <c r="F3038" s="234"/>
      <c r="G3038" s="234"/>
      <c r="H3038" s="234"/>
      <c r="I3038" s="235"/>
      <c r="J3038" s="235"/>
      <c r="K3038" s="235"/>
      <c r="L3038" s="235"/>
      <c r="M3038" s="235"/>
      <c r="N3038" s="235"/>
      <c r="P3038" s="230">
        <f t="shared" si="1363"/>
        <v>0</v>
      </c>
    </row>
    <row r="3039" spans="1:16" x14ac:dyDescent="0.2">
      <c r="B3039" s="225"/>
      <c r="C3039" s="225"/>
      <c r="D3039" s="225"/>
      <c r="E3039" s="225"/>
      <c r="F3039" s="225"/>
      <c r="G3039" s="225"/>
      <c r="H3039" s="201"/>
      <c r="I3039" s="226"/>
      <c r="J3039" s="226"/>
      <c r="K3039" s="226"/>
      <c r="L3039" s="226"/>
      <c r="M3039" s="226"/>
      <c r="N3039" s="226"/>
      <c r="P3039" s="230">
        <f t="shared" si="1363"/>
        <v>0</v>
      </c>
    </row>
    <row r="3040" spans="1:16" x14ac:dyDescent="0.2">
      <c r="B3040" s="288" t="s">
        <v>106</v>
      </c>
      <c r="C3040" s="290" t="s">
        <v>463</v>
      </c>
      <c r="D3040" s="288" t="s">
        <v>464</v>
      </c>
      <c r="E3040" s="288" t="s">
        <v>465</v>
      </c>
      <c r="F3040" s="288" t="s">
        <v>490</v>
      </c>
      <c r="G3040" s="288" t="s">
        <v>466</v>
      </c>
      <c r="H3040" s="292" t="s">
        <v>8</v>
      </c>
      <c r="I3040" s="294" t="s">
        <v>467</v>
      </c>
      <c r="J3040" s="295"/>
      <c r="K3040" s="295"/>
      <c r="L3040" s="296"/>
      <c r="M3040" s="297" t="s">
        <v>468</v>
      </c>
      <c r="N3040" s="299" t="s">
        <v>469</v>
      </c>
      <c r="P3040" s="230">
        <f t="shared" si="1363"/>
        <v>0</v>
      </c>
    </row>
    <row r="3041" spans="1:43" x14ac:dyDescent="0.2">
      <c r="B3041" s="289"/>
      <c r="C3041" s="291"/>
      <c r="D3041" s="289"/>
      <c r="E3041" s="289"/>
      <c r="F3041" s="289"/>
      <c r="G3041" s="289"/>
      <c r="H3041" s="293"/>
      <c r="I3041" s="236" t="s">
        <v>470</v>
      </c>
      <c r="J3041" s="236" t="s">
        <v>471</v>
      </c>
      <c r="K3041" s="236" t="s">
        <v>472</v>
      </c>
      <c r="L3041" s="236" t="s">
        <v>473</v>
      </c>
      <c r="M3041" s="298"/>
      <c r="N3041" s="300"/>
      <c r="P3041" s="230">
        <f t="shared" si="1363"/>
        <v>0</v>
      </c>
    </row>
    <row r="3042" spans="1:43" x14ac:dyDescent="0.2">
      <c r="A3042" s="224" t="str">
        <f>CONCATENATE("Лот"," ",A3043)</f>
        <v>Лот 56</v>
      </c>
      <c r="B3042" s="273" t="s">
        <v>2087</v>
      </c>
      <c r="C3042" s="274"/>
      <c r="D3042" s="274"/>
      <c r="E3042" s="274"/>
      <c r="F3042" s="274"/>
      <c r="G3042" s="275"/>
      <c r="H3042" s="238" t="s">
        <v>17</v>
      </c>
      <c r="I3042" s="270">
        <f ca="1">ROUND(VLOOKUP($H3042,$AJ$4:$AN$13,2,0)*$Q3044*1.51,2)</f>
        <v>114.43</v>
      </c>
      <c r="J3042" s="270">
        <f ca="1">ROUND(VLOOKUP($H3042,$AJ$4:$AN$13,3,0)*$Q3044*1.51,2)</f>
        <v>81.540000000000006</v>
      </c>
      <c r="K3042" s="270">
        <f ca="1">ROUND(VLOOKUP($H3042,$AJ$4:$AN$13,4,0)*$Q3044*1.51,2)</f>
        <v>41.31</v>
      </c>
      <c r="L3042" s="270"/>
      <c r="M3042" s="270">
        <f ca="1">ROUND(VLOOKUP($H3042,$AJ$4:$AN$13,5,0)*$Q3044*1.51,2)</f>
        <v>6.52</v>
      </c>
      <c r="N3042" s="270"/>
      <c r="P3042" s="230">
        <f t="shared" si="1363"/>
        <v>1</v>
      </c>
    </row>
    <row r="3043" spans="1:43" x14ac:dyDescent="0.2">
      <c r="A3043" s="224">
        <f>A2988+1</f>
        <v>56</v>
      </c>
      <c r="B3043" s="276"/>
      <c r="C3043" s="277"/>
      <c r="D3043" s="277"/>
      <c r="E3043" s="277"/>
      <c r="F3043" s="277"/>
      <c r="G3043" s="278"/>
      <c r="H3043" s="238" t="s">
        <v>25</v>
      </c>
      <c r="I3043" s="270">
        <f ca="1">ROUND(VLOOKUP($H3043,$AJ$4:$AN$13,2,0)*$Q3044*1.51,2)</f>
        <v>855.9</v>
      </c>
      <c r="J3043" s="270">
        <f ca="1">ROUND(VLOOKUP($H3043,$AJ$4:$AN$13,3,0)*$Q3044*1.51,2)</f>
        <v>611.54999999999995</v>
      </c>
      <c r="K3043" s="270">
        <f ca="1">ROUND(VLOOKUP($H3043,$AJ$4:$AN$13,4,0)*$Q3044*1.51,2)</f>
        <v>307.68</v>
      </c>
      <c r="L3043" s="270"/>
      <c r="M3043" s="270">
        <f ca="1">ROUND(VLOOKUP($H3043,$AJ$4:$AN$13,5,0)*$Q3044*1.51,2)</f>
        <v>26.64</v>
      </c>
      <c r="N3043" s="270"/>
      <c r="P3043" s="230">
        <f t="shared" si="1363"/>
        <v>1</v>
      </c>
      <c r="Q3043" s="240" t="s">
        <v>2045</v>
      </c>
      <c r="R3043" s="240" t="s">
        <v>2046</v>
      </c>
    </row>
    <row r="3044" spans="1:43" x14ac:dyDescent="0.2">
      <c r="B3044" s="276"/>
      <c r="C3044" s="277"/>
      <c r="D3044" s="277"/>
      <c r="E3044" s="277"/>
      <c r="F3044" s="277"/>
      <c r="G3044" s="278"/>
      <c r="H3044" s="238" t="s">
        <v>19</v>
      </c>
      <c r="I3044" s="270">
        <f ca="1">ROUND(VLOOKUP($H3044,$AJ$4:$AN$13,2,0)*$Q3044*1.51,2)</f>
        <v>67.95</v>
      </c>
      <c r="J3044" s="270">
        <f ca="1">ROUND(VLOOKUP($H3044,$AJ$4:$AN$13,3,0)*$Q3044*1.51,2)</f>
        <v>49.47</v>
      </c>
      <c r="K3044" s="270">
        <f ca="1">ROUND(VLOOKUP($H3044,$AJ$4:$AN$13,4,0)*$Q3044*1.51,2)</f>
        <v>25.28</v>
      </c>
      <c r="L3044" s="270"/>
      <c r="M3044" s="270">
        <f ca="1">ROUND(VLOOKUP($H3044,$AJ$4:$AN$13,5,0)*$Q3044*1.51,2)</f>
        <v>1.36</v>
      </c>
      <c r="N3044" s="270"/>
      <c r="P3044" s="230">
        <f t="shared" si="1363"/>
        <v>0</v>
      </c>
      <c r="Q3044" s="123">
        <f ca="1">IFERROR(IF(R3044="","",IF(OR(R3044&lt;100,R3044=100),0.9,IF(OR(AND(R3044&gt;100,R3044&lt;150),R3044=150),1,IF(R3044&gt;150,1.05,"")))),"0")</f>
        <v>1</v>
      </c>
      <c r="R3044" s="123">
        <f ca="1">N3060/G3048</f>
        <v>113.25000000000001</v>
      </c>
    </row>
    <row r="3045" spans="1:43" x14ac:dyDescent="0.2">
      <c r="B3045" s="276"/>
      <c r="C3045" s="277"/>
      <c r="D3045" s="277"/>
      <c r="E3045" s="277"/>
      <c r="F3045" s="277"/>
      <c r="G3045" s="278"/>
      <c r="H3045" s="238" t="s">
        <v>268</v>
      </c>
      <c r="I3045" s="270">
        <f ca="1">ROUND(VLOOKUP($H3045,$AJ$4:$AN$13,2,0)*$Q3044*1.51,2)</f>
        <v>855.9</v>
      </c>
      <c r="J3045" s="270">
        <f ca="1">ROUND(VLOOKUP($H3045,$AJ$4:$AN$13,3,0)*$Q3044*1.51,2)</f>
        <v>611.54999999999995</v>
      </c>
      <c r="K3045" s="270">
        <f ca="1">ROUND(VLOOKUP($H3045,$AJ$4:$AN$13,4,0)*$Q3044*1.51,2)</f>
        <v>307.68</v>
      </c>
      <c r="L3045" s="270"/>
      <c r="M3045" s="270">
        <f ca="1">ROUND(VLOOKUP($H3045,$AJ$4:$AN$13,5,0)*$Q3044*1.51,2)</f>
        <v>26.64</v>
      </c>
      <c r="N3045" s="270"/>
    </row>
    <row r="3046" spans="1:43" x14ac:dyDescent="0.2">
      <c r="B3046" s="276"/>
      <c r="C3046" s="277"/>
      <c r="D3046" s="277"/>
      <c r="E3046" s="277"/>
      <c r="F3046" s="277"/>
      <c r="G3046" s="278"/>
      <c r="H3046" s="238" t="s">
        <v>40</v>
      </c>
      <c r="I3046" s="270">
        <f ca="1">ROUND(VLOOKUP($H3046,$AJ$4:$AN$13,2,0)*$Q3044*1.51,2)</f>
        <v>67.95</v>
      </c>
      <c r="J3046" s="270">
        <f ca="1">ROUND(VLOOKUP($H3046,$AJ$4:$AN$13,3,0)*$Q3044*1.51,2)</f>
        <v>49.47</v>
      </c>
      <c r="K3046" s="270">
        <f ca="1">ROUND(VLOOKUP($H3046,$AJ$4:$AN$13,4,0)*$Q3044*1.51,2)</f>
        <v>25.28</v>
      </c>
      <c r="L3046" s="270"/>
      <c r="M3046" s="270">
        <f ca="1">ROUND(VLOOKUP($H3046,$AJ$4:$AN$13,5,0)*$Q3044*1.51,2)</f>
        <v>1.36</v>
      </c>
      <c r="N3046" s="270"/>
      <c r="P3046" s="230">
        <f t="shared" ref="P3046:P3059" si="1364">IF(A3046&gt;0,1,0)</f>
        <v>0</v>
      </c>
    </row>
    <row r="3047" spans="1:43" x14ac:dyDescent="0.2">
      <c r="B3047" s="279"/>
      <c r="C3047" s="280"/>
      <c r="D3047" s="280"/>
      <c r="E3047" s="280"/>
      <c r="F3047" s="280"/>
      <c r="G3047" s="281"/>
      <c r="H3047" s="238" t="s">
        <v>18</v>
      </c>
      <c r="I3047" s="270">
        <f ca="1">ROUND(VLOOKUP($H3047,$AJ$4:$AN$13,2,0)*$Q3044*1.51,2)</f>
        <v>21.74</v>
      </c>
      <c r="J3047" s="270">
        <f ca="1">ROUND(VLOOKUP($H3047,$AJ$4:$AN$13,3,0)*$Q3044*1.51,2)</f>
        <v>16.579999999999998</v>
      </c>
      <c r="K3047" s="270">
        <f ca="1">ROUND(VLOOKUP($H3047,$AJ$4:$AN$13,4,0)*$Q3044*1.51,2)</f>
        <v>8.43</v>
      </c>
      <c r="L3047" s="270"/>
      <c r="M3047" s="270">
        <f ca="1">ROUND(VLOOKUP($H3047,$AJ$4:$AN$13,5,0)*$Q3044*1.51*1,2)</f>
        <v>0.54</v>
      </c>
      <c r="N3047" s="270"/>
      <c r="P3047" s="230">
        <f t="shared" si="1364"/>
        <v>0</v>
      </c>
      <c r="AP3047" s="241" t="s">
        <v>2053</v>
      </c>
      <c r="AQ3047" s="242"/>
    </row>
    <row r="3048" spans="1:43" x14ac:dyDescent="0.2">
      <c r="A3048" s="224">
        <f>A2993+37</f>
        <v>2035</v>
      </c>
      <c r="B3048" s="243" t="str">
        <f ca="1">OFFSET(ЛОТЫ!$L$5,A3048,0,1,1)</f>
        <v>Чулпановское</v>
      </c>
      <c r="C3048" s="244" t="s">
        <v>474</v>
      </c>
      <c r="D3048" s="243">
        <f ca="1">OFFSET(ЛОТЫ!$M$5,A3048,0,1,1)</f>
        <v>67</v>
      </c>
      <c r="E3048" s="243">
        <f ca="1">OFFSET(ЛОТЫ!$N$5,A3048,0,1,1)</f>
        <v>34</v>
      </c>
      <c r="F3048" s="243">
        <f ca="1">OFFSET(ЛОТЫ!$O$5,A3048,0,1,1)</f>
        <v>2</v>
      </c>
      <c r="G3048" s="271">
        <f ca="1">IFERROR(INDEX('Ведомость расчета мин. платы'!$G$10:$AC$214,MATCH(CONCATENATE(B3048,"/",D3048,"/",E3048,"/",F3048),'Ведомость расчета мин. платы'!$AC$10:$AC$214,0),1),"")</f>
        <v>2.4</v>
      </c>
      <c r="H3048" s="246" t="s">
        <v>17</v>
      </c>
      <c r="I3048" s="247">
        <f ca="1">IFERROR(INDEX('Ведомость расчета мин. платы'!$J$10:$AE$214,MATCH(CONCATENATE(РАСЧЕТ!B3048,"/",РАСЧЕТ!D3048,"/",РАСЧЕТ!E3048,"/",F3048,"/",H3048),'Ведомость расчета мин. платы'!$AE$10:$AE$214,0),2),"")</f>
        <v>11.9</v>
      </c>
      <c r="J3048" s="247">
        <f ca="1">IFERROR(INDEX('Ведомость расчета мин. платы'!$J$10:$AE$214,MATCH(CONCATENATE(РАСЧЕТ!B3048,"/",РАСЧЕТ!D3048,"/",РАСЧЕТ!E3048,"/",F3048,"/",H3048),'Ведомость расчета мин. платы'!$AE$10:$AE$214,0),3),"")</f>
        <v>70.08</v>
      </c>
      <c r="K3048" s="247">
        <f ca="1">IFERROR(INDEX('Ведомость расчета мин. платы'!$J$10:$AE$214,MATCH(CONCATENATE(РАСЧЕТ!B3048,"/",РАСЧЕТ!D3048,"/",РАСЧЕТ!E3048,"/",F3048,"/",H3048),'Ведомость расчета мин. платы'!$AE$10:$AE$214,0),4),"")</f>
        <v>17.88</v>
      </c>
      <c r="L3048" s="248">
        <f t="shared" ref="L3048:L3060" ca="1" si="1365">IFERROR(SUM(I3048:K3048),"")</f>
        <v>99.86</v>
      </c>
      <c r="M3048" s="214">
        <f ca="1">IFERROR(INDEX('Ведомость расчета мин. платы'!$J$10:$AE$214,MATCH(CONCATENATE(РАСЧЕТ!B3048,"/",РАСЧЕТ!D3048,"/",РАСЧЕТ!E3048,"/",F3048,"/",H3048),'Ведомость расчета мин. платы'!$AE$10:$AE$214,0),6),"")</f>
        <v>119.63</v>
      </c>
      <c r="N3048" s="214">
        <f t="shared" ref="N3048:N3060" ca="1" si="1366">IFERROR(SUM(L3048:M3048),"")</f>
        <v>219.49</v>
      </c>
      <c r="O3048" s="229">
        <f>IF(H3048="стоимость","",1)</f>
        <v>1</v>
      </c>
      <c r="P3048" s="230">
        <f t="shared" si="1364"/>
        <v>1</v>
      </c>
      <c r="AP3048" s="242"/>
      <c r="AQ3048" s="242"/>
    </row>
    <row r="3049" spans="1:43" x14ac:dyDescent="0.2">
      <c r="B3049" s="249"/>
      <c r="C3049" s="249"/>
      <c r="D3049" s="249"/>
      <c r="E3049" s="249"/>
      <c r="F3049" s="249"/>
      <c r="G3049" s="249"/>
      <c r="H3049" s="250" t="s">
        <v>475</v>
      </c>
      <c r="I3049" s="251">
        <f ca="1">IFERROR(ROUND(I3048*I3042,2),"")</f>
        <v>1361.72</v>
      </c>
      <c r="J3049" s="251">
        <f t="shared" ref="J3049:K3049" ca="1" si="1367">IFERROR(ROUND(J3048*J3042,2),"")</f>
        <v>5714.32</v>
      </c>
      <c r="K3049" s="251">
        <f t="shared" ca="1" si="1367"/>
        <v>738.62</v>
      </c>
      <c r="L3049" s="251">
        <f t="shared" ca="1" si="1365"/>
        <v>7814.66</v>
      </c>
      <c r="M3049" s="251">
        <f t="shared" ref="M3049" ca="1" si="1368">IFERROR(ROUND(M3048*M3042,2),"")</f>
        <v>779.99</v>
      </c>
      <c r="N3049" s="252">
        <f t="shared" ca="1" si="1366"/>
        <v>8594.65</v>
      </c>
      <c r="O3049" s="229" t="str">
        <f t="shared" ref="O3049:O3059" si="1369">IF(H3049="стоимость","",1)</f>
        <v/>
      </c>
      <c r="P3049" s="230">
        <f t="shared" si="1364"/>
        <v>0</v>
      </c>
      <c r="AP3049" s="242">
        <f ca="1">SUMIFS('Ведомость расчета мин. платы'!$S$10:$S$209,'Ведомость расчета мин. платы'!$AE$10:$AE$209,CONCATENATE(B3048,"/",D3048,"/",E3048,"/",F3048,"/",H3048))</f>
        <v>8594.65</v>
      </c>
      <c r="AQ3049" s="253">
        <f t="shared" ref="AQ3049" ca="1" si="1370">AP3049-N3049</f>
        <v>0</v>
      </c>
    </row>
    <row r="3050" spans="1:43" x14ac:dyDescent="0.2">
      <c r="B3050" s="249"/>
      <c r="C3050" s="249"/>
      <c r="D3050" s="249"/>
      <c r="E3050" s="249"/>
      <c r="F3050" s="249"/>
      <c r="G3050" s="249"/>
      <c r="H3050" s="246" t="s">
        <v>25</v>
      </c>
      <c r="I3050" s="247" t="str">
        <f ca="1">IFERROR(INDEX('Ведомость расчета мин. платы'!$J$10:$AE$214,MATCH(CONCATENATE(РАСЧЕТ!B3048,"/",РАСЧЕТ!D3048,"/",РАСЧЕТ!E3048,"/",F3048,"/",H3050),'Ведомость расчета мин. платы'!$AE$10:$AE$214,0),2),"")</f>
        <v/>
      </c>
      <c r="J3050" s="247" t="str">
        <f ca="1">IFERROR(INDEX('Ведомость расчета мин. платы'!$J$10:$AE$214,MATCH(CONCATENATE(РАСЧЕТ!B3048,"/",РАСЧЕТ!D3048,"/",РАСЧЕТ!E3048,"/",F3048,"/",H3050),'Ведомость расчета мин. платы'!$AE$10:$AE$214,0),3),"")</f>
        <v/>
      </c>
      <c r="K3050" s="247" t="str">
        <f ca="1">IFERROR(INDEX('Ведомость расчета мин. платы'!$J$10:$AE$214,MATCH(CONCATENATE(РАСЧЕТ!B3048,"/",РАСЧЕТ!D3048,"/",РАСЧЕТ!E3048,"/",F3048,"/",H3050),'Ведомость расчета мин. платы'!$AE$10:$AE$214,0),4),"")</f>
        <v/>
      </c>
      <c r="L3050" s="248">
        <f t="shared" ca="1" si="1365"/>
        <v>0</v>
      </c>
      <c r="M3050" s="214" t="str">
        <f ca="1">IFERROR(INDEX('Ведомость расчета мин. платы'!$J$10:$AE$214,MATCH(CONCATENATE(РАСЧЕТ!B3048,"/",РАСЧЕТ!D3048,"/",РАСЧЕТ!E3048,"/",F3048,"/",H3050),'Ведомость расчета мин. платы'!$AE$10:$AE$214,0),6),"")</f>
        <v/>
      </c>
      <c r="N3050" s="214">
        <f t="shared" ca="1" si="1366"/>
        <v>0</v>
      </c>
      <c r="O3050" s="229">
        <f t="shared" si="1369"/>
        <v>1</v>
      </c>
      <c r="P3050" s="230">
        <f t="shared" si="1364"/>
        <v>0</v>
      </c>
      <c r="AP3050" s="242"/>
      <c r="AQ3050" s="253"/>
    </row>
    <row r="3051" spans="1:43" x14ac:dyDescent="0.2">
      <c r="B3051" s="249"/>
      <c r="C3051" s="249"/>
      <c r="D3051" s="249"/>
      <c r="E3051" s="249"/>
      <c r="F3051" s="249"/>
      <c r="G3051" s="249"/>
      <c r="H3051" s="250" t="s">
        <v>475</v>
      </c>
      <c r="I3051" s="251" t="str">
        <f ca="1">IFERROR(ROUND(I3050*I3043,2),"")</f>
        <v/>
      </c>
      <c r="J3051" s="251" t="str">
        <f t="shared" ref="J3051:K3051" ca="1" si="1371">IFERROR(ROUND(J3050*J3043,2),"")</f>
        <v/>
      </c>
      <c r="K3051" s="251" t="str">
        <f t="shared" ca="1" si="1371"/>
        <v/>
      </c>
      <c r="L3051" s="251">
        <f t="shared" ca="1" si="1365"/>
        <v>0</v>
      </c>
      <c r="M3051" s="251" t="str">
        <f t="shared" ref="M3051" ca="1" si="1372">IFERROR(ROUND(M3050*M3043,2),"")</f>
        <v/>
      </c>
      <c r="N3051" s="252">
        <f t="shared" ca="1" si="1366"/>
        <v>0</v>
      </c>
      <c r="O3051" s="229" t="str">
        <f t="shared" si="1369"/>
        <v/>
      </c>
      <c r="P3051" s="230">
        <f t="shared" si="1364"/>
        <v>0</v>
      </c>
      <c r="AP3051" s="242">
        <f ca="1">SUMIFS('Ведомость расчета мин. платы'!$S$10:$S$209,'Ведомость расчета мин. платы'!$AE$10:$AE$209,CONCATENATE(B3048,"/",D3048,"/",E3048,"/",F3048,"/",H3050))</f>
        <v>0</v>
      </c>
      <c r="AQ3051" s="253">
        <f t="shared" ref="AQ3051" ca="1" si="1373">AP3051-N3051</f>
        <v>0</v>
      </c>
    </row>
    <row r="3052" spans="1:43" x14ac:dyDescent="0.2">
      <c r="B3052" s="249"/>
      <c r="C3052" s="249"/>
      <c r="D3052" s="249"/>
      <c r="E3052" s="249"/>
      <c r="F3052" s="249"/>
      <c r="G3052" s="249"/>
      <c r="H3052" s="205" t="s">
        <v>19</v>
      </c>
      <c r="I3052" s="248" t="str">
        <f ca="1">IFERROR(INDEX('Ведомость расчета мин. платы'!$J$10:$AE$214,MATCH(CONCATENATE(РАСЧЕТ!B3048,"/",РАСЧЕТ!D3048,"/",РАСЧЕТ!E3048,"/",F3048,"/",H3052),'Ведомость расчета мин. платы'!$AE$10:$AE$214,0),2),"")</f>
        <v/>
      </c>
      <c r="J3052" s="248" t="str">
        <f ca="1">IFERROR(INDEX('Ведомость расчета мин. платы'!$J$10:$AE$214,MATCH(CONCATENATE(РАСЧЕТ!B3048,"/",РАСЧЕТ!D3048,"/",РАСЧЕТ!E3048,"/",F3048,"/",H3052),'Ведомость расчета мин. платы'!$AE$10:$AE$214,0),3),"")</f>
        <v/>
      </c>
      <c r="K3052" s="248" t="str">
        <f ca="1">IFERROR(INDEX('Ведомость расчета мин. платы'!$J$10:$AE$214,MATCH(CONCATENATE(РАСЧЕТ!B3048,"/",РАСЧЕТ!D3048,"/",РАСЧЕТ!E3048,"/",F3048,"/",H3052),'Ведомость расчета мин. платы'!$AE$10:$AE$214,0),4),"")</f>
        <v/>
      </c>
      <c r="L3052" s="248">
        <f t="shared" ca="1" si="1365"/>
        <v>0</v>
      </c>
      <c r="M3052" s="248" t="str">
        <f ca="1">IFERROR(INDEX('Ведомость расчета мин. платы'!$J$10:$AE$214,MATCH(CONCATENATE(РАСЧЕТ!B3048,"/",РАСЧЕТ!D3048,"/",РАСЧЕТ!E3048,"/",F3048,"/",H3052),'Ведомость расчета мин. платы'!$AE$10:$AE$214,0),6),"")</f>
        <v/>
      </c>
      <c r="N3052" s="214">
        <f t="shared" ca="1" si="1366"/>
        <v>0</v>
      </c>
      <c r="O3052" s="229">
        <f t="shared" si="1369"/>
        <v>1</v>
      </c>
      <c r="P3052" s="230">
        <f t="shared" si="1364"/>
        <v>0</v>
      </c>
      <c r="AP3052" s="242"/>
      <c r="AQ3052" s="253"/>
    </row>
    <row r="3053" spans="1:43" x14ac:dyDescent="0.2">
      <c r="B3053" s="249"/>
      <c r="C3053" s="249"/>
      <c r="D3053" s="249"/>
      <c r="E3053" s="249"/>
      <c r="F3053" s="249"/>
      <c r="G3053" s="249"/>
      <c r="H3053" s="250" t="s">
        <v>475</v>
      </c>
      <c r="I3053" s="251" t="str">
        <f ca="1">IFERROR(ROUND(I3052*I3044,2),"")</f>
        <v/>
      </c>
      <c r="J3053" s="251" t="str">
        <f t="shared" ref="J3053:K3053" ca="1" si="1374">IFERROR(ROUND(J3052*J3044,2),"")</f>
        <v/>
      </c>
      <c r="K3053" s="251" t="str">
        <f t="shared" ca="1" si="1374"/>
        <v/>
      </c>
      <c r="L3053" s="251">
        <f t="shared" ca="1" si="1365"/>
        <v>0</v>
      </c>
      <c r="M3053" s="251" t="str">
        <f t="shared" ref="M3053" ca="1" si="1375">IFERROR(ROUND(M3052*M3044,2),"")</f>
        <v/>
      </c>
      <c r="N3053" s="252">
        <f t="shared" ca="1" si="1366"/>
        <v>0</v>
      </c>
      <c r="O3053" s="229" t="str">
        <f t="shared" si="1369"/>
        <v/>
      </c>
      <c r="P3053" s="230">
        <f t="shared" si="1364"/>
        <v>0</v>
      </c>
      <c r="AP3053" s="242">
        <f ca="1">SUMIFS('Ведомость расчета мин. платы'!$S$10:$S$209,'Ведомость расчета мин. платы'!$AE$10:$AE$209,CONCATENATE(B3048,"/",D3048,"/",E3048,"/",F3048,"/",H3052))</f>
        <v>0</v>
      </c>
      <c r="AQ3053" s="253">
        <f t="shared" ref="AQ3053" ca="1" si="1376">AP3053-N3053</f>
        <v>0</v>
      </c>
    </row>
    <row r="3054" spans="1:43" x14ac:dyDescent="0.2">
      <c r="B3054" s="249"/>
      <c r="C3054" s="249"/>
      <c r="D3054" s="249"/>
      <c r="E3054" s="249"/>
      <c r="F3054" s="249"/>
      <c r="G3054" s="249"/>
      <c r="H3054" s="205" t="s">
        <v>268</v>
      </c>
      <c r="I3054" s="248" t="str">
        <f ca="1">IFERROR(INDEX('Ведомость расчета мин. платы'!$J$10:$AE$214,MATCH(CONCATENATE(РАСЧЕТ!B3048,"/",РАСЧЕТ!D3048,"/",РАСЧЕТ!E3048,"/",F3048,"/",H3054),'Ведомость расчета мин. платы'!$AE$10:$AE$214,0),2),"")</f>
        <v/>
      </c>
      <c r="J3054" s="248" t="str">
        <f ca="1">IFERROR(INDEX('Ведомость расчета мин. платы'!$J$10:$AE$214,MATCH(CONCATENATE(РАСЧЕТ!B3048,"/",РАСЧЕТ!D3048,"/",РАСЧЕТ!E3048,"/",F3048,"/",H3054),'Ведомость расчета мин. платы'!$AE$10:$AE$214,0),3),"")</f>
        <v/>
      </c>
      <c r="K3054" s="248" t="str">
        <f ca="1">IFERROR(INDEX('Ведомость расчета мин. платы'!$J$10:$AE$214,MATCH(CONCATENATE(РАСЧЕТ!B3048,"/",РАСЧЕТ!D3048,"/",РАСЧЕТ!E3048,"/",F3048,"/",H3054),'Ведомость расчета мин. платы'!$AE$10:$AE$214,0),4),"")</f>
        <v/>
      </c>
      <c r="L3054" s="248">
        <f t="shared" ca="1" si="1365"/>
        <v>0</v>
      </c>
      <c r="M3054" s="248" t="str">
        <f ca="1">IFERROR(INDEX('Ведомость расчета мин. платы'!$J$10:$AE$214,MATCH(CONCATENATE(РАСЧЕТ!B3048,"/",РАСЧЕТ!D3048,"/",РАСЧЕТ!E3048,"/",F3048,"/",H3054),'Ведомость расчета мин. платы'!$AE$10:$AE$214,0),6),"")</f>
        <v/>
      </c>
      <c r="N3054" s="214">
        <f t="shared" ca="1" si="1366"/>
        <v>0</v>
      </c>
      <c r="O3054" s="229">
        <f t="shared" si="1369"/>
        <v>1</v>
      </c>
      <c r="P3054" s="230">
        <f t="shared" si="1364"/>
        <v>0</v>
      </c>
      <c r="AP3054" s="242"/>
      <c r="AQ3054" s="253"/>
    </row>
    <row r="3055" spans="1:43" x14ac:dyDescent="0.2">
      <c r="B3055" s="249"/>
      <c r="C3055" s="249"/>
      <c r="D3055" s="249"/>
      <c r="E3055" s="249"/>
      <c r="F3055" s="249"/>
      <c r="G3055" s="249"/>
      <c r="H3055" s="250" t="s">
        <v>475</v>
      </c>
      <c r="I3055" s="251" t="str">
        <f ca="1">IFERROR(ROUND(I3054*I3047,2),"")</f>
        <v/>
      </c>
      <c r="J3055" s="251" t="str">
        <f ca="1">IFERROR(ROUND(J3054*J3045,2),"")</f>
        <v/>
      </c>
      <c r="K3055" s="251" t="str">
        <f ca="1">IFERROR(ROUND(K3054*K3045,2),"")</f>
        <v/>
      </c>
      <c r="L3055" s="251">
        <f t="shared" ca="1" si="1365"/>
        <v>0</v>
      </c>
      <c r="M3055" s="251" t="str">
        <f ca="1">IFERROR(ROUND(M3054*M3045,2),"")</f>
        <v/>
      </c>
      <c r="N3055" s="252">
        <f t="shared" ca="1" si="1366"/>
        <v>0</v>
      </c>
      <c r="O3055" s="229" t="str">
        <f t="shared" si="1369"/>
        <v/>
      </c>
      <c r="P3055" s="230">
        <f t="shared" si="1364"/>
        <v>0</v>
      </c>
      <c r="AP3055" s="242">
        <f ca="1">SUMIFS('Ведомость расчета мин. платы'!$S$10:$S$209,'Ведомость расчета мин. платы'!$AE$10:$AE$209,CONCATENATE(B3048,"/",D3048,"/",E3048,"/",F3048,"/",H3054))</f>
        <v>0</v>
      </c>
      <c r="AQ3055" s="253">
        <f t="shared" ref="AQ3055" ca="1" si="1377">AP3055-N3055</f>
        <v>0</v>
      </c>
    </row>
    <row r="3056" spans="1:43" x14ac:dyDescent="0.2">
      <c r="B3056" s="249"/>
      <c r="C3056" s="249"/>
      <c r="D3056" s="249"/>
      <c r="E3056" s="249"/>
      <c r="F3056" s="249"/>
      <c r="G3056" s="249"/>
      <c r="H3056" s="205" t="s">
        <v>40</v>
      </c>
      <c r="I3056" s="248">
        <f ca="1">IFERROR(INDEX('Ведомость расчета мин. платы'!$J$10:$AE$214,MATCH(CONCATENATE(РАСЧЕТ!B3048,"/",РАСЧЕТ!D3048,"/",РАСЧЕТ!E3048,"/",F3048,"/",H3056),'Ведомость расчета мин. платы'!$AE$10:$AE$214,0),2),"")</f>
        <v>1.61</v>
      </c>
      <c r="J3056" s="248">
        <f ca="1">IFERROR(INDEX('Ведомость расчета мин. платы'!$J$10:$AE$214,MATCH(CONCATENATE(РАСЧЕТ!B3048,"/",РАСЧЕТ!D3048,"/",РАСЧЕТ!E3048,"/",F3048,"/",H3056),'Ведомость расчета мин. платы'!$AE$10:$AE$214,0),3),"")</f>
        <v>19.03</v>
      </c>
      <c r="K3056" s="248">
        <f ca="1">IFERROR(INDEX('Ведомость расчета мин. платы'!$J$10:$AE$214,MATCH(CONCATENATE(РАСЧЕТ!B3048,"/",РАСЧЕТ!D3048,"/",РАСЧЕТ!E3048,"/",F3048,"/",H3056),'Ведомость расчета мин. платы'!$AE$10:$AE$214,0),4),"")</f>
        <v>3.61</v>
      </c>
      <c r="L3056" s="248">
        <f t="shared" ca="1" si="1365"/>
        <v>24.25</v>
      </c>
      <c r="M3056" s="248">
        <f ca="1">IFERROR(INDEX('Ведомость расчета мин. платы'!$J$10:$AE$214,MATCH(CONCATENATE(РАСЧЕТ!B3048,"/",РАСЧЕТ!D3048,"/",РАСЧЕТ!E3048,"/",F3048,"/",H3056),'Ведомость расчета мин. платы'!$AE$10:$AE$214,0),6),"")</f>
        <v>28.06</v>
      </c>
      <c r="N3056" s="214">
        <f t="shared" ca="1" si="1366"/>
        <v>52.31</v>
      </c>
      <c r="O3056" s="229">
        <f t="shared" si="1369"/>
        <v>1</v>
      </c>
      <c r="P3056" s="230">
        <f t="shared" si="1364"/>
        <v>0</v>
      </c>
      <c r="AP3056" s="242"/>
      <c r="AQ3056" s="253"/>
    </row>
    <row r="3057" spans="2:43" x14ac:dyDescent="0.2">
      <c r="B3057" s="249"/>
      <c r="C3057" s="249"/>
      <c r="D3057" s="249"/>
      <c r="E3057" s="249"/>
      <c r="F3057" s="249"/>
      <c r="G3057" s="249"/>
      <c r="H3057" s="250" t="s">
        <v>475</v>
      </c>
      <c r="I3057" s="251">
        <f ca="1">IFERROR(ROUND(I3056*I3046,2),"")</f>
        <v>109.4</v>
      </c>
      <c r="J3057" s="251">
        <f t="shared" ref="J3057:K3057" ca="1" si="1378">IFERROR(ROUND(J3056*J3046,2),"")</f>
        <v>941.41</v>
      </c>
      <c r="K3057" s="251">
        <f t="shared" ca="1" si="1378"/>
        <v>91.26</v>
      </c>
      <c r="L3057" s="251">
        <f t="shared" ca="1" si="1365"/>
        <v>1142.07</v>
      </c>
      <c r="M3057" s="251">
        <v>38.169999999999987</v>
      </c>
      <c r="N3057" s="252">
        <f t="shared" ca="1" si="1366"/>
        <v>1180.24</v>
      </c>
      <c r="O3057" s="229" t="str">
        <f t="shared" si="1369"/>
        <v/>
      </c>
      <c r="P3057" s="230">
        <f t="shared" si="1364"/>
        <v>0</v>
      </c>
      <c r="AP3057" s="242">
        <f ca="1">SUMIFS('Ведомость расчета мин. платы'!$S$10:$S$209,'Ведомость расчета мин. платы'!$AE$10:$AE$209,CONCATENATE(B3048,"/",D3048,"/",E3048,"/",F3048,"/",H3056))</f>
        <v>1180.24</v>
      </c>
      <c r="AQ3057" s="253">
        <f t="shared" ref="AQ3057" ca="1" si="1379">AP3057-N3057</f>
        <v>0</v>
      </c>
    </row>
    <row r="3058" spans="2:43" x14ac:dyDescent="0.2">
      <c r="B3058" s="249"/>
      <c r="C3058" s="249"/>
      <c r="D3058" s="249"/>
      <c r="E3058" s="249"/>
      <c r="F3058" s="249"/>
      <c r="G3058" s="249"/>
      <c r="H3058" s="205" t="s">
        <v>18</v>
      </c>
      <c r="I3058" s="248" t="str">
        <f ca="1">IFERROR(INDEX('Ведомость расчета мин. платы'!$J$10:$AE$214,MATCH(CONCATENATE(РАСЧЕТ!B3048,"/",РАСЧЕТ!D3048,"/",РАСЧЕТ!E3048,"/",F3048,"/",H3058),'Ведомость расчета мин. платы'!$AE$10:$AE$214,0),2),"")</f>
        <v/>
      </c>
      <c r="J3058" s="248" t="str">
        <f ca="1">IFERROR(INDEX('Ведомость расчета мин. платы'!$J$10:$AE$214,MATCH(CONCATENATE(РАСЧЕТ!B3048,"/",РАСЧЕТ!D3048,"/",РАСЧЕТ!E3048,"/",F3048,"/",H3058),'Ведомость расчета мин. платы'!$AE$10:$AE$214,0),3),"")</f>
        <v/>
      </c>
      <c r="K3058" s="248" t="str">
        <f ca="1">IFERROR(INDEX('Ведомость расчета мин. платы'!$J$10:$AE$214,MATCH(CONCATENATE(РАСЧЕТ!B3048,"/",РАСЧЕТ!D3048,"/",РАСЧЕТ!E3048,"/",F3048,"/",H3058),'Ведомость расчета мин. платы'!$AE$10:$AE$214,0),4),"")</f>
        <v/>
      </c>
      <c r="L3058" s="248">
        <f t="shared" ca="1" si="1365"/>
        <v>0</v>
      </c>
      <c r="M3058" s="248" t="str">
        <f ca="1">IFERROR(INDEX('Ведомость расчета мин. платы'!$J$10:$AE$214,MATCH(CONCATENATE(РАСЧЕТ!B3048,"/",РАСЧЕТ!D3048,"/",РАСЧЕТ!E3048,"/",F3048,"/",H3058),'Ведомость расчета мин. платы'!$AE$10:$AE$214,0),6),"")</f>
        <v/>
      </c>
      <c r="N3058" s="214">
        <f t="shared" ca="1" si="1366"/>
        <v>0</v>
      </c>
      <c r="O3058" s="229">
        <f t="shared" si="1369"/>
        <v>1</v>
      </c>
      <c r="P3058" s="230">
        <f t="shared" si="1364"/>
        <v>0</v>
      </c>
      <c r="AP3058" s="242"/>
      <c r="AQ3058" s="253"/>
    </row>
    <row r="3059" spans="2:43" x14ac:dyDescent="0.2">
      <c r="B3059" s="249"/>
      <c r="C3059" s="249"/>
      <c r="D3059" s="249"/>
      <c r="E3059" s="249"/>
      <c r="F3059" s="249"/>
      <c r="G3059" s="249"/>
      <c r="H3059" s="250" t="s">
        <v>475</v>
      </c>
      <c r="I3059" s="251" t="str">
        <f ca="1">IFERROR(ROUND(I3058*I3047,2),"")</f>
        <v/>
      </c>
      <c r="J3059" s="251" t="str">
        <f t="shared" ref="J3059:K3059" ca="1" si="1380">IFERROR(ROUND(J3058*J3047,2),"")</f>
        <v/>
      </c>
      <c r="K3059" s="251" t="str">
        <f t="shared" ca="1" si="1380"/>
        <v/>
      </c>
      <c r="L3059" s="251">
        <f t="shared" ca="1" si="1365"/>
        <v>0</v>
      </c>
      <c r="M3059" s="251" t="str">
        <f t="shared" ref="M3059" ca="1" si="1381">IFERROR(ROUND(M3058*M3047,2),"")</f>
        <v/>
      </c>
      <c r="N3059" s="252">
        <f t="shared" ca="1" si="1366"/>
        <v>0</v>
      </c>
      <c r="O3059" s="229" t="str">
        <f t="shared" si="1369"/>
        <v/>
      </c>
      <c r="P3059" s="230">
        <f t="shared" si="1364"/>
        <v>0</v>
      </c>
      <c r="AP3059" s="242">
        <f ca="1">SUMIFS('Ведомость расчета мин. платы'!$S$10:$S$209,'Ведомость расчета мин. платы'!$AE$10:$AE$209,CONCATENATE(B3048,"/",D3048,"/",E3048,"/",F3048,"/",H3058))</f>
        <v>0</v>
      </c>
      <c r="AQ3059" s="253">
        <f t="shared" ref="AQ3059" ca="1" si="1382">AP3059-N3059</f>
        <v>0</v>
      </c>
    </row>
    <row r="3060" spans="2:43" x14ac:dyDescent="0.2">
      <c r="B3060" s="249"/>
      <c r="C3060" s="249"/>
      <c r="D3060" s="249"/>
      <c r="E3060" s="249"/>
      <c r="F3060" s="249"/>
      <c r="G3060" s="249"/>
      <c r="H3060" s="254" t="s">
        <v>476</v>
      </c>
      <c r="I3060" s="251">
        <f ca="1">SUMIF($O3048:$O3061,1,I3048:I3059)</f>
        <v>13.51</v>
      </c>
      <c r="J3060" s="251">
        <f ca="1">SUMIF($O3048:$O3061,1,J3048:J3059)</f>
        <v>89.11</v>
      </c>
      <c r="K3060" s="251">
        <f ca="1">SUMIF($O3048:$O3061,1,K3048:K3059)</f>
        <v>21.49</v>
      </c>
      <c r="L3060" s="251">
        <f t="shared" ca="1" si="1365"/>
        <v>124.11</v>
      </c>
      <c r="M3060" s="251">
        <f ca="1">SUMIF($O3048:$O3061,1,M3048:M3059)</f>
        <v>147.69</v>
      </c>
      <c r="N3060" s="252">
        <f t="shared" ca="1" si="1366"/>
        <v>271.8</v>
      </c>
      <c r="AP3060" s="242"/>
      <c r="AQ3060" s="253"/>
    </row>
    <row r="3061" spans="2:43" x14ac:dyDescent="0.2">
      <c r="B3061" s="249"/>
      <c r="C3061" s="249"/>
      <c r="D3061" s="249"/>
      <c r="E3061" s="249"/>
      <c r="F3061" s="249"/>
      <c r="G3061" s="249"/>
      <c r="H3061" s="254" t="s">
        <v>491</v>
      </c>
      <c r="I3061" s="251">
        <f ca="1">SUMIF(H3048:H3059,"стоимость",I3048:I3059)</f>
        <v>1471.1200000000001</v>
      </c>
      <c r="J3061" s="251">
        <f ca="1">SUMIF(H3048:H3059,"стоимость",J3048:J3059)</f>
        <v>6655.73</v>
      </c>
      <c r="K3061" s="251">
        <f ca="1">SUMIF(H3048:H3059,"стоимость",K3048:K3059)</f>
        <v>829.88</v>
      </c>
      <c r="L3061" s="251">
        <f ca="1">IFERROR(SUM(I3061:K3061),"")</f>
        <v>8956.73</v>
      </c>
      <c r="M3061" s="251">
        <f ca="1">SUMIF(H3048:H3059,"стоимость",M3048:M3059)</f>
        <v>818.16</v>
      </c>
      <c r="N3061" s="252">
        <f ca="1">IFERROR(SUM(L3061:M3061),"")</f>
        <v>9774.89</v>
      </c>
      <c r="AP3061" s="242">
        <f ca="1">SUMIFS('Ведомость расчета мин. платы'!$S$10:$S$209,'Ведомость расчета мин. платы'!$J$10:$J$209,"Итого",'Ведомость расчета мин. платы'!$AC$10:$AC$209,CONCATENATE(B3048,"/",D3048,"/",E3048,"/",F3048))</f>
        <v>9774.89</v>
      </c>
      <c r="AQ3061" s="253">
        <f ca="1">AP3061-N3061</f>
        <v>0</v>
      </c>
    </row>
    <row r="3062" spans="2:43" x14ac:dyDescent="0.2">
      <c r="B3062" s="255"/>
      <c r="C3062" s="255"/>
      <c r="D3062" s="255"/>
      <c r="E3062" s="255"/>
      <c r="F3062" s="255"/>
      <c r="G3062" s="256"/>
      <c r="H3062" s="257"/>
      <c r="I3062" s="258"/>
      <c r="J3062" s="258"/>
      <c r="K3062" s="258"/>
      <c r="L3062" s="258"/>
      <c r="M3062" s="258"/>
      <c r="N3062" s="258"/>
      <c r="P3062" s="230">
        <f t="shared" ref="P3062:P3080" si="1383">IF(A3062&gt;0,1,0)</f>
        <v>0</v>
      </c>
    </row>
    <row r="3063" spans="2:43" x14ac:dyDescent="0.2">
      <c r="B3063" s="282" t="s">
        <v>477</v>
      </c>
      <c r="C3063" s="282"/>
      <c r="D3063" s="282"/>
      <c r="E3063" s="282"/>
      <c r="F3063" s="259"/>
      <c r="G3063" s="225"/>
      <c r="H3063" s="201"/>
      <c r="I3063" s="226"/>
      <c r="J3063" s="258"/>
      <c r="K3063" s="258"/>
      <c r="L3063" s="258"/>
      <c r="M3063" s="258"/>
      <c r="N3063" s="258"/>
      <c r="P3063" s="230">
        <f t="shared" si="1383"/>
        <v>0</v>
      </c>
    </row>
    <row r="3064" spans="2:43" x14ac:dyDescent="0.2">
      <c r="B3064" s="283" t="s">
        <v>525</v>
      </c>
      <c r="C3064" s="283"/>
      <c r="D3064" s="283"/>
      <c r="E3064" s="283"/>
      <c r="F3064" s="283"/>
      <c r="G3064" s="283"/>
      <c r="H3064" s="283"/>
      <c r="I3064" s="283"/>
      <c r="J3064" s="261"/>
      <c r="K3064" s="261"/>
      <c r="L3064" s="261"/>
      <c r="M3064" s="261"/>
      <c r="N3064" s="261"/>
      <c r="P3064" s="230">
        <f t="shared" si="1383"/>
        <v>0</v>
      </c>
    </row>
    <row r="3065" spans="2:43" x14ac:dyDescent="0.2">
      <c r="B3065" s="284" t="s">
        <v>478</v>
      </c>
      <c r="C3065" s="284"/>
      <c r="D3065" s="284"/>
      <c r="E3065" s="284"/>
      <c r="F3065" s="284"/>
      <c r="G3065" s="284"/>
      <c r="H3065" s="284"/>
      <c r="I3065" s="284"/>
      <c r="J3065" s="258"/>
      <c r="K3065" s="258"/>
      <c r="L3065" s="258"/>
      <c r="M3065" s="258"/>
      <c r="N3065" s="258"/>
      <c r="P3065" s="230">
        <f t="shared" si="1383"/>
        <v>0</v>
      </c>
    </row>
    <row r="3066" spans="2:43" x14ac:dyDescent="0.2">
      <c r="B3066" s="284" t="s">
        <v>479</v>
      </c>
      <c r="C3066" s="284"/>
      <c r="D3066" s="284"/>
      <c r="E3066" s="284"/>
      <c r="F3066" s="284"/>
      <c r="G3066" s="284"/>
      <c r="H3066" s="284"/>
      <c r="I3066" s="284"/>
      <c r="J3066" s="258"/>
      <c r="K3066" s="258"/>
      <c r="L3066" s="258"/>
      <c r="M3066" s="258"/>
      <c r="N3066" s="258"/>
      <c r="P3066" s="230">
        <f t="shared" si="1383"/>
        <v>0</v>
      </c>
    </row>
    <row r="3067" spans="2:43" x14ac:dyDescent="0.2">
      <c r="B3067" s="284" t="s">
        <v>480</v>
      </c>
      <c r="C3067" s="284"/>
      <c r="D3067" s="284"/>
      <c r="E3067" s="284"/>
      <c r="F3067" s="284"/>
      <c r="G3067" s="284"/>
      <c r="H3067" s="284"/>
      <c r="I3067" s="284"/>
      <c r="J3067" s="258"/>
      <c r="K3067" s="258"/>
      <c r="L3067" s="258"/>
      <c r="M3067" s="258"/>
      <c r="N3067" s="258"/>
      <c r="P3067" s="230">
        <f t="shared" si="1383"/>
        <v>0</v>
      </c>
    </row>
    <row r="3068" spans="2:43" x14ac:dyDescent="0.2">
      <c r="B3068" s="284" t="s">
        <v>481</v>
      </c>
      <c r="C3068" s="284"/>
      <c r="D3068" s="284"/>
      <c r="E3068" s="284"/>
      <c r="F3068" s="284"/>
      <c r="G3068" s="284"/>
      <c r="H3068" s="284"/>
      <c r="I3068" s="284"/>
      <c r="J3068" s="226"/>
      <c r="K3068" s="226"/>
      <c r="L3068" s="226"/>
      <c r="M3068" s="226"/>
      <c r="N3068" s="226"/>
      <c r="P3068" s="230">
        <f t="shared" si="1383"/>
        <v>0</v>
      </c>
    </row>
    <row r="3069" spans="2:43" x14ac:dyDescent="0.2">
      <c r="B3069" s="284" t="s">
        <v>482</v>
      </c>
      <c r="C3069" s="284"/>
      <c r="D3069" s="284"/>
      <c r="E3069" s="284"/>
      <c r="F3069" s="284"/>
      <c r="G3069" s="284"/>
      <c r="H3069" s="284"/>
      <c r="I3069" s="284"/>
      <c r="J3069" s="226"/>
      <c r="K3069" s="226"/>
      <c r="L3069" s="226"/>
      <c r="M3069" s="226"/>
      <c r="N3069" s="226"/>
      <c r="P3069" s="230">
        <f t="shared" si="1383"/>
        <v>0</v>
      </c>
    </row>
    <row r="3070" spans="2:43" x14ac:dyDescent="0.2">
      <c r="B3070" s="284" t="s">
        <v>483</v>
      </c>
      <c r="C3070" s="284"/>
      <c r="D3070" s="284"/>
      <c r="E3070" s="284"/>
      <c r="F3070" s="284"/>
      <c r="G3070" s="284"/>
      <c r="H3070" s="284"/>
      <c r="I3070" s="284"/>
      <c r="J3070" s="226"/>
      <c r="K3070" s="226"/>
      <c r="L3070" s="226"/>
      <c r="M3070" s="226"/>
      <c r="N3070" s="226"/>
      <c r="P3070" s="230">
        <f t="shared" si="1383"/>
        <v>0</v>
      </c>
    </row>
    <row r="3071" spans="2:43" x14ac:dyDescent="0.2">
      <c r="B3071" s="284" t="s">
        <v>484</v>
      </c>
      <c r="C3071" s="284"/>
      <c r="D3071" s="284"/>
      <c r="E3071" s="284"/>
      <c r="F3071" s="284"/>
      <c r="G3071" s="284"/>
      <c r="H3071" s="284"/>
      <c r="I3071" s="284"/>
      <c r="J3071" s="226"/>
      <c r="K3071" s="226"/>
      <c r="L3071" s="226"/>
      <c r="M3071" s="226"/>
      <c r="N3071" s="226"/>
      <c r="P3071" s="230">
        <f t="shared" si="1383"/>
        <v>0</v>
      </c>
    </row>
    <row r="3072" spans="2:43" x14ac:dyDescent="0.2">
      <c r="B3072" s="264"/>
      <c r="C3072" s="264"/>
      <c r="D3072" s="264"/>
      <c r="E3072" s="264"/>
      <c r="F3072" s="264"/>
      <c r="G3072" s="264"/>
      <c r="H3072" s="264"/>
      <c r="I3072" s="265"/>
      <c r="J3072" s="226"/>
      <c r="K3072" s="226"/>
      <c r="L3072" s="226"/>
      <c r="M3072" s="226"/>
      <c r="N3072" s="226"/>
      <c r="P3072" s="230">
        <f t="shared" si="1383"/>
        <v>0</v>
      </c>
    </row>
    <row r="3073" spans="2:16" x14ac:dyDescent="0.2">
      <c r="B3073" s="225" t="s">
        <v>485</v>
      </c>
      <c r="C3073" s="225"/>
      <c r="D3073" s="225"/>
      <c r="E3073" s="225"/>
      <c r="F3073" s="225"/>
      <c r="G3073" s="225"/>
      <c r="H3073" s="201"/>
      <c r="I3073" s="226"/>
      <c r="J3073" s="226" t="s">
        <v>486</v>
      </c>
      <c r="K3073" s="226"/>
      <c r="L3073" s="226"/>
      <c r="M3073" s="226"/>
      <c r="N3073" s="226"/>
      <c r="P3073" s="230">
        <f t="shared" si="1383"/>
        <v>0</v>
      </c>
    </row>
    <row r="3074" spans="2:16" x14ac:dyDescent="0.2">
      <c r="B3074" s="266" t="s">
        <v>524</v>
      </c>
      <c r="C3074" s="266"/>
      <c r="D3074" s="225"/>
      <c r="E3074" s="225"/>
      <c r="F3074" s="225"/>
      <c r="G3074" s="225"/>
      <c r="H3074" s="201"/>
      <c r="I3074" s="226"/>
      <c r="J3074" s="267"/>
      <c r="K3074" s="267"/>
      <c r="L3074" s="267"/>
      <c r="M3074" s="226"/>
      <c r="N3074" s="226"/>
      <c r="P3074" s="230">
        <f t="shared" si="1383"/>
        <v>0</v>
      </c>
    </row>
    <row r="3075" spans="2:16" x14ac:dyDescent="0.2">
      <c r="B3075" s="268" t="s">
        <v>487</v>
      </c>
      <c r="C3075" s="225"/>
      <c r="D3075" s="225"/>
      <c r="E3075" s="225"/>
      <c r="F3075" s="225"/>
      <c r="G3075" s="225"/>
      <c r="H3075" s="201"/>
      <c r="I3075" s="226"/>
      <c r="J3075" s="226" t="s">
        <v>487</v>
      </c>
      <c r="K3075" s="226"/>
      <c r="L3075" s="226"/>
      <c r="M3075" s="226"/>
      <c r="N3075" s="226"/>
      <c r="P3075" s="230">
        <f t="shared" si="1383"/>
        <v>0</v>
      </c>
    </row>
    <row r="3076" spans="2:16" x14ac:dyDescent="0.2">
      <c r="B3076" s="225"/>
      <c r="C3076" s="225"/>
      <c r="D3076" s="225"/>
      <c r="E3076" s="225"/>
      <c r="F3076" s="225"/>
      <c r="G3076" s="225"/>
      <c r="H3076" s="201"/>
      <c r="I3076" s="226"/>
      <c r="J3076" s="226"/>
      <c r="K3076" s="226"/>
      <c r="L3076" s="226"/>
      <c r="M3076" s="226"/>
      <c r="N3076" s="226"/>
      <c r="P3076" s="230">
        <f t="shared" si="1383"/>
        <v>0</v>
      </c>
    </row>
    <row r="3077" spans="2:16" x14ac:dyDescent="0.2">
      <c r="B3077" s="266"/>
      <c r="C3077" s="266"/>
      <c r="D3077" s="225"/>
      <c r="E3077" s="225"/>
      <c r="F3077" s="225"/>
      <c r="G3077" s="225"/>
      <c r="H3077" s="201"/>
      <c r="I3077" s="226"/>
      <c r="J3077" s="267"/>
      <c r="K3077" s="267"/>
      <c r="L3077" s="267"/>
      <c r="M3077" s="226"/>
      <c r="N3077" s="226"/>
      <c r="P3077" s="230">
        <f t="shared" si="1383"/>
        <v>0</v>
      </c>
    </row>
    <row r="3078" spans="2:16" x14ac:dyDescent="0.2">
      <c r="B3078" s="269" t="s">
        <v>488</v>
      </c>
      <c r="C3078" s="225"/>
      <c r="D3078" s="225"/>
      <c r="E3078" s="225"/>
      <c r="F3078" s="225"/>
      <c r="G3078" s="225"/>
      <c r="H3078" s="201"/>
      <c r="I3078" s="226"/>
      <c r="J3078" s="285" t="s">
        <v>488</v>
      </c>
      <c r="K3078" s="285"/>
      <c r="L3078" s="285"/>
      <c r="M3078" s="226"/>
      <c r="N3078" s="226"/>
      <c r="P3078" s="230">
        <f t="shared" si="1383"/>
        <v>0</v>
      </c>
    </row>
    <row r="3079" spans="2:16" x14ac:dyDescent="0.2">
      <c r="B3079" s="225"/>
      <c r="C3079" s="225"/>
      <c r="D3079" s="225"/>
      <c r="E3079" s="225"/>
      <c r="F3079" s="225"/>
      <c r="G3079" s="225"/>
      <c r="H3079" s="201"/>
      <c r="I3079" s="226"/>
      <c r="J3079" s="226"/>
      <c r="K3079" s="226"/>
      <c r="L3079" s="226"/>
      <c r="M3079" s="226"/>
      <c r="N3079" s="226"/>
      <c r="P3079" s="230">
        <f t="shared" si="1383"/>
        <v>0</v>
      </c>
    </row>
    <row r="3080" spans="2:16" x14ac:dyDescent="0.2">
      <c r="B3080" s="264" t="s">
        <v>489</v>
      </c>
      <c r="C3080" s="225"/>
      <c r="D3080" s="225"/>
      <c r="E3080" s="225"/>
      <c r="F3080" s="225"/>
      <c r="G3080" s="225"/>
      <c r="H3080" s="201"/>
      <c r="I3080" s="226"/>
      <c r="J3080" s="226" t="s">
        <v>489</v>
      </c>
      <c r="K3080" s="226"/>
      <c r="L3080" s="226"/>
      <c r="M3080" s="226"/>
      <c r="N3080" s="226"/>
      <c r="P3080" s="230">
        <f t="shared" si="1383"/>
        <v>0</v>
      </c>
    </row>
  </sheetData>
  <sheetProtection password="876A" sheet="1" objects="1" scenarios="1"/>
  <autoFilter ref="P23:P275"/>
  <mergeCells count="1345">
    <mergeCell ref="B1282:G1287"/>
    <mergeCell ref="B1303:E1303"/>
    <mergeCell ref="P4:U11"/>
    <mergeCell ref="H1225:H1226"/>
    <mergeCell ref="I1225:L1225"/>
    <mergeCell ref="B1249:I1249"/>
    <mergeCell ref="B1255:I1255"/>
    <mergeCell ref="B1256:I1256"/>
    <mergeCell ref="J1263:L1263"/>
    <mergeCell ref="C1271:L1271"/>
    <mergeCell ref="C1272:L1272"/>
    <mergeCell ref="L1273:N1273"/>
    <mergeCell ref="B1280:B1281"/>
    <mergeCell ref="C1280:C1281"/>
    <mergeCell ref="D1280:D1281"/>
    <mergeCell ref="E1280:E1281"/>
    <mergeCell ref="F1280:F1281"/>
    <mergeCell ref="G1280:G1281"/>
    <mergeCell ref="H1280:H1281"/>
    <mergeCell ref="I1280:L1280"/>
    <mergeCell ref="M1280:M1281"/>
    <mergeCell ref="N1280:N1281"/>
    <mergeCell ref="F1115:F1116"/>
    <mergeCell ref="B1139:I1139"/>
    <mergeCell ref="B1140:I1140"/>
    <mergeCell ref="B1141:I1141"/>
    <mergeCell ref="B1142:I1142"/>
    <mergeCell ref="B1143:I1143"/>
    <mergeCell ref="B1144:I1144"/>
    <mergeCell ref="B1145:I1145"/>
    <mergeCell ref="C1161:L1161"/>
    <mergeCell ref="C1162:L1162"/>
    <mergeCell ref="L1163:N1163"/>
    <mergeCell ref="B1170:B1171"/>
    <mergeCell ref="C1170:C1171"/>
    <mergeCell ref="D1170:D1171"/>
    <mergeCell ref="E1170:E1171"/>
    <mergeCell ref="F1170:F1171"/>
    <mergeCell ref="G1170:G1171"/>
    <mergeCell ref="H1170:H1171"/>
    <mergeCell ref="B1007:G1012"/>
    <mergeCell ref="B1034:I1034"/>
    <mergeCell ref="B1035:I1035"/>
    <mergeCell ref="B1036:I1036"/>
    <mergeCell ref="B1028:E1028"/>
    <mergeCell ref="B1029:I1029"/>
    <mergeCell ref="B1030:I1030"/>
    <mergeCell ref="B1031:I1031"/>
    <mergeCell ref="B1032:I1032"/>
    <mergeCell ref="B1033:I1033"/>
    <mergeCell ref="J1043:L1043"/>
    <mergeCell ref="C1051:L1051"/>
    <mergeCell ref="C1052:L1052"/>
    <mergeCell ref="L1053:N1053"/>
    <mergeCell ref="B1060:B1061"/>
    <mergeCell ref="C1060:C1061"/>
    <mergeCell ref="D1060:D1061"/>
    <mergeCell ref="E1060:E1061"/>
    <mergeCell ref="F1060:F1061"/>
    <mergeCell ref="G1115:G1116"/>
    <mergeCell ref="H1115:H1116"/>
    <mergeCell ref="I1115:L1115"/>
    <mergeCell ref="M1115:M1116"/>
    <mergeCell ref="N1115:N1116"/>
    <mergeCell ref="B897:G902"/>
    <mergeCell ref="B918:E918"/>
    <mergeCell ref="B919:I919"/>
    <mergeCell ref="B920:I920"/>
    <mergeCell ref="B921:I921"/>
    <mergeCell ref="B922:I922"/>
    <mergeCell ref="B923:I923"/>
    <mergeCell ref="B924:I924"/>
    <mergeCell ref="B925:I925"/>
    <mergeCell ref="B926:I926"/>
    <mergeCell ref="B952:G957"/>
    <mergeCell ref="B973:E973"/>
    <mergeCell ref="B974:I974"/>
    <mergeCell ref="B975:I975"/>
    <mergeCell ref="B976:I976"/>
    <mergeCell ref="B977:I977"/>
    <mergeCell ref="B978:I978"/>
    <mergeCell ref="B787:G792"/>
    <mergeCell ref="B808:E808"/>
    <mergeCell ref="B809:I809"/>
    <mergeCell ref="B810:I810"/>
    <mergeCell ref="B811:I811"/>
    <mergeCell ref="B812:I812"/>
    <mergeCell ref="B813:I813"/>
    <mergeCell ref="B814:I814"/>
    <mergeCell ref="B815:I815"/>
    <mergeCell ref="B816:I816"/>
    <mergeCell ref="B842:G847"/>
    <mergeCell ref="B863:E863"/>
    <mergeCell ref="B864:I864"/>
    <mergeCell ref="B865:I865"/>
    <mergeCell ref="B866:I866"/>
    <mergeCell ref="B867:I867"/>
    <mergeCell ref="B868:I868"/>
    <mergeCell ref="B677:G682"/>
    <mergeCell ref="B698:E698"/>
    <mergeCell ref="B699:I699"/>
    <mergeCell ref="B700:I700"/>
    <mergeCell ref="B701:I701"/>
    <mergeCell ref="B702:I702"/>
    <mergeCell ref="B703:I703"/>
    <mergeCell ref="B704:I704"/>
    <mergeCell ref="B705:I705"/>
    <mergeCell ref="B706:I706"/>
    <mergeCell ref="B732:G737"/>
    <mergeCell ref="B753:E753"/>
    <mergeCell ref="B754:I754"/>
    <mergeCell ref="B755:I755"/>
    <mergeCell ref="B756:I756"/>
    <mergeCell ref="B757:I757"/>
    <mergeCell ref="B758:I758"/>
    <mergeCell ref="B567:G572"/>
    <mergeCell ref="B588:E588"/>
    <mergeCell ref="B589:I589"/>
    <mergeCell ref="B590:I590"/>
    <mergeCell ref="B591:I591"/>
    <mergeCell ref="B592:I592"/>
    <mergeCell ref="B593:I593"/>
    <mergeCell ref="B594:I594"/>
    <mergeCell ref="B595:I595"/>
    <mergeCell ref="B596:I596"/>
    <mergeCell ref="B622:G627"/>
    <mergeCell ref="B643:E643"/>
    <mergeCell ref="B644:I644"/>
    <mergeCell ref="B645:I645"/>
    <mergeCell ref="B646:I646"/>
    <mergeCell ref="B647:I647"/>
    <mergeCell ref="B648:I648"/>
    <mergeCell ref="B457:G462"/>
    <mergeCell ref="B478:E478"/>
    <mergeCell ref="B479:I479"/>
    <mergeCell ref="B480:I480"/>
    <mergeCell ref="B481:I481"/>
    <mergeCell ref="B482:I482"/>
    <mergeCell ref="B483:I483"/>
    <mergeCell ref="B484:I484"/>
    <mergeCell ref="B485:I485"/>
    <mergeCell ref="B486:I486"/>
    <mergeCell ref="B512:G517"/>
    <mergeCell ref="B533:E533"/>
    <mergeCell ref="B534:I534"/>
    <mergeCell ref="B535:I535"/>
    <mergeCell ref="B536:I536"/>
    <mergeCell ref="B537:I537"/>
    <mergeCell ref="B538:I538"/>
    <mergeCell ref="B368:E368"/>
    <mergeCell ref="B369:I369"/>
    <mergeCell ref="B370:I370"/>
    <mergeCell ref="B371:I371"/>
    <mergeCell ref="B372:I372"/>
    <mergeCell ref="B373:I373"/>
    <mergeCell ref="B374:I374"/>
    <mergeCell ref="B375:I375"/>
    <mergeCell ref="B376:I376"/>
    <mergeCell ref="B402:G407"/>
    <mergeCell ref="B423:E423"/>
    <mergeCell ref="B424:I424"/>
    <mergeCell ref="B425:I425"/>
    <mergeCell ref="B426:I426"/>
    <mergeCell ref="B427:I427"/>
    <mergeCell ref="B428:I428"/>
    <mergeCell ref="B429:I429"/>
    <mergeCell ref="B237:G242"/>
    <mergeCell ref="B258:E258"/>
    <mergeCell ref="B262:I262"/>
    <mergeCell ref="B263:I263"/>
    <mergeCell ref="B264:I264"/>
    <mergeCell ref="B265:I265"/>
    <mergeCell ref="B292:G297"/>
    <mergeCell ref="B313:E313"/>
    <mergeCell ref="B314:I314"/>
    <mergeCell ref="B315:I315"/>
    <mergeCell ref="B316:I316"/>
    <mergeCell ref="B317:I317"/>
    <mergeCell ref="B318:I318"/>
    <mergeCell ref="B319:I319"/>
    <mergeCell ref="B320:I320"/>
    <mergeCell ref="B321:I321"/>
    <mergeCell ref="B347:G352"/>
    <mergeCell ref="M70:M71"/>
    <mergeCell ref="N70:N71"/>
    <mergeCell ref="B98:I98"/>
    <mergeCell ref="B99:I99"/>
    <mergeCell ref="B100:I100"/>
    <mergeCell ref="B101:I101"/>
    <mergeCell ref="J108:L108"/>
    <mergeCell ref="B17:G22"/>
    <mergeCell ref="B72:G77"/>
    <mergeCell ref="B204:I204"/>
    <mergeCell ref="B205:I205"/>
    <mergeCell ref="C172:L172"/>
    <mergeCell ref="B149:I149"/>
    <mergeCell ref="B150:I150"/>
    <mergeCell ref="B151:I151"/>
    <mergeCell ref="B153:I153"/>
    <mergeCell ref="B154:I154"/>
    <mergeCell ref="B155:I155"/>
    <mergeCell ref="B156:I156"/>
    <mergeCell ref="J163:L163"/>
    <mergeCell ref="L118:N118"/>
    <mergeCell ref="B125:B126"/>
    <mergeCell ref="C125:C126"/>
    <mergeCell ref="D125:D126"/>
    <mergeCell ref="E125:E126"/>
    <mergeCell ref="F125:F126"/>
    <mergeCell ref="G125:G126"/>
    <mergeCell ref="H125:H126"/>
    <mergeCell ref="I125:L125"/>
    <mergeCell ref="M125:M126"/>
    <mergeCell ref="N125:N126"/>
    <mergeCell ref="B152:I152"/>
    <mergeCell ref="B40:I40"/>
    <mergeCell ref="C6:L6"/>
    <mergeCell ref="C7:L7"/>
    <mergeCell ref="L8:N8"/>
    <mergeCell ref="B15:B16"/>
    <mergeCell ref="C15:C16"/>
    <mergeCell ref="D15:D16"/>
    <mergeCell ref="E15:E16"/>
    <mergeCell ref="G15:G16"/>
    <mergeCell ref="H15:H16"/>
    <mergeCell ref="I15:L15"/>
    <mergeCell ref="F15:F16"/>
    <mergeCell ref="M15:M16"/>
    <mergeCell ref="N15:N16"/>
    <mergeCell ref="B38:E38"/>
    <mergeCell ref="B39:I39"/>
    <mergeCell ref="C116:L116"/>
    <mergeCell ref="B97:I97"/>
    <mergeCell ref="B94:I94"/>
    <mergeCell ref="B95:I95"/>
    <mergeCell ref="B96:I96"/>
    <mergeCell ref="B93:E93"/>
    <mergeCell ref="C61:L61"/>
    <mergeCell ref="C62:L62"/>
    <mergeCell ref="L63:N63"/>
    <mergeCell ref="B70:B71"/>
    <mergeCell ref="C70:C71"/>
    <mergeCell ref="D70:D71"/>
    <mergeCell ref="E70:E71"/>
    <mergeCell ref="F70:F71"/>
    <mergeCell ref="G70:G71"/>
    <mergeCell ref="H70:H71"/>
    <mergeCell ref="B1413:E1413"/>
    <mergeCell ref="B1414:I1414"/>
    <mergeCell ref="B1415:I1415"/>
    <mergeCell ref="B1416:I1416"/>
    <mergeCell ref="B1417:I1417"/>
    <mergeCell ref="B1418:I1418"/>
    <mergeCell ref="B1419:I1419"/>
    <mergeCell ref="B1420:I1420"/>
    <mergeCell ref="B1421:I1421"/>
    <mergeCell ref="B1392:G1397"/>
    <mergeCell ref="J53:L53"/>
    <mergeCell ref="B41:I41"/>
    <mergeCell ref="B42:I42"/>
    <mergeCell ref="B43:I43"/>
    <mergeCell ref="B44:I44"/>
    <mergeCell ref="B45:I45"/>
    <mergeCell ref="B46:I46"/>
    <mergeCell ref="C117:L117"/>
    <mergeCell ref="I70:L70"/>
    <mergeCell ref="B148:E148"/>
    <mergeCell ref="B127:G132"/>
    <mergeCell ref="B206:I206"/>
    <mergeCell ref="B207:I207"/>
    <mergeCell ref="B208:I208"/>
    <mergeCell ref="B209:I209"/>
    <mergeCell ref="B182:G187"/>
    <mergeCell ref="B203:E203"/>
    <mergeCell ref="B210:I210"/>
    <mergeCell ref="B211:I211"/>
    <mergeCell ref="B259:I259"/>
    <mergeCell ref="B260:I260"/>
    <mergeCell ref="B261:I261"/>
    <mergeCell ref="B1580:I1580"/>
    <mergeCell ref="B1581:I1581"/>
    <mergeCell ref="B1582:I1582"/>
    <mergeCell ref="B1583:I1583"/>
    <mergeCell ref="B1584:I1584"/>
    <mergeCell ref="B1585:I1585"/>
    <mergeCell ref="B1523:E1523"/>
    <mergeCell ref="B1524:I1524"/>
    <mergeCell ref="B1525:I1525"/>
    <mergeCell ref="B1526:I1526"/>
    <mergeCell ref="B1527:I1527"/>
    <mergeCell ref="B1528:I1528"/>
    <mergeCell ref="B1529:I1529"/>
    <mergeCell ref="B1530:I1530"/>
    <mergeCell ref="B1531:I1531"/>
    <mergeCell ref="B1502:G1507"/>
    <mergeCell ref="B1468:E1468"/>
    <mergeCell ref="B1469:I1469"/>
    <mergeCell ref="B1470:I1470"/>
    <mergeCell ref="B1471:I1471"/>
    <mergeCell ref="B1472:I1472"/>
    <mergeCell ref="B1473:I1473"/>
    <mergeCell ref="B1474:I1474"/>
    <mergeCell ref="B1475:I1475"/>
    <mergeCell ref="B1476:I1476"/>
    <mergeCell ref="B1722:G1727"/>
    <mergeCell ref="B1690:I1690"/>
    <mergeCell ref="B1691:I1691"/>
    <mergeCell ref="B1692:I1692"/>
    <mergeCell ref="B1693:I1693"/>
    <mergeCell ref="B1694:I1694"/>
    <mergeCell ref="B1695:I1695"/>
    <mergeCell ref="B1696:I1696"/>
    <mergeCell ref="B1667:G1672"/>
    <mergeCell ref="B1688:E1688"/>
    <mergeCell ref="B1689:I1689"/>
    <mergeCell ref="B1638:I1638"/>
    <mergeCell ref="B1639:I1639"/>
    <mergeCell ref="B1640:I1640"/>
    <mergeCell ref="B1641:I1641"/>
    <mergeCell ref="B1612:G1617"/>
    <mergeCell ref="B1633:E1633"/>
    <mergeCell ref="B1634:I1634"/>
    <mergeCell ref="B1635:I1635"/>
    <mergeCell ref="B1636:I1636"/>
    <mergeCell ref="B1637:I1637"/>
    <mergeCell ref="B1832:G1837"/>
    <mergeCell ref="B1798:E1798"/>
    <mergeCell ref="B1799:I1799"/>
    <mergeCell ref="B1800:I1800"/>
    <mergeCell ref="B1801:I1801"/>
    <mergeCell ref="B1802:I1802"/>
    <mergeCell ref="B1803:I1803"/>
    <mergeCell ref="B1804:I1804"/>
    <mergeCell ref="B1805:I1805"/>
    <mergeCell ref="B1806:I1806"/>
    <mergeCell ref="B1777:G1782"/>
    <mergeCell ref="B1743:E1743"/>
    <mergeCell ref="B1744:I1744"/>
    <mergeCell ref="B1745:I1745"/>
    <mergeCell ref="B1746:I1746"/>
    <mergeCell ref="B1747:I1747"/>
    <mergeCell ref="B1748:I1748"/>
    <mergeCell ref="B1749:I1749"/>
    <mergeCell ref="B1750:I1750"/>
    <mergeCell ref="B1751:I1751"/>
    <mergeCell ref="B1942:G1947"/>
    <mergeCell ref="B1908:E1908"/>
    <mergeCell ref="B1909:I1909"/>
    <mergeCell ref="B1910:I1910"/>
    <mergeCell ref="B1911:I1911"/>
    <mergeCell ref="B1912:I1912"/>
    <mergeCell ref="B1913:I1913"/>
    <mergeCell ref="B1914:I1914"/>
    <mergeCell ref="B1915:I1915"/>
    <mergeCell ref="B1916:I1916"/>
    <mergeCell ref="B1887:G1892"/>
    <mergeCell ref="B1853:E1853"/>
    <mergeCell ref="B1854:I1854"/>
    <mergeCell ref="B1855:I1855"/>
    <mergeCell ref="B1856:I1856"/>
    <mergeCell ref="B1857:I1857"/>
    <mergeCell ref="B1858:I1858"/>
    <mergeCell ref="B1859:I1859"/>
    <mergeCell ref="B1860:I1860"/>
    <mergeCell ref="B1861:I1861"/>
    <mergeCell ref="J1978:L1978"/>
    <mergeCell ref="C1986:L1986"/>
    <mergeCell ref="C1987:L1987"/>
    <mergeCell ref="L1988:N1988"/>
    <mergeCell ref="B1995:B1996"/>
    <mergeCell ref="C1995:C1996"/>
    <mergeCell ref="D1995:D1996"/>
    <mergeCell ref="E1995:E1996"/>
    <mergeCell ref="F1995:F1996"/>
    <mergeCell ref="B1969:I1969"/>
    <mergeCell ref="B1970:I1970"/>
    <mergeCell ref="B1971:I1971"/>
    <mergeCell ref="B1963:E1963"/>
    <mergeCell ref="B1964:I1964"/>
    <mergeCell ref="B1965:I1965"/>
    <mergeCell ref="B1966:I1966"/>
    <mergeCell ref="B1967:I1967"/>
    <mergeCell ref="B1968:I1968"/>
    <mergeCell ref="G1995:G1996"/>
    <mergeCell ref="H1995:H1996"/>
    <mergeCell ref="I1995:L1995"/>
    <mergeCell ref="M1995:M1996"/>
    <mergeCell ref="N1995:N1996"/>
    <mergeCell ref="C2096:L2096"/>
    <mergeCell ref="C2097:L2097"/>
    <mergeCell ref="L2098:N2098"/>
    <mergeCell ref="M2105:M2106"/>
    <mergeCell ref="N2105:N2106"/>
    <mergeCell ref="B2074:I2074"/>
    <mergeCell ref="B2075:I2075"/>
    <mergeCell ref="B2076:I2076"/>
    <mergeCell ref="B2077:I2077"/>
    <mergeCell ref="B2078:I2078"/>
    <mergeCell ref="B2079:I2079"/>
    <mergeCell ref="J2033:L2033"/>
    <mergeCell ref="C2041:L2041"/>
    <mergeCell ref="C2042:L2042"/>
    <mergeCell ref="L2043:N2043"/>
    <mergeCell ref="B2050:B2051"/>
    <mergeCell ref="C2050:C2051"/>
    <mergeCell ref="D2050:D2051"/>
    <mergeCell ref="E2050:E2051"/>
    <mergeCell ref="F2050:F2051"/>
    <mergeCell ref="G2050:G2051"/>
    <mergeCell ref="H2050:H2051"/>
    <mergeCell ref="I2050:L2050"/>
    <mergeCell ref="M2050:M2051"/>
    <mergeCell ref="N2050:N2051"/>
    <mergeCell ref="B2052:G2057"/>
    <mergeCell ref="B2073:E2073"/>
    <mergeCell ref="B2081:I2081"/>
    <mergeCell ref="J2088:L2088"/>
    <mergeCell ref="B2132:I2132"/>
    <mergeCell ref="B2133:I2133"/>
    <mergeCell ref="B2134:I2134"/>
    <mergeCell ref="B2135:I2135"/>
    <mergeCell ref="B2136:I2136"/>
    <mergeCell ref="J2143:L2143"/>
    <mergeCell ref="C2151:L2151"/>
    <mergeCell ref="C2152:L2152"/>
    <mergeCell ref="L2153:N2153"/>
    <mergeCell ref="B2129:I2129"/>
    <mergeCell ref="B2130:I2130"/>
    <mergeCell ref="B2131:I2131"/>
    <mergeCell ref="B2105:B2106"/>
    <mergeCell ref="C2105:C2106"/>
    <mergeCell ref="D2105:D2106"/>
    <mergeCell ref="E2105:E2106"/>
    <mergeCell ref="F2105:F2106"/>
    <mergeCell ref="G2105:G2106"/>
    <mergeCell ref="H2105:H2106"/>
    <mergeCell ref="I2105:L2105"/>
    <mergeCell ref="B2107:G2112"/>
    <mergeCell ref="B2128:E2128"/>
    <mergeCell ref="B2244:I2244"/>
    <mergeCell ref="B2245:I2245"/>
    <mergeCell ref="B2246:I2246"/>
    <mergeCell ref="J2253:L2253"/>
    <mergeCell ref="C2261:L2261"/>
    <mergeCell ref="B2215:B2216"/>
    <mergeCell ref="C2215:C2216"/>
    <mergeCell ref="D2215:D2216"/>
    <mergeCell ref="E2215:E2216"/>
    <mergeCell ref="F2215:F2216"/>
    <mergeCell ref="G2215:G2216"/>
    <mergeCell ref="H2215:H2216"/>
    <mergeCell ref="I2215:L2215"/>
    <mergeCell ref="B2184:I2184"/>
    <mergeCell ref="B2190:I2190"/>
    <mergeCell ref="B2191:I2191"/>
    <mergeCell ref="J2198:L2198"/>
    <mergeCell ref="C2206:L2206"/>
    <mergeCell ref="C2207:L2207"/>
    <mergeCell ref="L2208:N2208"/>
    <mergeCell ref="B2241:I2241"/>
    <mergeCell ref="B2242:I2242"/>
    <mergeCell ref="B2243:I2243"/>
    <mergeCell ref="B2294:I2294"/>
    <mergeCell ref="B2295:I2295"/>
    <mergeCell ref="B2296:I2296"/>
    <mergeCell ref="B2297:I2297"/>
    <mergeCell ref="B2298:I2298"/>
    <mergeCell ref="B2299:I2299"/>
    <mergeCell ref="B2300:I2300"/>
    <mergeCell ref="B2301:I2301"/>
    <mergeCell ref="C2262:L2262"/>
    <mergeCell ref="L2263:N2263"/>
    <mergeCell ref="B2270:B2271"/>
    <mergeCell ref="C2270:C2271"/>
    <mergeCell ref="D2270:D2271"/>
    <mergeCell ref="E2270:E2271"/>
    <mergeCell ref="F2270:F2271"/>
    <mergeCell ref="G2270:G2271"/>
    <mergeCell ref="H2270:H2271"/>
    <mergeCell ref="I2270:L2270"/>
    <mergeCell ref="M2270:M2271"/>
    <mergeCell ref="N2270:N2271"/>
    <mergeCell ref="B2272:G2277"/>
    <mergeCell ref="B2403:E2403"/>
    <mergeCell ref="B2404:I2404"/>
    <mergeCell ref="B2405:I2405"/>
    <mergeCell ref="B2406:I2406"/>
    <mergeCell ref="B2407:I2407"/>
    <mergeCell ref="B2408:I2408"/>
    <mergeCell ref="B2409:I2409"/>
    <mergeCell ref="B2410:I2410"/>
    <mergeCell ref="B2411:I2411"/>
    <mergeCell ref="B2382:G2387"/>
    <mergeCell ref="B2348:E2348"/>
    <mergeCell ref="B2349:I2349"/>
    <mergeCell ref="B2350:I2350"/>
    <mergeCell ref="B2351:I2351"/>
    <mergeCell ref="B2352:I2352"/>
    <mergeCell ref="B2353:I2353"/>
    <mergeCell ref="B2354:I2354"/>
    <mergeCell ref="B2355:I2355"/>
    <mergeCell ref="B2356:I2356"/>
    <mergeCell ref="B2492:G2497"/>
    <mergeCell ref="B2513:E2513"/>
    <mergeCell ref="B2514:I2514"/>
    <mergeCell ref="B2515:I2515"/>
    <mergeCell ref="B2516:I2516"/>
    <mergeCell ref="B2517:I2517"/>
    <mergeCell ref="B2518:I2518"/>
    <mergeCell ref="B2519:I2519"/>
    <mergeCell ref="B2520:I2520"/>
    <mergeCell ref="B2458:E2458"/>
    <mergeCell ref="B2459:I2459"/>
    <mergeCell ref="B2460:I2460"/>
    <mergeCell ref="B2461:I2461"/>
    <mergeCell ref="B2462:I2462"/>
    <mergeCell ref="B2463:I2463"/>
    <mergeCell ref="B2464:I2464"/>
    <mergeCell ref="B2465:I2465"/>
    <mergeCell ref="B2466:I2466"/>
    <mergeCell ref="B2626:I2626"/>
    <mergeCell ref="B2627:I2627"/>
    <mergeCell ref="B2628:I2628"/>
    <mergeCell ref="B2629:I2629"/>
    <mergeCell ref="B2630:I2630"/>
    <mergeCell ref="B2631:I2631"/>
    <mergeCell ref="B2602:G2607"/>
    <mergeCell ref="B2623:E2623"/>
    <mergeCell ref="B2624:I2624"/>
    <mergeCell ref="B2625:I2625"/>
    <mergeCell ref="B2574:I2574"/>
    <mergeCell ref="B2575:I2575"/>
    <mergeCell ref="B2576:I2576"/>
    <mergeCell ref="B2547:G2552"/>
    <mergeCell ref="B2568:E2568"/>
    <mergeCell ref="B2569:I2569"/>
    <mergeCell ref="B2570:I2570"/>
    <mergeCell ref="B2571:I2571"/>
    <mergeCell ref="B2572:I2572"/>
    <mergeCell ref="B2573:I2573"/>
    <mergeCell ref="B2736:I2736"/>
    <mergeCell ref="B2737:I2737"/>
    <mergeCell ref="B2738:I2738"/>
    <mergeCell ref="B2739:I2739"/>
    <mergeCell ref="B2740:I2740"/>
    <mergeCell ref="B2741:I2741"/>
    <mergeCell ref="B2712:G2717"/>
    <mergeCell ref="B2678:E2678"/>
    <mergeCell ref="B2679:I2679"/>
    <mergeCell ref="B2680:I2680"/>
    <mergeCell ref="B2681:I2681"/>
    <mergeCell ref="B2682:I2682"/>
    <mergeCell ref="B2683:I2683"/>
    <mergeCell ref="B2684:I2684"/>
    <mergeCell ref="B2685:I2685"/>
    <mergeCell ref="B2686:I2686"/>
    <mergeCell ref="B2657:G2662"/>
    <mergeCell ref="J218:L218"/>
    <mergeCell ref="C226:L226"/>
    <mergeCell ref="C227:L227"/>
    <mergeCell ref="L228:N228"/>
    <mergeCell ref="B235:B236"/>
    <mergeCell ref="C235:C236"/>
    <mergeCell ref="D235:D236"/>
    <mergeCell ref="E235:E236"/>
    <mergeCell ref="F235:F236"/>
    <mergeCell ref="G235:G236"/>
    <mergeCell ref="H235:H236"/>
    <mergeCell ref="I235:L235"/>
    <mergeCell ref="M235:M236"/>
    <mergeCell ref="N235:N236"/>
    <mergeCell ref="C171:L171"/>
    <mergeCell ref="L173:N173"/>
    <mergeCell ref="B180:B181"/>
    <mergeCell ref="C180:C181"/>
    <mergeCell ref="D180:D181"/>
    <mergeCell ref="E180:E181"/>
    <mergeCell ref="F180:F181"/>
    <mergeCell ref="G180:G181"/>
    <mergeCell ref="H180:H181"/>
    <mergeCell ref="I180:L180"/>
    <mergeCell ref="M180:M181"/>
    <mergeCell ref="N180:N181"/>
    <mergeCell ref="J328:L328"/>
    <mergeCell ref="C336:L336"/>
    <mergeCell ref="C337:L337"/>
    <mergeCell ref="L338:N338"/>
    <mergeCell ref="B345:B346"/>
    <mergeCell ref="C345:C346"/>
    <mergeCell ref="D345:D346"/>
    <mergeCell ref="E345:E346"/>
    <mergeCell ref="F345:F346"/>
    <mergeCell ref="G345:G346"/>
    <mergeCell ref="H345:H346"/>
    <mergeCell ref="I345:L345"/>
    <mergeCell ref="M345:M346"/>
    <mergeCell ref="N345:N346"/>
    <mergeCell ref="B266:I266"/>
    <mergeCell ref="J273:L273"/>
    <mergeCell ref="C281:L281"/>
    <mergeCell ref="C282:L282"/>
    <mergeCell ref="L283:N283"/>
    <mergeCell ref="B290:B291"/>
    <mergeCell ref="C290:C291"/>
    <mergeCell ref="D290:D291"/>
    <mergeCell ref="E290:E291"/>
    <mergeCell ref="F290:F291"/>
    <mergeCell ref="G290:G291"/>
    <mergeCell ref="H290:H291"/>
    <mergeCell ref="I290:L290"/>
    <mergeCell ref="M290:M291"/>
    <mergeCell ref="N290:N291"/>
    <mergeCell ref="J438:L438"/>
    <mergeCell ref="C446:L446"/>
    <mergeCell ref="C447:L447"/>
    <mergeCell ref="L448:N448"/>
    <mergeCell ref="B455:B456"/>
    <mergeCell ref="C455:C456"/>
    <mergeCell ref="D455:D456"/>
    <mergeCell ref="E455:E456"/>
    <mergeCell ref="F455:F456"/>
    <mergeCell ref="G455:G456"/>
    <mergeCell ref="H455:H456"/>
    <mergeCell ref="I455:L455"/>
    <mergeCell ref="M455:M456"/>
    <mergeCell ref="N455:N456"/>
    <mergeCell ref="J383:L383"/>
    <mergeCell ref="C391:L391"/>
    <mergeCell ref="C392:L392"/>
    <mergeCell ref="L393:N393"/>
    <mergeCell ref="B400:B401"/>
    <mergeCell ref="C400:C401"/>
    <mergeCell ref="D400:D401"/>
    <mergeCell ref="E400:E401"/>
    <mergeCell ref="F400:F401"/>
    <mergeCell ref="G400:G401"/>
    <mergeCell ref="H400:H401"/>
    <mergeCell ref="I400:L400"/>
    <mergeCell ref="M400:M401"/>
    <mergeCell ref="N400:N401"/>
    <mergeCell ref="B430:I430"/>
    <mergeCell ref="B431:I431"/>
    <mergeCell ref="J548:L548"/>
    <mergeCell ref="C556:L556"/>
    <mergeCell ref="C557:L557"/>
    <mergeCell ref="L558:N558"/>
    <mergeCell ref="B565:B566"/>
    <mergeCell ref="C565:C566"/>
    <mergeCell ref="D565:D566"/>
    <mergeCell ref="E565:E566"/>
    <mergeCell ref="F565:F566"/>
    <mergeCell ref="G565:G566"/>
    <mergeCell ref="H565:H566"/>
    <mergeCell ref="I565:L565"/>
    <mergeCell ref="M565:M566"/>
    <mergeCell ref="N565:N566"/>
    <mergeCell ref="J493:L493"/>
    <mergeCell ref="C501:L501"/>
    <mergeCell ref="C502:L502"/>
    <mergeCell ref="L503:N503"/>
    <mergeCell ref="B510:B511"/>
    <mergeCell ref="C510:C511"/>
    <mergeCell ref="D510:D511"/>
    <mergeCell ref="E510:E511"/>
    <mergeCell ref="F510:F511"/>
    <mergeCell ref="G510:G511"/>
    <mergeCell ref="H510:H511"/>
    <mergeCell ref="I510:L510"/>
    <mergeCell ref="M510:M511"/>
    <mergeCell ref="N510:N511"/>
    <mergeCell ref="B539:I539"/>
    <mergeCell ref="B540:I540"/>
    <mergeCell ref="B541:I541"/>
    <mergeCell ref="J658:L658"/>
    <mergeCell ref="C666:L666"/>
    <mergeCell ref="C667:L667"/>
    <mergeCell ref="L668:N668"/>
    <mergeCell ref="B675:B676"/>
    <mergeCell ref="C675:C676"/>
    <mergeCell ref="D675:D676"/>
    <mergeCell ref="E675:E676"/>
    <mergeCell ref="F675:F676"/>
    <mergeCell ref="G675:G676"/>
    <mergeCell ref="H675:H676"/>
    <mergeCell ref="I675:L675"/>
    <mergeCell ref="M675:M676"/>
    <mergeCell ref="N675:N676"/>
    <mergeCell ref="J603:L603"/>
    <mergeCell ref="C611:L611"/>
    <mergeCell ref="C612:L612"/>
    <mergeCell ref="L613:N613"/>
    <mergeCell ref="B620:B621"/>
    <mergeCell ref="C620:C621"/>
    <mergeCell ref="D620:D621"/>
    <mergeCell ref="E620:E621"/>
    <mergeCell ref="F620:F621"/>
    <mergeCell ref="G620:G621"/>
    <mergeCell ref="H620:H621"/>
    <mergeCell ref="I620:L620"/>
    <mergeCell ref="M620:M621"/>
    <mergeCell ref="N620:N621"/>
    <mergeCell ref="B649:I649"/>
    <mergeCell ref="B650:I650"/>
    <mergeCell ref="B651:I651"/>
    <mergeCell ref="J768:L768"/>
    <mergeCell ref="C776:L776"/>
    <mergeCell ref="C777:L777"/>
    <mergeCell ref="L778:N778"/>
    <mergeCell ref="B785:B786"/>
    <mergeCell ref="C785:C786"/>
    <mergeCell ref="D785:D786"/>
    <mergeCell ref="E785:E786"/>
    <mergeCell ref="F785:F786"/>
    <mergeCell ref="G785:G786"/>
    <mergeCell ref="H785:H786"/>
    <mergeCell ref="I785:L785"/>
    <mergeCell ref="M785:M786"/>
    <mergeCell ref="N785:N786"/>
    <mergeCell ref="J713:L713"/>
    <mergeCell ref="C721:L721"/>
    <mergeCell ref="C722:L722"/>
    <mergeCell ref="L723:N723"/>
    <mergeCell ref="B730:B731"/>
    <mergeCell ref="C730:C731"/>
    <mergeCell ref="D730:D731"/>
    <mergeCell ref="E730:E731"/>
    <mergeCell ref="F730:F731"/>
    <mergeCell ref="G730:G731"/>
    <mergeCell ref="H730:H731"/>
    <mergeCell ref="I730:L730"/>
    <mergeCell ref="M730:M731"/>
    <mergeCell ref="N730:N731"/>
    <mergeCell ref="B759:I759"/>
    <mergeCell ref="B760:I760"/>
    <mergeCell ref="B761:I761"/>
    <mergeCell ref="J878:L878"/>
    <mergeCell ref="C886:L886"/>
    <mergeCell ref="C887:L887"/>
    <mergeCell ref="L888:N888"/>
    <mergeCell ref="B895:B896"/>
    <mergeCell ref="C895:C896"/>
    <mergeCell ref="D895:D896"/>
    <mergeCell ref="E895:E896"/>
    <mergeCell ref="F895:F896"/>
    <mergeCell ref="G895:G896"/>
    <mergeCell ref="H895:H896"/>
    <mergeCell ref="I895:L895"/>
    <mergeCell ref="M895:M896"/>
    <mergeCell ref="N895:N896"/>
    <mergeCell ref="J823:L823"/>
    <mergeCell ref="C831:L831"/>
    <mergeCell ref="C832:L832"/>
    <mergeCell ref="L833:N833"/>
    <mergeCell ref="B840:B841"/>
    <mergeCell ref="C840:C841"/>
    <mergeCell ref="D840:D841"/>
    <mergeCell ref="E840:E841"/>
    <mergeCell ref="F840:F841"/>
    <mergeCell ref="G840:G841"/>
    <mergeCell ref="H840:H841"/>
    <mergeCell ref="I840:L840"/>
    <mergeCell ref="M840:M841"/>
    <mergeCell ref="N840:N841"/>
    <mergeCell ref="B869:I869"/>
    <mergeCell ref="B870:I870"/>
    <mergeCell ref="B871:I871"/>
    <mergeCell ref="J988:L988"/>
    <mergeCell ref="C996:L996"/>
    <mergeCell ref="C997:L997"/>
    <mergeCell ref="L998:N998"/>
    <mergeCell ref="B1005:B1006"/>
    <mergeCell ref="C1005:C1006"/>
    <mergeCell ref="D1005:D1006"/>
    <mergeCell ref="E1005:E1006"/>
    <mergeCell ref="F1005:F1006"/>
    <mergeCell ref="G1005:G1006"/>
    <mergeCell ref="H1005:H1006"/>
    <mergeCell ref="I1005:L1005"/>
    <mergeCell ref="M1005:M1006"/>
    <mergeCell ref="N1005:N1006"/>
    <mergeCell ref="J933:L933"/>
    <mergeCell ref="C941:L941"/>
    <mergeCell ref="C942:L942"/>
    <mergeCell ref="L943:N943"/>
    <mergeCell ref="B950:B951"/>
    <mergeCell ref="C950:C951"/>
    <mergeCell ref="D950:D951"/>
    <mergeCell ref="E950:E951"/>
    <mergeCell ref="F950:F951"/>
    <mergeCell ref="G950:G951"/>
    <mergeCell ref="H950:H951"/>
    <mergeCell ref="I950:L950"/>
    <mergeCell ref="M950:M951"/>
    <mergeCell ref="N950:N951"/>
    <mergeCell ref="B979:I979"/>
    <mergeCell ref="B980:I980"/>
    <mergeCell ref="B981:I981"/>
    <mergeCell ref="B1117:G1122"/>
    <mergeCell ref="B1138:E1138"/>
    <mergeCell ref="B1146:I1146"/>
    <mergeCell ref="J1153:L1153"/>
    <mergeCell ref="G1060:G1061"/>
    <mergeCell ref="H1060:H1061"/>
    <mergeCell ref="I1060:L1060"/>
    <mergeCell ref="M1060:M1061"/>
    <mergeCell ref="N1060:N1061"/>
    <mergeCell ref="B1062:G1067"/>
    <mergeCell ref="B1083:E1083"/>
    <mergeCell ref="B1084:I1084"/>
    <mergeCell ref="B1085:I1085"/>
    <mergeCell ref="B1086:I1086"/>
    <mergeCell ref="B1087:I1087"/>
    <mergeCell ref="B1088:I1088"/>
    <mergeCell ref="B1089:I1089"/>
    <mergeCell ref="B1090:I1090"/>
    <mergeCell ref="B1091:I1091"/>
    <mergeCell ref="J1098:L1098"/>
    <mergeCell ref="C1106:L1106"/>
    <mergeCell ref="C1107:L1107"/>
    <mergeCell ref="L1108:N1108"/>
    <mergeCell ref="B1115:B1116"/>
    <mergeCell ref="C1115:C1116"/>
    <mergeCell ref="D1115:D1116"/>
    <mergeCell ref="E1115:E1116"/>
    <mergeCell ref="M1225:M1226"/>
    <mergeCell ref="N1225:N1226"/>
    <mergeCell ref="B1227:G1232"/>
    <mergeCell ref="B1248:E1248"/>
    <mergeCell ref="B1250:I1250"/>
    <mergeCell ref="B1251:I1251"/>
    <mergeCell ref="B1252:I1252"/>
    <mergeCell ref="B1253:I1253"/>
    <mergeCell ref="B1254:I1254"/>
    <mergeCell ref="I1170:L1170"/>
    <mergeCell ref="M1170:M1171"/>
    <mergeCell ref="N1170:N1171"/>
    <mergeCell ref="B1172:G1177"/>
    <mergeCell ref="B1193:E1193"/>
    <mergeCell ref="B1198:I1198"/>
    <mergeCell ref="B1199:I1199"/>
    <mergeCell ref="B1200:I1200"/>
    <mergeCell ref="B1201:I1201"/>
    <mergeCell ref="B1194:I1194"/>
    <mergeCell ref="B1195:I1195"/>
    <mergeCell ref="B1196:I1196"/>
    <mergeCell ref="B1197:I1197"/>
    <mergeCell ref="J1208:L1208"/>
    <mergeCell ref="C1216:L1216"/>
    <mergeCell ref="C1217:L1217"/>
    <mergeCell ref="L1218:N1218"/>
    <mergeCell ref="B1225:B1226"/>
    <mergeCell ref="C1225:C1226"/>
    <mergeCell ref="D1225:D1226"/>
    <mergeCell ref="E1225:E1226"/>
    <mergeCell ref="F1225:F1226"/>
    <mergeCell ref="G1225:G1226"/>
    <mergeCell ref="C1326:L1326"/>
    <mergeCell ref="C1327:L1327"/>
    <mergeCell ref="L1328:N1328"/>
    <mergeCell ref="B1335:B1336"/>
    <mergeCell ref="C1335:C1336"/>
    <mergeCell ref="D1335:D1336"/>
    <mergeCell ref="E1335:E1336"/>
    <mergeCell ref="F1335:F1336"/>
    <mergeCell ref="G1335:G1336"/>
    <mergeCell ref="H1335:H1336"/>
    <mergeCell ref="I1335:L1335"/>
    <mergeCell ref="M1335:M1336"/>
    <mergeCell ref="N1335:N1336"/>
    <mergeCell ref="B1304:I1304"/>
    <mergeCell ref="B1305:I1305"/>
    <mergeCell ref="B1306:I1306"/>
    <mergeCell ref="B1307:I1307"/>
    <mergeCell ref="B1308:I1308"/>
    <mergeCell ref="B1309:I1309"/>
    <mergeCell ref="B1310:I1310"/>
    <mergeCell ref="B1311:I1311"/>
    <mergeCell ref="J1318:L1318"/>
    <mergeCell ref="B1366:I1366"/>
    <mergeCell ref="J1373:L1373"/>
    <mergeCell ref="C1381:L1381"/>
    <mergeCell ref="C1382:L1382"/>
    <mergeCell ref="L1383:N1383"/>
    <mergeCell ref="B1390:B1391"/>
    <mergeCell ref="C1390:C1391"/>
    <mergeCell ref="D1390:D1391"/>
    <mergeCell ref="E1390:E1391"/>
    <mergeCell ref="F1390:F1391"/>
    <mergeCell ref="G1390:G1391"/>
    <mergeCell ref="H1390:H1391"/>
    <mergeCell ref="I1390:L1390"/>
    <mergeCell ref="M1390:M1391"/>
    <mergeCell ref="N1390:N1391"/>
    <mergeCell ref="B1337:G1342"/>
    <mergeCell ref="B1358:E1358"/>
    <mergeCell ref="B1359:I1359"/>
    <mergeCell ref="B1360:I1360"/>
    <mergeCell ref="B1361:I1361"/>
    <mergeCell ref="B1362:I1362"/>
    <mergeCell ref="B1363:I1363"/>
    <mergeCell ref="B1364:I1364"/>
    <mergeCell ref="B1365:I1365"/>
    <mergeCell ref="J1483:L1483"/>
    <mergeCell ref="C1491:L1491"/>
    <mergeCell ref="C1492:L1492"/>
    <mergeCell ref="L1493:N1493"/>
    <mergeCell ref="B1500:B1501"/>
    <mergeCell ref="C1500:C1501"/>
    <mergeCell ref="D1500:D1501"/>
    <mergeCell ref="E1500:E1501"/>
    <mergeCell ref="F1500:F1501"/>
    <mergeCell ref="G1500:G1501"/>
    <mergeCell ref="H1500:H1501"/>
    <mergeCell ref="I1500:L1500"/>
    <mergeCell ref="M1500:M1501"/>
    <mergeCell ref="N1500:N1501"/>
    <mergeCell ref="J1428:L1428"/>
    <mergeCell ref="C1436:L1436"/>
    <mergeCell ref="C1437:L1437"/>
    <mergeCell ref="L1438:N1438"/>
    <mergeCell ref="B1445:B1446"/>
    <mergeCell ref="C1445:C1446"/>
    <mergeCell ref="D1445:D1446"/>
    <mergeCell ref="E1445:E1446"/>
    <mergeCell ref="F1445:F1446"/>
    <mergeCell ref="G1445:G1446"/>
    <mergeCell ref="H1445:H1446"/>
    <mergeCell ref="I1445:L1445"/>
    <mergeCell ref="M1445:M1446"/>
    <mergeCell ref="N1445:N1446"/>
    <mergeCell ref="B1447:G1452"/>
    <mergeCell ref="J1593:L1593"/>
    <mergeCell ref="C1601:L1601"/>
    <mergeCell ref="C1602:L1602"/>
    <mergeCell ref="L1603:N1603"/>
    <mergeCell ref="B1610:B1611"/>
    <mergeCell ref="C1610:C1611"/>
    <mergeCell ref="D1610:D1611"/>
    <mergeCell ref="E1610:E1611"/>
    <mergeCell ref="F1610:F1611"/>
    <mergeCell ref="G1610:G1611"/>
    <mergeCell ref="H1610:H1611"/>
    <mergeCell ref="I1610:L1610"/>
    <mergeCell ref="M1610:M1611"/>
    <mergeCell ref="N1610:N1611"/>
    <mergeCell ref="J1538:L1538"/>
    <mergeCell ref="C1546:L1546"/>
    <mergeCell ref="C1547:L1547"/>
    <mergeCell ref="L1548:N1548"/>
    <mergeCell ref="B1555:B1556"/>
    <mergeCell ref="C1555:C1556"/>
    <mergeCell ref="D1555:D1556"/>
    <mergeCell ref="E1555:E1556"/>
    <mergeCell ref="F1555:F1556"/>
    <mergeCell ref="G1555:G1556"/>
    <mergeCell ref="H1555:H1556"/>
    <mergeCell ref="I1555:L1555"/>
    <mergeCell ref="M1555:M1556"/>
    <mergeCell ref="N1555:N1556"/>
    <mergeCell ref="B1586:I1586"/>
    <mergeCell ref="B1557:G1562"/>
    <mergeCell ref="B1578:E1578"/>
    <mergeCell ref="B1579:I1579"/>
    <mergeCell ref="J1703:L1703"/>
    <mergeCell ref="C1711:L1711"/>
    <mergeCell ref="C1712:L1712"/>
    <mergeCell ref="L1713:N1713"/>
    <mergeCell ref="B1720:B1721"/>
    <mergeCell ref="C1720:C1721"/>
    <mergeCell ref="D1720:D1721"/>
    <mergeCell ref="E1720:E1721"/>
    <mergeCell ref="F1720:F1721"/>
    <mergeCell ref="G1720:G1721"/>
    <mergeCell ref="H1720:H1721"/>
    <mergeCell ref="I1720:L1720"/>
    <mergeCell ref="M1720:M1721"/>
    <mergeCell ref="N1720:N1721"/>
    <mergeCell ref="J1648:L1648"/>
    <mergeCell ref="C1656:L1656"/>
    <mergeCell ref="C1657:L1657"/>
    <mergeCell ref="L1658:N1658"/>
    <mergeCell ref="B1665:B1666"/>
    <mergeCell ref="C1665:C1666"/>
    <mergeCell ref="D1665:D1666"/>
    <mergeCell ref="E1665:E1666"/>
    <mergeCell ref="F1665:F1666"/>
    <mergeCell ref="G1665:G1666"/>
    <mergeCell ref="H1665:H1666"/>
    <mergeCell ref="I1665:L1665"/>
    <mergeCell ref="M1665:M1666"/>
    <mergeCell ref="N1665:N1666"/>
    <mergeCell ref="J1813:L1813"/>
    <mergeCell ref="C1821:L1821"/>
    <mergeCell ref="C1822:L1822"/>
    <mergeCell ref="L1823:N1823"/>
    <mergeCell ref="B1830:B1831"/>
    <mergeCell ref="C1830:C1831"/>
    <mergeCell ref="D1830:D1831"/>
    <mergeCell ref="E1830:E1831"/>
    <mergeCell ref="F1830:F1831"/>
    <mergeCell ref="G1830:G1831"/>
    <mergeCell ref="H1830:H1831"/>
    <mergeCell ref="I1830:L1830"/>
    <mergeCell ref="M1830:M1831"/>
    <mergeCell ref="N1830:N1831"/>
    <mergeCell ref="J1758:L1758"/>
    <mergeCell ref="C1766:L1766"/>
    <mergeCell ref="C1767:L1767"/>
    <mergeCell ref="L1768:N1768"/>
    <mergeCell ref="B1775:B1776"/>
    <mergeCell ref="C1775:C1776"/>
    <mergeCell ref="D1775:D1776"/>
    <mergeCell ref="E1775:E1776"/>
    <mergeCell ref="F1775:F1776"/>
    <mergeCell ref="G1775:G1776"/>
    <mergeCell ref="H1775:H1776"/>
    <mergeCell ref="I1775:L1775"/>
    <mergeCell ref="M1775:M1776"/>
    <mergeCell ref="N1775:N1776"/>
    <mergeCell ref="J1923:L1923"/>
    <mergeCell ref="C1931:L1931"/>
    <mergeCell ref="C1932:L1932"/>
    <mergeCell ref="L1933:N1933"/>
    <mergeCell ref="B1940:B1941"/>
    <mergeCell ref="C1940:C1941"/>
    <mergeCell ref="D1940:D1941"/>
    <mergeCell ref="E1940:E1941"/>
    <mergeCell ref="F1940:F1941"/>
    <mergeCell ref="G1940:G1941"/>
    <mergeCell ref="H1940:H1941"/>
    <mergeCell ref="I1940:L1940"/>
    <mergeCell ref="M1940:M1941"/>
    <mergeCell ref="N1940:N1941"/>
    <mergeCell ref="J1868:L1868"/>
    <mergeCell ref="C1876:L1876"/>
    <mergeCell ref="C1877:L1877"/>
    <mergeCell ref="L1878:N1878"/>
    <mergeCell ref="B1885:B1886"/>
    <mergeCell ref="C1885:C1886"/>
    <mergeCell ref="D1885:D1886"/>
    <mergeCell ref="E1885:E1886"/>
    <mergeCell ref="F1885:F1886"/>
    <mergeCell ref="G1885:G1886"/>
    <mergeCell ref="H1885:H1886"/>
    <mergeCell ref="I1885:L1885"/>
    <mergeCell ref="M1885:M1886"/>
    <mergeCell ref="N1885:N1886"/>
    <mergeCell ref="B1997:G2002"/>
    <mergeCell ref="B2018:E2018"/>
    <mergeCell ref="B2019:I2019"/>
    <mergeCell ref="B2020:I2020"/>
    <mergeCell ref="B2080:I2080"/>
    <mergeCell ref="B2021:I2021"/>
    <mergeCell ref="B2022:I2022"/>
    <mergeCell ref="B2023:I2023"/>
    <mergeCell ref="B2024:I2024"/>
    <mergeCell ref="B2025:I2025"/>
    <mergeCell ref="B2026:I2026"/>
    <mergeCell ref="M2215:M2216"/>
    <mergeCell ref="N2215:N2216"/>
    <mergeCell ref="B2217:G2222"/>
    <mergeCell ref="B2238:E2238"/>
    <mergeCell ref="B2239:I2239"/>
    <mergeCell ref="B2240:I2240"/>
    <mergeCell ref="M2160:M2161"/>
    <mergeCell ref="N2160:N2161"/>
    <mergeCell ref="B2162:G2167"/>
    <mergeCell ref="B2183:E2183"/>
    <mergeCell ref="B2185:I2185"/>
    <mergeCell ref="B2186:I2186"/>
    <mergeCell ref="B2187:I2187"/>
    <mergeCell ref="B2188:I2188"/>
    <mergeCell ref="B2189:I2189"/>
    <mergeCell ref="B2160:B2161"/>
    <mergeCell ref="C2160:C2161"/>
    <mergeCell ref="D2160:D2161"/>
    <mergeCell ref="E2160:E2161"/>
    <mergeCell ref="F2160:F2161"/>
    <mergeCell ref="G2160:G2161"/>
    <mergeCell ref="H2160:H2161"/>
    <mergeCell ref="I2160:L2160"/>
    <mergeCell ref="J2363:L2363"/>
    <mergeCell ref="C2371:L2371"/>
    <mergeCell ref="C2372:L2372"/>
    <mergeCell ref="L2373:N2373"/>
    <mergeCell ref="B2380:B2381"/>
    <mergeCell ref="C2380:C2381"/>
    <mergeCell ref="D2380:D2381"/>
    <mergeCell ref="E2380:E2381"/>
    <mergeCell ref="F2380:F2381"/>
    <mergeCell ref="G2380:G2381"/>
    <mergeCell ref="H2380:H2381"/>
    <mergeCell ref="I2380:L2380"/>
    <mergeCell ref="M2380:M2381"/>
    <mergeCell ref="N2380:N2381"/>
    <mergeCell ref="J2308:L2308"/>
    <mergeCell ref="C2316:L2316"/>
    <mergeCell ref="C2317:L2317"/>
    <mergeCell ref="L2318:N2318"/>
    <mergeCell ref="B2325:B2326"/>
    <mergeCell ref="C2325:C2326"/>
    <mergeCell ref="D2325:D2326"/>
    <mergeCell ref="E2325:E2326"/>
    <mergeCell ref="F2325:F2326"/>
    <mergeCell ref="G2325:G2326"/>
    <mergeCell ref="H2325:H2326"/>
    <mergeCell ref="I2325:L2325"/>
    <mergeCell ref="M2325:M2326"/>
    <mergeCell ref="N2325:N2326"/>
    <mergeCell ref="B2327:G2332"/>
    <mergeCell ref="B2293:E2293"/>
    <mergeCell ref="J2473:L2473"/>
    <mergeCell ref="C2481:L2481"/>
    <mergeCell ref="C2482:L2482"/>
    <mergeCell ref="L2483:N2483"/>
    <mergeCell ref="B2490:B2491"/>
    <mergeCell ref="C2490:C2491"/>
    <mergeCell ref="D2490:D2491"/>
    <mergeCell ref="E2490:E2491"/>
    <mergeCell ref="F2490:F2491"/>
    <mergeCell ref="G2490:G2491"/>
    <mergeCell ref="H2490:H2491"/>
    <mergeCell ref="I2490:L2490"/>
    <mergeCell ref="M2490:M2491"/>
    <mergeCell ref="N2490:N2491"/>
    <mergeCell ref="J2418:L2418"/>
    <mergeCell ref="C2426:L2426"/>
    <mergeCell ref="C2427:L2427"/>
    <mergeCell ref="L2428:N2428"/>
    <mergeCell ref="B2435:B2436"/>
    <mergeCell ref="C2435:C2436"/>
    <mergeCell ref="D2435:D2436"/>
    <mergeCell ref="E2435:E2436"/>
    <mergeCell ref="F2435:F2436"/>
    <mergeCell ref="G2435:G2436"/>
    <mergeCell ref="H2435:H2436"/>
    <mergeCell ref="I2435:L2435"/>
    <mergeCell ref="M2435:M2436"/>
    <mergeCell ref="N2435:N2436"/>
    <mergeCell ref="B2437:G2442"/>
    <mergeCell ref="J2583:L2583"/>
    <mergeCell ref="C2591:L2591"/>
    <mergeCell ref="C2592:L2592"/>
    <mergeCell ref="L2593:N2593"/>
    <mergeCell ref="B2600:B2601"/>
    <mergeCell ref="C2600:C2601"/>
    <mergeCell ref="D2600:D2601"/>
    <mergeCell ref="E2600:E2601"/>
    <mergeCell ref="F2600:F2601"/>
    <mergeCell ref="G2600:G2601"/>
    <mergeCell ref="H2600:H2601"/>
    <mergeCell ref="I2600:L2600"/>
    <mergeCell ref="M2600:M2601"/>
    <mergeCell ref="N2600:N2601"/>
    <mergeCell ref="B2521:I2521"/>
    <mergeCell ref="J2528:L2528"/>
    <mergeCell ref="C2536:L2536"/>
    <mergeCell ref="C2537:L2537"/>
    <mergeCell ref="L2538:N2538"/>
    <mergeCell ref="B2545:B2546"/>
    <mergeCell ref="C2545:C2546"/>
    <mergeCell ref="D2545:D2546"/>
    <mergeCell ref="E2545:E2546"/>
    <mergeCell ref="F2545:F2546"/>
    <mergeCell ref="G2545:G2546"/>
    <mergeCell ref="H2545:H2546"/>
    <mergeCell ref="I2545:L2545"/>
    <mergeCell ref="M2545:M2546"/>
    <mergeCell ref="N2545:N2546"/>
    <mergeCell ref="J2748:L2748"/>
    <mergeCell ref="J2693:L2693"/>
    <mergeCell ref="C2701:L2701"/>
    <mergeCell ref="C2702:L2702"/>
    <mergeCell ref="L2703:N2703"/>
    <mergeCell ref="B2710:B2711"/>
    <mergeCell ref="C2710:C2711"/>
    <mergeCell ref="D2710:D2711"/>
    <mergeCell ref="E2710:E2711"/>
    <mergeCell ref="F2710:F2711"/>
    <mergeCell ref="G2710:G2711"/>
    <mergeCell ref="H2710:H2711"/>
    <mergeCell ref="I2710:L2710"/>
    <mergeCell ref="M2710:M2711"/>
    <mergeCell ref="N2710:N2711"/>
    <mergeCell ref="J2638:L2638"/>
    <mergeCell ref="C2646:L2646"/>
    <mergeCell ref="C2647:L2647"/>
    <mergeCell ref="L2648:N2648"/>
    <mergeCell ref="B2655:B2656"/>
    <mergeCell ref="C2655:C2656"/>
    <mergeCell ref="D2655:D2656"/>
    <mergeCell ref="E2655:E2656"/>
    <mergeCell ref="F2655:F2656"/>
    <mergeCell ref="G2655:G2656"/>
    <mergeCell ref="H2655:H2656"/>
    <mergeCell ref="I2655:L2655"/>
    <mergeCell ref="M2655:M2656"/>
    <mergeCell ref="N2655:N2656"/>
    <mergeCell ref="B2733:E2733"/>
    <mergeCell ref="B2734:I2734"/>
    <mergeCell ref="B2735:I2735"/>
    <mergeCell ref="C2756:L2756"/>
    <mergeCell ref="C2757:L2757"/>
    <mergeCell ref="L2758:N2758"/>
    <mergeCell ref="B2765:B2766"/>
    <mergeCell ref="C2765:C2766"/>
    <mergeCell ref="D2765:D2766"/>
    <mergeCell ref="E2765:E2766"/>
    <mergeCell ref="F2765:F2766"/>
    <mergeCell ref="G2765:G2766"/>
    <mergeCell ref="H2765:H2766"/>
    <mergeCell ref="I2765:L2765"/>
    <mergeCell ref="M2765:M2766"/>
    <mergeCell ref="N2765:N2766"/>
    <mergeCell ref="B2767:G2772"/>
    <mergeCell ref="B2788:E2788"/>
    <mergeCell ref="B2789:I2789"/>
    <mergeCell ref="B2790:I2790"/>
    <mergeCell ref="B2791:I2791"/>
    <mergeCell ref="B2792:I2792"/>
    <mergeCell ref="B2793:I2793"/>
    <mergeCell ref="B2794:I2794"/>
    <mergeCell ref="B2795:I2795"/>
    <mergeCell ref="B2796:I2796"/>
    <mergeCell ref="J2803:L2803"/>
    <mergeCell ref="C2811:L2811"/>
    <mergeCell ref="C2812:L2812"/>
    <mergeCell ref="L2813:N2813"/>
    <mergeCell ref="B2820:B2821"/>
    <mergeCell ref="C2820:C2821"/>
    <mergeCell ref="D2820:D2821"/>
    <mergeCell ref="E2820:E2821"/>
    <mergeCell ref="F2820:F2821"/>
    <mergeCell ref="G2820:G2821"/>
    <mergeCell ref="H2820:H2821"/>
    <mergeCell ref="I2820:L2820"/>
    <mergeCell ref="M2820:M2821"/>
    <mergeCell ref="N2820:N2821"/>
    <mergeCell ref="B2822:G2827"/>
    <mergeCell ref="B2843:E2843"/>
    <mergeCell ref="B2844:I2844"/>
    <mergeCell ref="B2845:I2845"/>
    <mergeCell ref="B2846:I2846"/>
    <mergeCell ref="B2847:I2847"/>
    <mergeCell ref="B2848:I2848"/>
    <mergeCell ref="B2849:I2849"/>
    <mergeCell ref="B2850:I2850"/>
    <mergeCell ref="B2851:I2851"/>
    <mergeCell ref="J2858:L2858"/>
    <mergeCell ref="C2866:L2866"/>
    <mergeCell ref="C2867:L2867"/>
    <mergeCell ref="L2868:N2868"/>
    <mergeCell ref="B2875:B2876"/>
    <mergeCell ref="C2875:C2876"/>
    <mergeCell ref="D2875:D2876"/>
    <mergeCell ref="E2875:E2876"/>
    <mergeCell ref="F2875:F2876"/>
    <mergeCell ref="G2875:G2876"/>
    <mergeCell ref="H2875:H2876"/>
    <mergeCell ref="I2875:L2875"/>
    <mergeCell ref="M2875:M2876"/>
    <mergeCell ref="N2875:N2876"/>
    <mergeCell ref="B2877:G2882"/>
    <mergeCell ref="B2898:E2898"/>
    <mergeCell ref="B2899:I2899"/>
    <mergeCell ref="B2900:I2900"/>
    <mergeCell ref="B2901:I2901"/>
    <mergeCell ref="B2902:I2902"/>
    <mergeCell ref="B2903:I2903"/>
    <mergeCell ref="B2904:I2904"/>
    <mergeCell ref="B2905:I2905"/>
    <mergeCell ref="B2906:I2906"/>
    <mergeCell ref="J2913:L2913"/>
    <mergeCell ref="C2921:L2921"/>
    <mergeCell ref="C2922:L2922"/>
    <mergeCell ref="L2923:N2923"/>
    <mergeCell ref="B2930:B2931"/>
    <mergeCell ref="C2930:C2931"/>
    <mergeCell ref="D2930:D2931"/>
    <mergeCell ref="E2930:E2931"/>
    <mergeCell ref="F2930:F2931"/>
    <mergeCell ref="G2930:G2931"/>
    <mergeCell ref="H2930:H2931"/>
    <mergeCell ref="I2930:L2930"/>
    <mergeCell ref="M2930:M2931"/>
    <mergeCell ref="N2930:N2931"/>
    <mergeCell ref="I3040:L3040"/>
    <mergeCell ref="M3040:M3041"/>
    <mergeCell ref="N3040:N3041"/>
    <mergeCell ref="B2932:G2937"/>
    <mergeCell ref="B2953:E2953"/>
    <mergeCell ref="B2954:I2954"/>
    <mergeCell ref="B2955:I2955"/>
    <mergeCell ref="B2956:I2956"/>
    <mergeCell ref="B2957:I2957"/>
    <mergeCell ref="B2958:I2958"/>
    <mergeCell ref="B2959:I2959"/>
    <mergeCell ref="B2960:I2960"/>
    <mergeCell ref="B2961:I2961"/>
    <mergeCell ref="J2968:L2968"/>
    <mergeCell ref="C2976:L2976"/>
    <mergeCell ref="C2977:L2977"/>
    <mergeCell ref="L2978:N2978"/>
    <mergeCell ref="B2985:B2986"/>
    <mergeCell ref="C2985:C2986"/>
    <mergeCell ref="D2985:D2986"/>
    <mergeCell ref="E2985:E2986"/>
    <mergeCell ref="F2985:F2986"/>
    <mergeCell ref="G2985:G2986"/>
    <mergeCell ref="H2985:H2986"/>
    <mergeCell ref="I2985:L2985"/>
    <mergeCell ref="M2985:M2986"/>
    <mergeCell ref="N2985:N2986"/>
    <mergeCell ref="B3042:G3047"/>
    <mergeCell ref="B3063:E3063"/>
    <mergeCell ref="B3064:I3064"/>
    <mergeCell ref="B3065:I3065"/>
    <mergeCell ref="B3066:I3066"/>
    <mergeCell ref="B3067:I3067"/>
    <mergeCell ref="B3068:I3068"/>
    <mergeCell ref="B3069:I3069"/>
    <mergeCell ref="B3070:I3070"/>
    <mergeCell ref="B3071:I3071"/>
    <mergeCell ref="J3078:L3078"/>
    <mergeCell ref="B2987:G2992"/>
    <mergeCell ref="B3008:E3008"/>
    <mergeCell ref="B3009:I3009"/>
    <mergeCell ref="B3010:I3010"/>
    <mergeCell ref="B3011:I3011"/>
    <mergeCell ref="B3012:I3012"/>
    <mergeCell ref="B3013:I3013"/>
    <mergeCell ref="B3014:I3014"/>
    <mergeCell ref="B3015:I3015"/>
    <mergeCell ref="B3016:I3016"/>
    <mergeCell ref="J3023:L3023"/>
    <mergeCell ref="C3031:L3031"/>
    <mergeCell ref="C3032:L3032"/>
    <mergeCell ref="L3033:N3033"/>
    <mergeCell ref="B3040:B3041"/>
    <mergeCell ref="C3040:C3041"/>
    <mergeCell ref="D3040:D3041"/>
    <mergeCell ref="E3040:E3041"/>
    <mergeCell ref="F3040:F3041"/>
    <mergeCell ref="G3040:G3041"/>
    <mergeCell ref="H3040:H3041"/>
  </mergeCells>
  <pageMargins left="0.7" right="0.7" top="0.75" bottom="0.75" header="0.3" footer="0.3"/>
  <pageSetup paperSize="9" scale="7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AU2071"/>
  <sheetViews>
    <sheetView showZeros="0" tabSelected="1" view="pageBreakPreview" topLeftCell="B1" zoomScale="115" zoomScaleNormal="40" zoomScaleSheetLayoutView="115" zoomScalePageLayoutView="40" workbookViewId="0">
      <selection activeCell="D146" sqref="D146:E146"/>
    </sheetView>
  </sheetViews>
  <sheetFormatPr defaultRowHeight="15.75" outlineLevelCol="1" x14ac:dyDescent="0.25"/>
  <cols>
    <col min="1" max="1" width="8.85546875" style="3"/>
    <col min="2" max="2" width="37.28515625" style="3" customWidth="1"/>
    <col min="3" max="3" width="64.5703125" style="3" customWidth="1"/>
    <col min="4" max="4" width="27.85546875" style="3" customWidth="1"/>
    <col min="5" max="5" width="19.7109375" style="3" customWidth="1"/>
    <col min="6" max="6" width="8.85546875" style="3"/>
    <col min="7" max="7" width="16" style="3" customWidth="1"/>
    <col min="8" max="8" width="5.5703125" style="85" hidden="1" customWidth="1" outlineLevel="1"/>
    <col min="9" max="10" width="9.140625" style="39" hidden="1" customWidth="1" outlineLevel="1"/>
    <col min="11" max="11" width="9" style="39" hidden="1" customWidth="1" outlineLevel="1"/>
    <col min="12" max="12" width="26.85546875" style="39" hidden="1" customWidth="1" outlineLevel="1" collapsed="1"/>
    <col min="13" max="14" width="9.140625" style="39" hidden="1" customWidth="1" outlineLevel="1"/>
    <col min="15" max="15" width="12.85546875" style="39" hidden="1" customWidth="1" outlineLevel="1"/>
    <col min="16" max="16" width="11.28515625" style="39" hidden="1" customWidth="1" outlineLevel="1"/>
    <col min="17" max="17" width="11.140625" style="39" hidden="1" customWidth="1" outlineLevel="1"/>
    <col min="18" max="18" width="11.5703125" style="39" hidden="1" customWidth="1" outlineLevel="1"/>
    <col min="19" max="19" width="21.7109375" style="39" hidden="1" customWidth="1" outlineLevel="1"/>
    <col min="20" max="20" width="23.5703125" style="39" hidden="1" customWidth="1" outlineLevel="1"/>
    <col min="21" max="22" width="12.85546875" style="39" hidden="1" customWidth="1" outlineLevel="1"/>
    <col min="23" max="23" width="15.7109375" style="39" hidden="1" customWidth="1" outlineLevel="1"/>
    <col min="24" max="24" width="20.7109375" style="39" hidden="1" customWidth="1" outlineLevel="1"/>
    <col min="25" max="25" width="18.42578125" style="39" hidden="1" customWidth="1" outlineLevel="1"/>
    <col min="26" max="26" width="9.140625" style="39" hidden="1" customWidth="1" outlineLevel="1"/>
    <col min="27" max="28" width="9.140625" style="86" hidden="1" customWidth="1" outlineLevel="1"/>
    <col min="29" max="29" width="8.85546875" style="86" collapsed="1"/>
    <col min="30" max="47" width="8.85546875" style="86"/>
  </cols>
  <sheetData>
    <row r="2" spans="2:36" ht="60.75" x14ac:dyDescent="0.8">
      <c r="B2" s="330" t="str">
        <f>CONCATENATE("ЛОТ № ",K5)</f>
        <v>ЛОТ № 1</v>
      </c>
      <c r="C2" s="330"/>
      <c r="D2" s="330"/>
      <c r="E2" s="330"/>
      <c r="F2" s="330"/>
      <c r="G2" s="330"/>
      <c r="H2" s="330"/>
      <c r="AB2" s="122"/>
      <c r="AC2" s="122"/>
      <c r="AD2" s="122"/>
      <c r="AE2" s="122"/>
      <c r="AF2" s="122"/>
      <c r="AG2" s="122"/>
      <c r="AH2" s="122"/>
      <c r="AI2" s="122"/>
      <c r="AJ2" s="122"/>
    </row>
    <row r="3" spans="2:36" ht="64.150000000000006" customHeight="1" x14ac:dyDescent="0.45">
      <c r="B3" s="331" t="s">
        <v>492</v>
      </c>
      <c r="C3" s="331"/>
      <c r="D3" s="331"/>
      <c r="E3" s="331"/>
      <c r="F3" s="331"/>
      <c r="G3" s="331"/>
      <c r="H3" s="87"/>
      <c r="AB3" s="122"/>
      <c r="AC3" s="122"/>
      <c r="AD3" s="122"/>
      <c r="AE3" s="122"/>
      <c r="AF3" s="122"/>
      <c r="AG3" s="122"/>
      <c r="AH3" s="122"/>
      <c r="AI3" s="122"/>
      <c r="AJ3" s="122"/>
    </row>
    <row r="4" spans="2:36" ht="25.5" x14ac:dyDescent="0.25">
      <c r="B4" s="49"/>
      <c r="C4" s="59" t="s">
        <v>493</v>
      </c>
      <c r="D4" s="60"/>
      <c r="E4" s="49"/>
      <c r="F4" s="49"/>
      <c r="G4" s="48"/>
      <c r="H4" s="87"/>
      <c r="I4" s="88"/>
      <c r="J4" s="88"/>
      <c r="K4" s="88"/>
      <c r="L4" s="88" t="s">
        <v>454</v>
      </c>
      <c r="M4" s="88" t="s">
        <v>444</v>
      </c>
      <c r="N4" s="88" t="s">
        <v>445</v>
      </c>
      <c r="O4" s="88" t="s">
        <v>453</v>
      </c>
      <c r="P4" s="89" t="s">
        <v>446</v>
      </c>
      <c r="Q4" s="88" t="s">
        <v>435</v>
      </c>
      <c r="R4" s="40" t="s">
        <v>447</v>
      </c>
      <c r="S4" s="40" t="s">
        <v>522</v>
      </c>
      <c r="T4" s="88" t="s">
        <v>118</v>
      </c>
      <c r="U4" s="88" t="s">
        <v>500</v>
      </c>
      <c r="V4" s="88" t="s">
        <v>450</v>
      </c>
      <c r="W4" s="40" t="s">
        <v>448</v>
      </c>
      <c r="X4" s="40" t="s">
        <v>449</v>
      </c>
      <c r="Y4" s="88" t="s">
        <v>523</v>
      </c>
      <c r="Z4" s="88"/>
    </row>
    <row r="5" spans="2:36" ht="39.950000000000003" customHeight="1" x14ac:dyDescent="0.25">
      <c r="B5" s="50"/>
      <c r="C5" s="332" t="s">
        <v>494</v>
      </c>
      <c r="D5" s="335" t="s">
        <v>521</v>
      </c>
      <c r="E5" s="336"/>
      <c r="F5" s="336"/>
      <c r="G5" s="337"/>
      <c r="H5" s="90"/>
      <c r="I5" s="88" t="s">
        <v>443</v>
      </c>
      <c r="J5" s="88"/>
      <c r="K5" s="43">
        <f>IF(I5="","",COUNTA(I$5:I5))</f>
        <v>1</v>
      </c>
      <c r="L5" s="95" t="str">
        <f>INDEX('Ведомость расчета мин. платы'!$B$10:$T$209,MATCH(ЛОТЫ!$K5,'Ведомость расчета мин. платы'!$B$10:$B$209,0),2)</f>
        <v>Вишнево-Полянское</v>
      </c>
      <c r="M5" s="95">
        <f>INDEX('Ведомость расчета мин. платы'!$B$10:$T$209,MATCH(ЛОТЫ!$K5,'Ведомость расчета мин. платы'!$B$10:$B$209,0),3)</f>
        <v>8</v>
      </c>
      <c r="N5" s="95">
        <f>INDEX('Ведомость расчета мин. платы'!$B$10:$T$209,MATCH(ЛОТЫ!$K5,'Ведомость расчета мин. платы'!$B$10:$B$209,0),4)</f>
        <v>15</v>
      </c>
      <c r="O5" s="95">
        <f>INDEX('Ведомость расчета мин. платы'!$B$10:$T$209,MATCH(ЛОТЫ!$K5,'Ведомость расчета мин. платы'!$B$10:$B$209,0),5)</f>
        <v>1</v>
      </c>
      <c r="P5" s="89">
        <f>IFERROR(INDEX(Коэффициенты!$G$4:$O$106,MATCH(CONCATENATE($L5,"/",$M5,"/",$N5,"/",$O5),Коэффициенты!$O$4:$O$106,0),1),"")</f>
        <v>10</v>
      </c>
      <c r="Q5" s="40">
        <f>IFERROR(INDEX(Коэффициенты!$G$4:$O$106,MATCH(CONCATENATE($L5,"/",$M5,"/",$N5,"/",$O5),Коэффициенты!$O$4:$O$106,0),6),"")</f>
        <v>2618.77</v>
      </c>
      <c r="R5" s="40">
        <f>IFERROR(INDEX(Коэффициенты!$G$4:$O$106,MATCH(CONCATENATE($L5,"/",$M5,"/",$N5,"/",$O5),Коэффициенты!$O$4:$O$106,0),2),"")</f>
        <v>48968.789999999994</v>
      </c>
      <c r="S5" s="43" t="str">
        <f>IFERROR(INDEX('Такс. опис.'!$A$5:$BW$50,MATCH(CONCATENATE($L5,"/",$M5,"/",$N5),'Такс. опис.'!$C$5:$C$50,0),26),"")</f>
        <v>8ОС1Б1ЛП</v>
      </c>
      <c r="T5" s="43" t="str">
        <f>IFERROR(INDEX('Такс. опис.'!$A$5:$BW$50,MATCH(CONCATENATE($L5,"/",$M5,"/",$N5),'Такс. опис.'!$C$5:$C$50,0),47),"")</f>
        <v>Осина</v>
      </c>
      <c r="U5" s="43">
        <f>IFERROR(INDEX('Такс. опис.'!$A$5:$BW$50,MATCH(CONCATENATE($L5,"/",$M5,"/",$N5),'Такс. опис.'!$C$5:$C$50,0),49),"")</f>
        <v>60</v>
      </c>
      <c r="V5" s="103">
        <f>IFERROR(INDEX('Ведомость расчета мин. платы'!$AC$10:$AD$214,MATCH(CONCATENATE($L5,"/",$M5,"/",$N5,"/",$O5),'Ведомость расчета мин. платы'!$AC$10:$AC$214,0),2),"")</f>
        <v>2.2200000000000002</v>
      </c>
      <c r="W5" s="40">
        <f>E33</f>
        <v>1.7000000000000002</v>
      </c>
      <c r="X5" s="40">
        <f>D35</f>
        <v>83246.942999999999</v>
      </c>
      <c r="Y5" s="91">
        <f>D36</f>
        <v>31.788566006178474</v>
      </c>
      <c r="Z5" s="88"/>
      <c r="AA5" s="86">
        <f>IF(M5&gt;0,1,0)</f>
        <v>1</v>
      </c>
      <c r="AB5" s="86">
        <f>IF(N5="выд",1,0)</f>
        <v>0</v>
      </c>
    </row>
    <row r="6" spans="2:36" ht="19.899999999999999" customHeight="1" x14ac:dyDescent="0.25">
      <c r="B6" s="50"/>
      <c r="C6" s="333"/>
      <c r="D6" s="338" t="str">
        <f>CONCATENATE(L5, " участковое лесничество")</f>
        <v>Вишнево-Полянское участковое лесничество</v>
      </c>
      <c r="E6" s="338"/>
      <c r="F6" s="338"/>
      <c r="G6" s="338"/>
      <c r="H6" s="90"/>
      <c r="I6" s="88"/>
      <c r="J6" s="88">
        <f>IFERROR(IF(ISBLANK(K5),"",K5),"")</f>
        <v>1</v>
      </c>
      <c r="K6" s="88"/>
      <c r="L6" s="88"/>
      <c r="M6" s="88"/>
      <c r="N6" s="88"/>
      <c r="O6" s="88"/>
      <c r="P6" s="88"/>
      <c r="Q6" s="88"/>
      <c r="R6" s="88"/>
      <c r="S6" s="88"/>
      <c r="T6" s="88"/>
      <c r="U6" s="88"/>
      <c r="V6" s="88"/>
      <c r="W6" s="88"/>
      <c r="X6" s="88"/>
      <c r="Y6" s="88"/>
      <c r="Z6" s="88"/>
    </row>
    <row r="7" spans="2:36" ht="19.899999999999999" customHeight="1" x14ac:dyDescent="0.25">
      <c r="B7" s="50"/>
      <c r="C7" s="334"/>
      <c r="D7" s="338" t="str">
        <f>CONCATENATE("кв. ",M5," ","выд."," ",N5," ","делянка", " ",O5)</f>
        <v>кв. 8 выд. 15 делянка 1</v>
      </c>
      <c r="E7" s="338"/>
      <c r="F7" s="338"/>
      <c r="G7" s="338"/>
      <c r="H7" s="90"/>
      <c r="I7" s="88"/>
      <c r="J7" s="88"/>
      <c r="K7" s="88"/>
      <c r="L7" s="88"/>
      <c r="M7" s="88"/>
      <c r="N7" s="88"/>
      <c r="O7" s="88"/>
      <c r="P7" s="88"/>
      <c r="Q7" s="88"/>
      <c r="R7" s="88"/>
      <c r="S7" s="88"/>
      <c r="T7" s="88"/>
      <c r="U7" s="88"/>
      <c r="V7" s="88"/>
      <c r="W7" s="88"/>
      <c r="X7" s="88"/>
      <c r="Y7" s="88"/>
      <c r="Z7" s="88"/>
    </row>
    <row r="8" spans="2:36" ht="23.25" x14ac:dyDescent="0.25">
      <c r="B8" s="49"/>
      <c r="C8" s="61" t="s">
        <v>495</v>
      </c>
      <c r="D8" s="51">
        <f>P5</f>
        <v>10</v>
      </c>
      <c r="E8" s="62"/>
      <c r="F8" s="50"/>
      <c r="G8" s="48"/>
      <c r="H8" s="87"/>
    </row>
    <row r="9" spans="2:36" ht="22.5" x14ac:dyDescent="0.25">
      <c r="B9" s="49"/>
      <c r="C9" s="63" t="s">
        <v>496</v>
      </c>
      <c r="D9" s="106">
        <f>Q5</f>
        <v>2618.77</v>
      </c>
      <c r="E9" s="309" t="s">
        <v>497</v>
      </c>
      <c r="F9" s="310"/>
      <c r="G9" s="313">
        <f>D10/D9</f>
        <v>18.699156474222629</v>
      </c>
      <c r="H9" s="87"/>
    </row>
    <row r="10" spans="2:36" ht="22.5" x14ac:dyDescent="0.25">
      <c r="B10" s="49"/>
      <c r="C10" s="63" t="s">
        <v>498</v>
      </c>
      <c r="D10" s="52">
        <f>R5</f>
        <v>48968.789999999994</v>
      </c>
      <c r="E10" s="311"/>
      <c r="F10" s="312"/>
      <c r="G10" s="314"/>
      <c r="H10" s="87"/>
    </row>
    <row r="11" spans="2:36" ht="23.25" x14ac:dyDescent="0.25">
      <c r="B11" s="49"/>
      <c r="C11" s="64"/>
      <c r="D11" s="53"/>
      <c r="E11" s="65"/>
      <c r="F11" s="49"/>
      <c r="G11" s="48"/>
      <c r="H11" s="87"/>
    </row>
    <row r="12" spans="2:36" ht="23.25" x14ac:dyDescent="0.25">
      <c r="B12" s="49"/>
      <c r="C12" s="82" t="s">
        <v>499</v>
      </c>
      <c r="D12" s="96" t="str">
        <f>S5</f>
        <v>8ОС1Б1ЛП</v>
      </c>
      <c r="E12" s="49"/>
      <c r="F12" s="49"/>
      <c r="G12" s="48"/>
      <c r="H12" s="87"/>
    </row>
    <row r="13" spans="2:36" ht="23.25" x14ac:dyDescent="0.25">
      <c r="B13" s="49"/>
      <c r="C13" s="82" t="s">
        <v>500</v>
      </c>
      <c r="D13" s="96">
        <f>U5</f>
        <v>60</v>
      </c>
      <c r="E13" s="49"/>
      <c r="F13" s="49"/>
      <c r="G13" s="48"/>
      <c r="H13" s="87"/>
    </row>
    <row r="14" spans="2:36" ht="23.25" x14ac:dyDescent="0.25">
      <c r="B14" s="49"/>
      <c r="C14" s="82" t="s">
        <v>501</v>
      </c>
      <c r="D14" s="83" t="s">
        <v>502</v>
      </c>
      <c r="E14" s="49"/>
      <c r="F14" s="49"/>
      <c r="G14" s="48"/>
      <c r="H14" s="87"/>
    </row>
    <row r="15" spans="2:36" ht="24" thickBot="1" x14ac:dyDescent="0.3">
      <c r="B15" s="49"/>
      <c r="C15" s="49"/>
      <c r="D15" s="49"/>
      <c r="E15" s="49"/>
      <c r="F15" s="49"/>
      <c r="G15" s="48"/>
      <c r="H15" s="87"/>
    </row>
    <row r="16" spans="2:36" ht="67.900000000000006" customHeight="1" thickBot="1" x14ac:dyDescent="0.3">
      <c r="B16" s="315" t="s">
        <v>436</v>
      </c>
      <c r="C16" s="316"/>
      <c r="D16" s="54" t="s">
        <v>503</v>
      </c>
      <c r="E16" s="317" t="s">
        <v>504</v>
      </c>
      <c r="F16" s="318"/>
      <c r="G16" s="55" t="s">
        <v>505</v>
      </c>
      <c r="H16" s="87"/>
    </row>
    <row r="17" spans="2:35" ht="30" customHeight="1" thickBot="1" x14ac:dyDescent="0.3">
      <c r="B17" s="319" t="s">
        <v>506</v>
      </c>
      <c r="C17" s="320"/>
      <c r="D17" s="136">
        <v>197.93</v>
      </c>
      <c r="E17" s="136">
        <f>D8</f>
        <v>10</v>
      </c>
      <c r="F17" s="77" t="s">
        <v>434</v>
      </c>
      <c r="G17" s="142">
        <f t="shared" ref="G17:G24" si="0">D17*E17</f>
        <v>1979.3000000000002</v>
      </c>
      <c r="H17" s="321"/>
      <c r="L17" s="135"/>
    </row>
    <row r="18" spans="2:35" ht="45.6" customHeight="1" x14ac:dyDescent="0.25">
      <c r="B18" s="322" t="s">
        <v>507</v>
      </c>
      <c r="C18" s="323"/>
      <c r="D18" s="137">
        <v>159.44</v>
      </c>
      <c r="E18" s="137">
        <f>V5</f>
        <v>2.2200000000000002</v>
      </c>
      <c r="F18" s="78" t="s">
        <v>437</v>
      </c>
      <c r="G18" s="143">
        <f t="shared" si="0"/>
        <v>353.95680000000004</v>
      </c>
      <c r="H18" s="321"/>
      <c r="L18" s="135"/>
    </row>
    <row r="19" spans="2:35" ht="30" customHeight="1" thickBot="1" x14ac:dyDescent="0.3">
      <c r="B19" s="324" t="s">
        <v>508</v>
      </c>
      <c r="C19" s="325"/>
      <c r="D19" s="138">
        <v>276.62</v>
      </c>
      <c r="E19" s="138">
        <f>V5</f>
        <v>2.2200000000000002</v>
      </c>
      <c r="F19" s="79" t="s">
        <v>437</v>
      </c>
      <c r="G19" s="144">
        <f t="shared" si="0"/>
        <v>614.09640000000002</v>
      </c>
      <c r="H19" s="321"/>
      <c r="L19" s="135"/>
    </row>
    <row r="20" spans="2:35" ht="30" customHeight="1" thickBot="1" x14ac:dyDescent="0.3">
      <c r="B20" s="326" t="s">
        <v>438</v>
      </c>
      <c r="C20" s="327"/>
      <c r="D20" s="139">
        <v>519</v>
      </c>
      <c r="E20" s="139"/>
      <c r="F20" s="80" t="s">
        <v>434</v>
      </c>
      <c r="G20" s="145">
        <f t="shared" si="0"/>
        <v>0</v>
      </c>
      <c r="H20" s="321"/>
      <c r="L20" s="135"/>
    </row>
    <row r="21" spans="2:35" ht="45" customHeight="1" x14ac:dyDescent="0.25">
      <c r="B21" s="322" t="s">
        <v>509</v>
      </c>
      <c r="C21" s="323"/>
      <c r="D21" s="137">
        <v>920</v>
      </c>
      <c r="E21" s="137">
        <f>D8*2</f>
        <v>20</v>
      </c>
      <c r="F21" s="78" t="s">
        <v>434</v>
      </c>
      <c r="G21" s="143">
        <f t="shared" si="0"/>
        <v>18400</v>
      </c>
      <c r="H21" s="321"/>
      <c r="L21" s="135"/>
      <c r="AI21" s="188"/>
    </row>
    <row r="22" spans="2:35" ht="30" customHeight="1" x14ac:dyDescent="0.25">
      <c r="B22" s="328" t="s">
        <v>510</v>
      </c>
      <c r="C22" s="329"/>
      <c r="D22" s="140">
        <v>1300</v>
      </c>
      <c r="E22" s="140">
        <f>IF(T5="Осина",D8,"0")</f>
        <v>10</v>
      </c>
      <c r="F22" s="81" t="s">
        <v>434</v>
      </c>
      <c r="G22" s="146">
        <f t="shared" si="0"/>
        <v>13000</v>
      </c>
      <c r="H22" s="321"/>
      <c r="L22" s="135"/>
    </row>
    <row r="23" spans="2:35" ht="30" customHeight="1" x14ac:dyDescent="0.25">
      <c r="B23" s="328" t="s">
        <v>439</v>
      </c>
      <c r="C23" s="329"/>
      <c r="D23" s="141">
        <v>5165.12</v>
      </c>
      <c r="E23" s="140" t="str">
        <f>IF(T5="Осина","0",D8)</f>
        <v>0</v>
      </c>
      <c r="F23" s="81" t="s">
        <v>434</v>
      </c>
      <c r="G23" s="146">
        <f t="shared" si="0"/>
        <v>0</v>
      </c>
      <c r="H23" s="321"/>
      <c r="L23" s="135"/>
    </row>
    <row r="24" spans="2:35" ht="30" customHeight="1" x14ac:dyDescent="0.25">
      <c r="B24" s="328" t="s">
        <v>511</v>
      </c>
      <c r="C24" s="329"/>
      <c r="D24" s="141">
        <v>917</v>
      </c>
      <c r="E24" s="140" t="str">
        <f>IF(T5="Осина","0",D8)</f>
        <v>0</v>
      </c>
      <c r="F24" s="81" t="s">
        <v>434</v>
      </c>
      <c r="G24" s="146">
        <f t="shared" si="0"/>
        <v>0</v>
      </c>
      <c r="H24" s="321"/>
      <c r="L24" s="135"/>
    </row>
    <row r="25" spans="2:35" ht="30" customHeight="1" x14ac:dyDescent="0.25">
      <c r="B25" s="328" t="s">
        <v>441</v>
      </c>
      <c r="C25" s="329"/>
      <c r="D25" s="141">
        <v>461.56000000000006</v>
      </c>
      <c r="E25" s="140" t="str">
        <f>IF(T5="Осина","0",D8)</f>
        <v>0</v>
      </c>
      <c r="F25" s="81" t="s">
        <v>434</v>
      </c>
      <c r="G25" s="146">
        <f>D25*E25</f>
        <v>0</v>
      </c>
      <c r="H25" s="321"/>
      <c r="L25" s="135"/>
    </row>
    <row r="26" spans="2:35" ht="30" customHeight="1" thickBot="1" x14ac:dyDescent="0.3">
      <c r="B26" s="324" t="s">
        <v>440</v>
      </c>
      <c r="C26" s="325"/>
      <c r="D26" s="138">
        <v>353.15</v>
      </c>
      <c r="E26" s="140" t="str">
        <f>IF(T5="Осина","0",D8*4)</f>
        <v>0</v>
      </c>
      <c r="F26" s="79" t="s">
        <v>434</v>
      </c>
      <c r="G26" s="147">
        <f>D26*E26</f>
        <v>0</v>
      </c>
      <c r="H26" s="321"/>
      <c r="L26" s="135"/>
    </row>
    <row r="27" spans="2:35" ht="23.25" x14ac:dyDescent="0.25">
      <c r="B27" s="49"/>
      <c r="C27" s="66"/>
      <c r="D27" s="66"/>
      <c r="E27" s="56"/>
      <c r="F27" s="56"/>
      <c r="G27" s="48"/>
      <c r="H27" s="92"/>
    </row>
    <row r="28" spans="2:35" ht="25.5" x14ac:dyDescent="0.25">
      <c r="B28" s="49"/>
      <c r="C28" s="59" t="s">
        <v>512</v>
      </c>
      <c r="D28" s="60"/>
      <c r="E28" s="49"/>
      <c r="F28" s="49"/>
      <c r="G28" s="48"/>
      <c r="H28" s="87"/>
    </row>
    <row r="29" spans="2:35" ht="18.75" x14ac:dyDescent="0.25">
      <c r="B29" s="49"/>
      <c r="C29" s="306" t="s">
        <v>513</v>
      </c>
      <c r="D29" s="67" t="s">
        <v>514</v>
      </c>
      <c r="E29" s="68">
        <f>ROUND((G17+D10)/D10,2)</f>
        <v>1.04</v>
      </c>
      <c r="F29" s="68"/>
      <c r="G29" s="50"/>
      <c r="H29" s="87"/>
    </row>
    <row r="30" spans="2:35" ht="23.25" x14ac:dyDescent="0.25">
      <c r="B30" s="49"/>
      <c r="C30" s="306"/>
      <c r="D30" s="67" t="s">
        <v>515</v>
      </c>
      <c r="E30" s="68">
        <f>ROUND((G18+G19+D10)/D10,2)</f>
        <v>1.02</v>
      </c>
      <c r="F30" s="68"/>
      <c r="G30" s="57"/>
      <c r="H30" s="93"/>
    </row>
    <row r="31" spans="2:35" ht="23.25" x14ac:dyDescent="0.25">
      <c r="B31" s="49"/>
      <c r="C31" s="306"/>
      <c r="D31" s="67" t="s">
        <v>516</v>
      </c>
      <c r="E31" s="68">
        <f>ROUND((G20+D10)/D10,2)</f>
        <v>1</v>
      </c>
      <c r="F31" s="50"/>
      <c r="G31" s="57"/>
      <c r="H31" s="87"/>
    </row>
    <row r="32" spans="2:35" ht="23.25" x14ac:dyDescent="0.25">
      <c r="B32" s="49"/>
      <c r="C32" s="306"/>
      <c r="D32" s="69" t="s">
        <v>517</v>
      </c>
      <c r="E32" s="70">
        <f>ROUND((SUM(G21:G26)+D10)/D10,2)</f>
        <v>1.64</v>
      </c>
      <c r="F32" s="50"/>
      <c r="G32" s="57"/>
      <c r="H32" s="87"/>
    </row>
    <row r="33" spans="2:27" ht="25.5" x14ac:dyDescent="0.25">
      <c r="B33" s="49"/>
      <c r="C33" s="49"/>
      <c r="D33" s="71" t="s">
        <v>518</v>
      </c>
      <c r="E33" s="72">
        <f>SUM(E29:E32)-IF(D14="сплошная",3,2)</f>
        <v>1.7000000000000002</v>
      </c>
      <c r="F33" s="73"/>
      <c r="G33" s="48"/>
      <c r="H33" s="87"/>
    </row>
    <row r="34" spans="2:27" ht="23.25" x14ac:dyDescent="0.25">
      <c r="B34" s="49"/>
      <c r="C34" s="49"/>
      <c r="D34" s="49"/>
      <c r="E34" s="74"/>
      <c r="F34" s="49"/>
      <c r="G34" s="48"/>
      <c r="H34" s="87"/>
    </row>
    <row r="35" spans="2:27" ht="25.5" x14ac:dyDescent="0.35">
      <c r="B35" s="58"/>
      <c r="C35" s="75" t="s">
        <v>519</v>
      </c>
      <c r="D35" s="307">
        <f>E33*D10</f>
        <v>83246.942999999999</v>
      </c>
      <c r="E35" s="307"/>
      <c r="F35" s="49"/>
      <c r="G35" s="48"/>
      <c r="H35" s="87"/>
    </row>
    <row r="36" spans="2:27" ht="18.75" x14ac:dyDescent="0.3">
      <c r="B36" s="49"/>
      <c r="C36" s="76" t="s">
        <v>520</v>
      </c>
      <c r="D36" s="308">
        <f>D35/D9</f>
        <v>31.788566006178474</v>
      </c>
      <c r="E36" s="308"/>
      <c r="F36" s="49"/>
      <c r="G36" s="49"/>
      <c r="H36" s="94"/>
    </row>
    <row r="39" spans="2:27" ht="60.75" x14ac:dyDescent="0.8">
      <c r="B39" s="330" t="str">
        <f>CONCATENATE("ЛОТ № ",K42)</f>
        <v>ЛОТ № 2</v>
      </c>
      <c r="C39" s="330"/>
      <c r="D39" s="330"/>
      <c r="E39" s="330"/>
      <c r="F39" s="330"/>
      <c r="G39" s="330"/>
      <c r="H39" s="330"/>
    </row>
    <row r="40" spans="2:27" ht="18.75" x14ac:dyDescent="0.25">
      <c r="B40" s="331" t="s">
        <v>492</v>
      </c>
      <c r="C40" s="331"/>
      <c r="D40" s="331"/>
      <c r="E40" s="331"/>
      <c r="F40" s="331"/>
      <c r="G40" s="331"/>
      <c r="H40" s="87"/>
    </row>
    <row r="41" spans="2:27" ht="25.5" x14ac:dyDescent="0.25">
      <c r="B41" s="49"/>
      <c r="C41" s="59" t="s">
        <v>493</v>
      </c>
      <c r="D41" s="60"/>
      <c r="E41" s="49"/>
      <c r="F41" s="49"/>
      <c r="G41" s="48"/>
      <c r="H41" s="87"/>
      <c r="I41" s="88"/>
      <c r="J41" s="88"/>
      <c r="K41" s="88"/>
      <c r="L41" s="88" t="s">
        <v>454</v>
      </c>
      <c r="M41" s="88" t="s">
        <v>444</v>
      </c>
      <c r="N41" s="88" t="s">
        <v>445</v>
      </c>
      <c r="O41" s="88" t="s">
        <v>453</v>
      </c>
      <c r="P41" s="89" t="s">
        <v>446</v>
      </c>
      <c r="Q41" s="88" t="s">
        <v>435</v>
      </c>
      <c r="R41" s="40" t="s">
        <v>447</v>
      </c>
      <c r="S41" s="40" t="s">
        <v>522</v>
      </c>
      <c r="T41" s="88" t="s">
        <v>118</v>
      </c>
      <c r="U41" s="88" t="s">
        <v>500</v>
      </c>
      <c r="V41" s="88" t="s">
        <v>450</v>
      </c>
      <c r="W41" s="40" t="s">
        <v>448</v>
      </c>
      <c r="X41" s="40" t="s">
        <v>449</v>
      </c>
      <c r="Y41" s="88" t="s">
        <v>523</v>
      </c>
      <c r="Z41" s="88"/>
    </row>
    <row r="42" spans="2:27" ht="39.950000000000003" customHeight="1" x14ac:dyDescent="0.25">
      <c r="B42" s="50"/>
      <c r="C42" s="332" t="s">
        <v>494</v>
      </c>
      <c r="D42" s="335" t="s">
        <v>521</v>
      </c>
      <c r="E42" s="336"/>
      <c r="F42" s="336"/>
      <c r="G42" s="337"/>
      <c r="H42" s="90"/>
      <c r="I42" s="88" t="s">
        <v>443</v>
      </c>
      <c r="J42" s="88"/>
      <c r="K42" s="43">
        <f>IF(I42="","",COUNTA(I$5:I42))</f>
        <v>2</v>
      </c>
      <c r="L42" s="95" t="str">
        <f>INDEX('Ведомость расчета мин. платы'!$B$10:$T$209,MATCH(ЛОТЫ!$K42,'Ведомость расчета мин. платы'!$B$10:$B$209,0),2)</f>
        <v>Вишнево-Полянское</v>
      </c>
      <c r="M42" s="95">
        <f>INDEX('Ведомость расчета мин. платы'!$B$10:$T$209,MATCH(ЛОТЫ!$K42,'Ведомость расчета мин. платы'!$B$10:$B$209,0),3)</f>
        <v>8</v>
      </c>
      <c r="N42" s="95">
        <f>INDEX('Ведомость расчета мин. платы'!$B$10:$T$209,MATCH(ЛОТЫ!$K42,'Ведомость расчета мин. платы'!$B$10:$B$209,0),4)</f>
        <v>15</v>
      </c>
      <c r="O42" s="95">
        <f>INDEX('Ведомость расчета мин. платы'!$B$10:$T$209,MATCH(ЛОТЫ!$K42,'Ведомость расчета мин. платы'!$B$10:$B$209,0),5)</f>
        <v>2</v>
      </c>
      <c r="P42" s="89">
        <f>IFERROR(INDEX(Коэффициенты!$G$4:$O$106,MATCH(CONCATENATE($L42,"/",$M42,"/",$N42,"/",$O42),Коэффициенты!$O$4:$O$106,0),1),"")</f>
        <v>7.4</v>
      </c>
      <c r="Q42" s="40">
        <f>IFERROR(INDEX(Коэффициенты!$G$4:$O$106,MATCH(CONCATENATE($L42,"/",$M42,"/",$N42,"/",$O42),Коэффициенты!$O$4:$O$106,0),6),"")</f>
        <v>1993.71</v>
      </c>
      <c r="R42" s="40">
        <f>IFERROR(INDEX(Коэффициенты!$G$4:$O$106,MATCH(CONCATENATE($L42,"/",$M42,"/",$N42,"/",$O42),Коэффициенты!$O$4:$O$106,0),2),"")</f>
        <v>37228.82</v>
      </c>
      <c r="S42" s="43" t="str">
        <f>IFERROR(INDEX('Такс. опис.'!$A$5:$BW$50,MATCH(CONCATENATE($L42,"/",$M42,"/",$N42),'Такс. опис.'!$C$5:$C$50,0),26),"")</f>
        <v>8ОС1Б1ЛП</v>
      </c>
      <c r="T42" s="43" t="str">
        <f>IFERROR(INDEX('Такс. опис.'!$A$5:$BW$50,MATCH(CONCATENATE($L42,"/",$M42,"/",$N42),'Такс. опис.'!$C$5:$C$50,0),47),"")</f>
        <v>Осина</v>
      </c>
      <c r="U42" s="43">
        <f>IFERROR(INDEX('Такс. опис.'!$A$5:$BW$50,MATCH(CONCATENATE($L42,"/",$M42,"/",$N42),'Такс. опис.'!$C$5:$C$50,0),49),"")</f>
        <v>60</v>
      </c>
      <c r="V42" s="103">
        <f>IFERROR(INDEX('Ведомость расчета мин. платы'!$AC$10:$AD$214,MATCH(CONCATENATE($L42,"/",$M42,"/",$N42,"/",$O42),'Ведомость расчета мин. платы'!$AC$10:$AC$214,0),2),"")</f>
        <v>1.67</v>
      </c>
      <c r="W42" s="40">
        <f>E70</f>
        <v>1.6799999999999997</v>
      </c>
      <c r="X42" s="40">
        <f>D72</f>
        <v>62544.417599999986</v>
      </c>
      <c r="Y42" s="91">
        <f>D73</f>
        <v>31.370870186737282</v>
      </c>
      <c r="Z42" s="88"/>
      <c r="AA42" s="86">
        <f t="shared" ref="AA42" si="1">IF(M42&gt;0,1,0)</f>
        <v>1</v>
      </c>
    </row>
    <row r="43" spans="2:27" ht="19.5" x14ac:dyDescent="0.25">
      <c r="B43" s="50"/>
      <c r="C43" s="333"/>
      <c r="D43" s="338" t="str">
        <f>CONCATENATE(L42, " участковое лесничество")</f>
        <v>Вишнево-Полянское участковое лесничество</v>
      </c>
      <c r="E43" s="338"/>
      <c r="F43" s="338"/>
      <c r="G43" s="338"/>
      <c r="H43" s="90"/>
      <c r="I43" s="88"/>
      <c r="J43" s="88">
        <f>IFERROR(IF(ISBLANK(K42),"",K42),"")</f>
        <v>2</v>
      </c>
      <c r="K43" s="88"/>
      <c r="L43" s="88"/>
      <c r="M43" s="88"/>
      <c r="N43" s="88"/>
      <c r="O43" s="88"/>
      <c r="P43" s="88"/>
      <c r="Q43" s="88"/>
      <c r="R43" s="88"/>
      <c r="S43" s="88"/>
      <c r="T43" s="88"/>
      <c r="U43" s="88"/>
      <c r="V43" s="88"/>
      <c r="W43" s="88"/>
      <c r="X43" s="88"/>
      <c r="Y43" s="88"/>
      <c r="Z43" s="88"/>
    </row>
    <row r="44" spans="2:27" ht="19.5" x14ac:dyDescent="0.25">
      <c r="B44" s="50"/>
      <c r="C44" s="334"/>
      <c r="D44" s="338" t="str">
        <f>CONCATENATE("кв. ",M42," ","выд."," ",N42," ","делянка", " ",O42)</f>
        <v>кв. 8 выд. 15 делянка 2</v>
      </c>
      <c r="E44" s="338"/>
      <c r="F44" s="338"/>
      <c r="G44" s="338"/>
      <c r="H44" s="90"/>
      <c r="I44" s="88"/>
      <c r="J44" s="88"/>
      <c r="K44" s="88"/>
      <c r="L44" s="88"/>
      <c r="M44" s="88"/>
      <c r="N44" s="88"/>
      <c r="O44" s="88"/>
      <c r="P44" s="88"/>
      <c r="Q44" s="88"/>
      <c r="R44" s="88"/>
      <c r="S44" s="88"/>
      <c r="T44" s="88"/>
      <c r="U44" s="88"/>
      <c r="V44" s="88"/>
      <c r="W44" s="88"/>
      <c r="X44" s="88"/>
      <c r="Y44" s="88"/>
      <c r="Z44" s="88"/>
    </row>
    <row r="45" spans="2:27" ht="23.25" x14ac:dyDescent="0.25">
      <c r="B45" s="49"/>
      <c r="C45" s="61" t="s">
        <v>495</v>
      </c>
      <c r="D45" s="51">
        <f>P42</f>
        <v>7.4</v>
      </c>
      <c r="E45" s="62"/>
      <c r="F45" s="50"/>
      <c r="G45" s="48"/>
      <c r="H45" s="87"/>
    </row>
    <row r="46" spans="2:27" ht="22.5" x14ac:dyDescent="0.25">
      <c r="B46" s="49"/>
      <c r="C46" s="63" t="s">
        <v>496</v>
      </c>
      <c r="D46" s="106">
        <f>Q42</f>
        <v>1993.71</v>
      </c>
      <c r="E46" s="309" t="s">
        <v>497</v>
      </c>
      <c r="F46" s="310"/>
      <c r="G46" s="313">
        <f>D47/D46</f>
        <v>18.673137015915053</v>
      </c>
      <c r="H46" s="87"/>
    </row>
    <row r="47" spans="2:27" ht="22.5" x14ac:dyDescent="0.25">
      <c r="B47" s="49"/>
      <c r="C47" s="63" t="s">
        <v>498</v>
      </c>
      <c r="D47" s="52">
        <f>R42</f>
        <v>37228.82</v>
      </c>
      <c r="E47" s="311"/>
      <c r="F47" s="312"/>
      <c r="G47" s="314"/>
      <c r="H47" s="87"/>
    </row>
    <row r="48" spans="2:27" ht="23.25" x14ac:dyDescent="0.25">
      <c r="B48" s="49"/>
      <c r="C48" s="64"/>
      <c r="D48" s="53"/>
      <c r="E48" s="65"/>
      <c r="F48" s="49"/>
      <c r="G48" s="48"/>
      <c r="H48" s="87"/>
    </row>
    <row r="49" spans="2:8" ht="23.25" x14ac:dyDescent="0.25">
      <c r="B49" s="49"/>
      <c r="C49" s="82" t="s">
        <v>499</v>
      </c>
      <c r="D49" s="96" t="str">
        <f>S42</f>
        <v>8ОС1Б1ЛП</v>
      </c>
      <c r="E49" s="49"/>
      <c r="F49" s="49"/>
      <c r="G49" s="48"/>
      <c r="H49" s="87"/>
    </row>
    <row r="50" spans="2:8" ht="23.25" x14ac:dyDescent="0.25">
      <c r="B50" s="49"/>
      <c r="C50" s="82" t="s">
        <v>500</v>
      </c>
      <c r="D50" s="96">
        <f>U42</f>
        <v>60</v>
      </c>
      <c r="E50" s="49"/>
      <c r="F50" s="49"/>
      <c r="G50" s="48"/>
      <c r="H50" s="87"/>
    </row>
    <row r="51" spans="2:8" ht="23.25" x14ac:dyDescent="0.25">
      <c r="B51" s="49"/>
      <c r="C51" s="82" t="s">
        <v>501</v>
      </c>
      <c r="D51" s="83" t="s">
        <v>502</v>
      </c>
      <c r="E51" s="49"/>
      <c r="F51" s="49"/>
      <c r="G51" s="48"/>
      <c r="H51" s="87"/>
    </row>
    <row r="52" spans="2:8" ht="24" thickBot="1" x14ac:dyDescent="0.3">
      <c r="B52" s="49"/>
      <c r="C52" s="49"/>
      <c r="D52" s="49"/>
      <c r="E52" s="49"/>
      <c r="F52" s="49"/>
      <c r="G52" s="48"/>
      <c r="H52" s="87"/>
    </row>
    <row r="53" spans="2:8" ht="48" thickBot="1" x14ac:dyDescent="0.3">
      <c r="B53" s="315" t="s">
        <v>436</v>
      </c>
      <c r="C53" s="316"/>
      <c r="D53" s="54" t="s">
        <v>503</v>
      </c>
      <c r="E53" s="317" t="s">
        <v>504</v>
      </c>
      <c r="F53" s="318"/>
      <c r="G53" s="55" t="s">
        <v>505</v>
      </c>
      <c r="H53" s="87"/>
    </row>
    <row r="54" spans="2:8" ht="24" thickBot="1" x14ac:dyDescent="0.3">
      <c r="B54" s="319" t="s">
        <v>506</v>
      </c>
      <c r="C54" s="320"/>
      <c r="D54" s="136">
        <v>197.93</v>
      </c>
      <c r="E54" s="136">
        <f>D45</f>
        <v>7.4</v>
      </c>
      <c r="F54" s="77" t="s">
        <v>434</v>
      </c>
      <c r="G54" s="142">
        <f t="shared" ref="G54:G61" si="2">D54*E54</f>
        <v>1464.682</v>
      </c>
      <c r="H54" s="321"/>
    </row>
    <row r="55" spans="2:8" ht="51.6" customHeight="1" x14ac:dyDescent="0.25">
      <c r="B55" s="322" t="s">
        <v>507</v>
      </c>
      <c r="C55" s="323"/>
      <c r="D55" s="137">
        <v>159.44</v>
      </c>
      <c r="E55" s="137">
        <f>V42</f>
        <v>1.67</v>
      </c>
      <c r="F55" s="78" t="s">
        <v>437</v>
      </c>
      <c r="G55" s="143">
        <f t="shared" si="2"/>
        <v>266.26479999999998</v>
      </c>
      <c r="H55" s="321"/>
    </row>
    <row r="56" spans="2:8" ht="24" thickBot="1" x14ac:dyDescent="0.3">
      <c r="B56" s="324" t="s">
        <v>508</v>
      </c>
      <c r="C56" s="325"/>
      <c r="D56" s="138">
        <v>276.62</v>
      </c>
      <c r="E56" s="138">
        <f>V42</f>
        <v>1.67</v>
      </c>
      <c r="F56" s="79" t="s">
        <v>437</v>
      </c>
      <c r="G56" s="144">
        <f t="shared" si="2"/>
        <v>461.9554</v>
      </c>
      <c r="H56" s="321"/>
    </row>
    <row r="57" spans="2:8" ht="24" thickBot="1" x14ac:dyDescent="0.3">
      <c r="B57" s="326" t="s">
        <v>438</v>
      </c>
      <c r="C57" s="327"/>
      <c r="D57" s="139">
        <v>519</v>
      </c>
      <c r="E57" s="139"/>
      <c r="F57" s="80" t="s">
        <v>434</v>
      </c>
      <c r="G57" s="145">
        <f t="shared" si="2"/>
        <v>0</v>
      </c>
      <c r="H57" s="321"/>
    </row>
    <row r="58" spans="2:8" ht="43.15" customHeight="1" x14ac:dyDescent="0.25">
      <c r="B58" s="322" t="s">
        <v>509</v>
      </c>
      <c r="C58" s="323"/>
      <c r="D58" s="137">
        <v>920</v>
      </c>
      <c r="E58" s="137">
        <f>D45*2</f>
        <v>14.8</v>
      </c>
      <c r="F58" s="78" t="s">
        <v>434</v>
      </c>
      <c r="G58" s="143">
        <f t="shared" si="2"/>
        <v>13616</v>
      </c>
      <c r="H58" s="321"/>
    </row>
    <row r="59" spans="2:8" ht="23.25" x14ac:dyDescent="0.25">
      <c r="B59" s="328" t="s">
        <v>510</v>
      </c>
      <c r="C59" s="329"/>
      <c r="D59" s="140">
        <v>1300</v>
      </c>
      <c r="E59" s="140">
        <f>IF(T42="Осина",D45,"0")</f>
        <v>7.4</v>
      </c>
      <c r="F59" s="81" t="s">
        <v>434</v>
      </c>
      <c r="G59" s="146">
        <f t="shared" si="2"/>
        <v>9620</v>
      </c>
      <c r="H59" s="321"/>
    </row>
    <row r="60" spans="2:8" ht="23.25" x14ac:dyDescent="0.25">
      <c r="B60" s="328" t="s">
        <v>439</v>
      </c>
      <c r="C60" s="329"/>
      <c r="D60" s="141">
        <v>5165.12</v>
      </c>
      <c r="E60" s="140" t="str">
        <f>IF(T42="Осина","0",D45)</f>
        <v>0</v>
      </c>
      <c r="F60" s="81" t="s">
        <v>434</v>
      </c>
      <c r="G60" s="146">
        <f t="shared" si="2"/>
        <v>0</v>
      </c>
      <c r="H60" s="321"/>
    </row>
    <row r="61" spans="2:8" ht="23.25" x14ac:dyDescent="0.25">
      <c r="B61" s="328" t="s">
        <v>511</v>
      </c>
      <c r="C61" s="329"/>
      <c r="D61" s="141">
        <v>917</v>
      </c>
      <c r="E61" s="140" t="str">
        <f>IF(T42="Осина","0",D45)</f>
        <v>0</v>
      </c>
      <c r="F61" s="81" t="s">
        <v>434</v>
      </c>
      <c r="G61" s="146">
        <f t="shared" si="2"/>
        <v>0</v>
      </c>
      <c r="H61" s="321"/>
    </row>
    <row r="62" spans="2:8" ht="23.25" x14ac:dyDescent="0.25">
      <c r="B62" s="328" t="s">
        <v>441</v>
      </c>
      <c r="C62" s="329"/>
      <c r="D62" s="141">
        <v>461.56000000000006</v>
      </c>
      <c r="E62" s="140" t="str">
        <f>IF(T42="Осина","0",D45)</f>
        <v>0</v>
      </c>
      <c r="F62" s="81" t="s">
        <v>434</v>
      </c>
      <c r="G62" s="146">
        <f>D62*E62</f>
        <v>0</v>
      </c>
      <c r="H62" s="321"/>
    </row>
    <row r="63" spans="2:8" ht="24" thickBot="1" x14ac:dyDescent="0.3">
      <c r="B63" s="324" t="s">
        <v>440</v>
      </c>
      <c r="C63" s="325"/>
      <c r="D63" s="138">
        <v>353.15</v>
      </c>
      <c r="E63" s="140" t="str">
        <f>IF(T42="Осина","0",D45*4)</f>
        <v>0</v>
      </c>
      <c r="F63" s="79" t="s">
        <v>434</v>
      </c>
      <c r="G63" s="147">
        <f>D63*E63</f>
        <v>0</v>
      </c>
      <c r="H63" s="321"/>
    </row>
    <row r="64" spans="2:8" ht="23.25" x14ac:dyDescent="0.25">
      <c r="B64" s="49"/>
      <c r="C64" s="66"/>
      <c r="D64" s="66"/>
      <c r="E64" s="56"/>
      <c r="F64" s="56"/>
      <c r="G64" s="48"/>
      <c r="H64" s="92"/>
    </row>
    <row r="65" spans="2:27" ht="25.5" x14ac:dyDescent="0.25">
      <c r="B65" s="49"/>
      <c r="C65" s="59" t="s">
        <v>512</v>
      </c>
      <c r="D65" s="60"/>
      <c r="E65" s="49"/>
      <c r="F65" s="49"/>
      <c r="G65" s="48"/>
      <c r="H65" s="87"/>
    </row>
    <row r="66" spans="2:27" ht="18.75" x14ac:dyDescent="0.25">
      <c r="B66" s="49"/>
      <c r="C66" s="306" t="s">
        <v>513</v>
      </c>
      <c r="D66" s="67" t="s">
        <v>514</v>
      </c>
      <c r="E66" s="68">
        <f>ROUND((G54+D47)/D47,2)</f>
        <v>1.04</v>
      </c>
      <c r="F66" s="68"/>
      <c r="G66" s="50"/>
      <c r="H66" s="87"/>
    </row>
    <row r="67" spans="2:27" ht="23.25" x14ac:dyDescent="0.25">
      <c r="B67" s="49"/>
      <c r="C67" s="306"/>
      <c r="D67" s="67" t="s">
        <v>515</v>
      </c>
      <c r="E67" s="68">
        <f>ROUND((G55+G56+D47)/D47,2)</f>
        <v>1.02</v>
      </c>
      <c r="F67" s="68"/>
      <c r="G67" s="57"/>
      <c r="H67" s="93"/>
    </row>
    <row r="68" spans="2:27" ht="23.25" x14ac:dyDescent="0.25">
      <c r="B68" s="49"/>
      <c r="C68" s="306"/>
      <c r="D68" s="67" t="s">
        <v>516</v>
      </c>
      <c r="E68" s="68">
        <f>ROUND((G57+D47)/D47,2)</f>
        <v>1</v>
      </c>
      <c r="F68" s="50"/>
      <c r="G68" s="57"/>
      <c r="H68" s="87"/>
    </row>
    <row r="69" spans="2:27" ht="23.25" x14ac:dyDescent="0.25">
      <c r="B69" s="49"/>
      <c r="C69" s="306"/>
      <c r="D69" s="69" t="s">
        <v>517</v>
      </c>
      <c r="E69" s="70">
        <f>ROUND((SUM(G58:G63)+D47)/D47,2)</f>
        <v>1.62</v>
      </c>
      <c r="F69" s="50"/>
      <c r="G69" s="57"/>
      <c r="H69" s="87"/>
    </row>
    <row r="70" spans="2:27" ht="25.5" x14ac:dyDescent="0.25">
      <c r="B70" s="49"/>
      <c r="C70" s="49"/>
      <c r="D70" s="71" t="s">
        <v>518</v>
      </c>
      <c r="E70" s="72">
        <f>SUM(E66:E69)-IF(D51="сплошная",3,2)</f>
        <v>1.6799999999999997</v>
      </c>
      <c r="F70" s="73"/>
      <c r="G70" s="48"/>
      <c r="H70" s="87"/>
    </row>
    <row r="71" spans="2:27" ht="23.25" x14ac:dyDescent="0.25">
      <c r="B71" s="49"/>
      <c r="C71" s="49"/>
      <c r="D71" s="49"/>
      <c r="E71" s="74"/>
      <c r="F71" s="49"/>
      <c r="G71" s="48"/>
      <c r="H71" s="87"/>
    </row>
    <row r="72" spans="2:27" ht="25.5" x14ac:dyDescent="0.35">
      <c r="B72" s="58"/>
      <c r="C72" s="75" t="s">
        <v>519</v>
      </c>
      <c r="D72" s="307">
        <f>E70*D47</f>
        <v>62544.417599999986</v>
      </c>
      <c r="E72" s="307"/>
      <c r="F72" s="49"/>
      <c r="G72" s="48"/>
      <c r="H72" s="87"/>
    </row>
    <row r="73" spans="2:27" ht="18.75" x14ac:dyDescent="0.3">
      <c r="B73" s="49"/>
      <c r="C73" s="76" t="s">
        <v>520</v>
      </c>
      <c r="D73" s="308">
        <f>D72/D46</f>
        <v>31.370870186737282</v>
      </c>
      <c r="E73" s="308"/>
      <c r="F73" s="49"/>
      <c r="G73" s="49"/>
      <c r="H73" s="94"/>
    </row>
    <row r="76" spans="2:27" ht="60.75" x14ac:dyDescent="0.8">
      <c r="B76" s="330" t="str">
        <f>CONCATENATE("ЛОТ № ",K79)</f>
        <v>ЛОТ № 3</v>
      </c>
      <c r="C76" s="330"/>
      <c r="D76" s="330"/>
      <c r="E76" s="330"/>
      <c r="F76" s="330"/>
      <c r="G76" s="330"/>
      <c r="H76" s="330"/>
    </row>
    <row r="77" spans="2:27" ht="18.75" x14ac:dyDescent="0.25">
      <c r="B77" s="331" t="s">
        <v>492</v>
      </c>
      <c r="C77" s="331"/>
      <c r="D77" s="331"/>
      <c r="E77" s="331"/>
      <c r="F77" s="331"/>
      <c r="G77" s="331"/>
      <c r="H77" s="87"/>
    </row>
    <row r="78" spans="2:27" ht="25.5" x14ac:dyDescent="0.25">
      <c r="B78" s="49"/>
      <c r="C78" s="59" t="s">
        <v>493</v>
      </c>
      <c r="D78" s="60"/>
      <c r="E78" s="49"/>
      <c r="F78" s="49"/>
      <c r="G78" s="48"/>
      <c r="H78" s="87"/>
      <c r="I78" s="88"/>
      <c r="J78" s="88"/>
      <c r="K78" s="88"/>
      <c r="L78" s="88" t="s">
        <v>454</v>
      </c>
      <c r="M78" s="88" t="s">
        <v>444</v>
      </c>
      <c r="N78" s="88" t="s">
        <v>445</v>
      </c>
      <c r="O78" s="88" t="s">
        <v>453</v>
      </c>
      <c r="P78" s="89" t="s">
        <v>446</v>
      </c>
      <c r="Q78" s="88" t="s">
        <v>435</v>
      </c>
      <c r="R78" s="40" t="s">
        <v>447</v>
      </c>
      <c r="S78" s="40" t="s">
        <v>522</v>
      </c>
      <c r="T78" s="88" t="s">
        <v>118</v>
      </c>
      <c r="U78" s="88" t="s">
        <v>500</v>
      </c>
      <c r="V78" s="88" t="s">
        <v>450</v>
      </c>
      <c r="W78" s="40" t="s">
        <v>448</v>
      </c>
      <c r="X78" s="40" t="s">
        <v>449</v>
      </c>
      <c r="Y78" s="88" t="s">
        <v>523</v>
      </c>
      <c r="Z78" s="88"/>
    </row>
    <row r="79" spans="2:27" ht="39.950000000000003" customHeight="1" x14ac:dyDescent="0.25">
      <c r="B79" s="50"/>
      <c r="C79" s="332" t="s">
        <v>494</v>
      </c>
      <c r="D79" s="335" t="s">
        <v>521</v>
      </c>
      <c r="E79" s="336"/>
      <c r="F79" s="336"/>
      <c r="G79" s="337"/>
      <c r="H79" s="90"/>
      <c r="I79" s="88" t="s">
        <v>443</v>
      </c>
      <c r="J79" s="88"/>
      <c r="K79" s="43">
        <f>IF(I79="","",COUNTA(I$5:I79))</f>
        <v>3</v>
      </c>
      <c r="L79" s="95" t="str">
        <f>INDEX('Ведомость расчета мин. платы'!$B$10:$T$209,MATCH(ЛОТЫ!$K79,'Ведомость расчета мин. платы'!$B$10:$B$209,0),2)</f>
        <v>Вишнево-Полянское</v>
      </c>
      <c r="M79" s="95">
        <f>INDEX('Ведомость расчета мин. платы'!$B$10:$T$209,MATCH(ЛОТЫ!$K79,'Ведомость расчета мин. платы'!$B$10:$B$209,0),3)</f>
        <v>15</v>
      </c>
      <c r="N79" s="95">
        <f>INDEX('Ведомость расчета мин. платы'!$B$10:$T$209,MATCH(ЛОТЫ!$K79,'Ведомость расчета мин. платы'!$B$10:$B$209,0),4)</f>
        <v>22</v>
      </c>
      <c r="O79" s="95">
        <f>INDEX('Ведомость расчета мин. платы'!$B$10:$T$209,MATCH(ЛОТЫ!$K79,'Ведомость расчета мин. платы'!$B$10:$B$209,0),5)</f>
        <v>1</v>
      </c>
      <c r="P79" s="89">
        <f>IFERROR(INDEX(Коэффициенты!$G$4:$O$106,MATCH(CONCATENATE($L79,"/",$M79,"/",$N79,"/",$O79),Коэффициенты!$O$4:$O$106,0),1),"")</f>
        <v>4</v>
      </c>
      <c r="Q79" s="40">
        <f>IFERROR(INDEX(Коэффициенты!$G$4:$O$106,MATCH(CONCATENATE($L79,"/",$M79,"/",$N79,"/",$O79),Коэффициенты!$O$4:$O$106,0),6),"")</f>
        <v>831.59999999999991</v>
      </c>
      <c r="R79" s="40">
        <f>IFERROR(INDEX(Коэффициенты!$G$4:$O$106,MATCH(CONCATENATE($L79,"/",$M79,"/",$N79,"/",$O79),Коэффициенты!$O$4:$O$106,0),2),"")</f>
        <v>23873.08</v>
      </c>
      <c r="S79" s="43" t="str">
        <f>IFERROR(INDEX('Такс. опис.'!$A$5:$BW$50,MATCH(CONCATENATE($L79,"/",$M79,"/",$N79),'Такс. опис.'!$C$5:$C$50,0),26),"")</f>
        <v>6ОС4Б</v>
      </c>
      <c r="T79" s="43" t="str">
        <f>IFERROR(INDEX('Такс. опис.'!$A$5:$BW$50,MATCH(CONCATENATE($L79,"/",$M79,"/",$N79),'Такс. опис.'!$C$5:$C$50,0),47),"")</f>
        <v>Осина</v>
      </c>
      <c r="U79" s="43">
        <f>IFERROR(INDEX('Такс. опис.'!$A$5:$BW$50,MATCH(CONCATENATE($L79,"/",$M79,"/",$N79),'Такс. опис.'!$C$5:$C$50,0),49),"")</f>
        <v>45</v>
      </c>
      <c r="V79" s="103">
        <f>IFERROR(INDEX('Ведомость расчета мин. платы'!$AC$10:$AD$214,MATCH(CONCATENATE($L79,"/",$M79,"/",$N79,"/",$O79),'Ведомость расчета мин. платы'!$AC$10:$AC$214,0),2),"")</f>
        <v>0.99</v>
      </c>
      <c r="W79" s="40">
        <f>E107</f>
        <v>1.58</v>
      </c>
      <c r="X79" s="40">
        <f>D109</f>
        <v>37719.466400000005</v>
      </c>
      <c r="Y79" s="91">
        <f>D110</f>
        <v>45.357703703703713</v>
      </c>
      <c r="Z79" s="88"/>
      <c r="AA79" s="86">
        <f t="shared" ref="AA79:AA116" si="3">IF(M79&gt;0,1,0)</f>
        <v>1</v>
      </c>
    </row>
    <row r="80" spans="2:27" ht="19.5" x14ac:dyDescent="0.25">
      <c r="B80" s="50"/>
      <c r="C80" s="333"/>
      <c r="D80" s="338" t="str">
        <f>CONCATENATE(L79, " участковое лесничество")</f>
        <v>Вишнево-Полянское участковое лесничество</v>
      </c>
      <c r="E80" s="338"/>
      <c r="F80" s="338"/>
      <c r="G80" s="338"/>
      <c r="H80" s="90"/>
      <c r="I80" s="88"/>
      <c r="J80" s="88">
        <f>IFERROR(IF(ISBLANK(K79),"",K79),"")</f>
        <v>3</v>
      </c>
      <c r="K80" s="88"/>
      <c r="L80" s="88"/>
      <c r="M80" s="88"/>
      <c r="N80" s="88"/>
      <c r="O80" s="88"/>
      <c r="P80" s="88"/>
      <c r="Q80" s="88"/>
      <c r="R80" s="88"/>
      <c r="S80" s="88"/>
      <c r="T80" s="88"/>
      <c r="U80" s="88"/>
      <c r="V80" s="88"/>
      <c r="W80" s="88"/>
      <c r="X80" s="88"/>
      <c r="Y80" s="88"/>
      <c r="Z80" s="88"/>
    </row>
    <row r="81" spans="2:26" ht="19.5" x14ac:dyDescent="0.25">
      <c r="B81" s="50"/>
      <c r="C81" s="334"/>
      <c r="D81" s="338" t="str">
        <f>CONCATENATE("кв. ",M79," ","выд."," ",N79," ","делянка", " ",O79)</f>
        <v>кв. 15 выд. 22 делянка 1</v>
      </c>
      <c r="E81" s="338"/>
      <c r="F81" s="338"/>
      <c r="G81" s="338"/>
      <c r="H81" s="90"/>
      <c r="I81" s="88"/>
      <c r="J81" s="88"/>
      <c r="K81" s="88"/>
      <c r="L81" s="88"/>
      <c r="M81" s="88"/>
      <c r="N81" s="88"/>
      <c r="O81" s="88"/>
      <c r="P81" s="88"/>
      <c r="Q81" s="88"/>
      <c r="R81" s="88"/>
      <c r="S81" s="88"/>
      <c r="T81" s="88"/>
      <c r="U81" s="88"/>
      <c r="V81" s="88"/>
      <c r="W81" s="88"/>
      <c r="X81" s="88"/>
      <c r="Y81" s="88"/>
      <c r="Z81" s="88"/>
    </row>
    <row r="82" spans="2:26" ht="23.25" x14ac:dyDescent="0.25">
      <c r="B82" s="49"/>
      <c r="C82" s="61" t="s">
        <v>495</v>
      </c>
      <c r="D82" s="51">
        <f>P79</f>
        <v>4</v>
      </c>
      <c r="E82" s="62"/>
      <c r="F82" s="50"/>
      <c r="G82" s="48"/>
      <c r="H82" s="87"/>
    </row>
    <row r="83" spans="2:26" ht="22.5" x14ac:dyDescent="0.25">
      <c r="B83" s="49"/>
      <c r="C83" s="63" t="s">
        <v>496</v>
      </c>
      <c r="D83" s="106">
        <f>Q79</f>
        <v>831.59999999999991</v>
      </c>
      <c r="E83" s="309" t="s">
        <v>497</v>
      </c>
      <c r="F83" s="310"/>
      <c r="G83" s="313">
        <f>D84/D83</f>
        <v>28.707407407407413</v>
      </c>
      <c r="H83" s="87"/>
    </row>
    <row r="84" spans="2:26" ht="22.5" x14ac:dyDescent="0.25">
      <c r="B84" s="49"/>
      <c r="C84" s="63" t="s">
        <v>498</v>
      </c>
      <c r="D84" s="52">
        <f>R79</f>
        <v>23873.08</v>
      </c>
      <c r="E84" s="311"/>
      <c r="F84" s="312"/>
      <c r="G84" s="314"/>
      <c r="H84" s="87"/>
    </row>
    <row r="85" spans="2:26" ht="23.25" x14ac:dyDescent="0.25">
      <c r="B85" s="49"/>
      <c r="C85" s="64"/>
      <c r="D85" s="53"/>
      <c r="E85" s="65"/>
      <c r="F85" s="49"/>
      <c r="G85" s="48"/>
      <c r="H85" s="87"/>
    </row>
    <row r="86" spans="2:26" ht="23.25" x14ac:dyDescent="0.25">
      <c r="B86" s="49"/>
      <c r="C86" s="82" t="s">
        <v>499</v>
      </c>
      <c r="D86" s="96" t="str">
        <f>S79</f>
        <v>6ОС4Б</v>
      </c>
      <c r="E86" s="49"/>
      <c r="F86" s="49"/>
      <c r="G86" s="48"/>
      <c r="H86" s="87"/>
    </row>
    <row r="87" spans="2:26" ht="23.25" x14ac:dyDescent="0.25">
      <c r="B87" s="49"/>
      <c r="C87" s="82" t="s">
        <v>500</v>
      </c>
      <c r="D87" s="96">
        <f>U79</f>
        <v>45</v>
      </c>
      <c r="E87" s="49"/>
      <c r="F87" s="49"/>
      <c r="G87" s="48"/>
      <c r="H87" s="87"/>
    </row>
    <row r="88" spans="2:26" ht="23.25" x14ac:dyDescent="0.25">
      <c r="B88" s="49"/>
      <c r="C88" s="82" t="s">
        <v>501</v>
      </c>
      <c r="D88" s="83" t="s">
        <v>502</v>
      </c>
      <c r="E88" s="49"/>
      <c r="F88" s="49"/>
      <c r="G88" s="48"/>
      <c r="H88" s="87"/>
    </row>
    <row r="89" spans="2:26" ht="24" thickBot="1" x14ac:dyDescent="0.3">
      <c r="B89" s="49"/>
      <c r="C89" s="49"/>
      <c r="D89" s="49"/>
      <c r="E89" s="49"/>
      <c r="F89" s="49"/>
      <c r="G89" s="48"/>
      <c r="H89" s="87"/>
    </row>
    <row r="90" spans="2:26" ht="48" thickBot="1" x14ac:dyDescent="0.3">
      <c r="B90" s="315" t="s">
        <v>436</v>
      </c>
      <c r="C90" s="316"/>
      <c r="D90" s="54" t="s">
        <v>503</v>
      </c>
      <c r="E90" s="317" t="s">
        <v>504</v>
      </c>
      <c r="F90" s="318"/>
      <c r="G90" s="55" t="s">
        <v>505</v>
      </c>
      <c r="H90" s="87"/>
    </row>
    <row r="91" spans="2:26" ht="24" thickBot="1" x14ac:dyDescent="0.3">
      <c r="B91" s="319" t="s">
        <v>506</v>
      </c>
      <c r="C91" s="320"/>
      <c r="D91" s="136">
        <v>197.93</v>
      </c>
      <c r="E91" s="136">
        <f>D82</f>
        <v>4</v>
      </c>
      <c r="F91" s="77" t="s">
        <v>434</v>
      </c>
      <c r="G91" s="142">
        <f t="shared" ref="G91:G98" si="4">D91*E91</f>
        <v>791.72</v>
      </c>
      <c r="H91" s="321"/>
    </row>
    <row r="92" spans="2:26" ht="49.9" customHeight="1" x14ac:dyDescent="0.25">
      <c r="B92" s="322" t="s">
        <v>507</v>
      </c>
      <c r="C92" s="323"/>
      <c r="D92" s="137">
        <v>159.44</v>
      </c>
      <c r="E92" s="137">
        <f>V79</f>
        <v>0.99</v>
      </c>
      <c r="F92" s="78" t="s">
        <v>437</v>
      </c>
      <c r="G92" s="143">
        <f t="shared" si="4"/>
        <v>157.84559999999999</v>
      </c>
      <c r="H92" s="321"/>
    </row>
    <row r="93" spans="2:26" ht="24" thickBot="1" x14ac:dyDescent="0.3">
      <c r="B93" s="324" t="s">
        <v>508</v>
      </c>
      <c r="C93" s="325"/>
      <c r="D93" s="138">
        <v>276.62</v>
      </c>
      <c r="E93" s="138">
        <f>V79</f>
        <v>0.99</v>
      </c>
      <c r="F93" s="79" t="s">
        <v>437</v>
      </c>
      <c r="G93" s="144">
        <f t="shared" si="4"/>
        <v>273.85379999999998</v>
      </c>
      <c r="H93" s="321"/>
    </row>
    <row r="94" spans="2:26" ht="24" thickBot="1" x14ac:dyDescent="0.3">
      <c r="B94" s="326" t="s">
        <v>438</v>
      </c>
      <c r="C94" s="327"/>
      <c r="D94" s="139">
        <v>519</v>
      </c>
      <c r="E94" s="139"/>
      <c r="F94" s="80" t="s">
        <v>434</v>
      </c>
      <c r="G94" s="145">
        <f t="shared" si="4"/>
        <v>0</v>
      </c>
      <c r="H94" s="321"/>
    </row>
    <row r="95" spans="2:26" ht="45.6" customHeight="1" x14ac:dyDescent="0.25">
      <c r="B95" s="322" t="s">
        <v>509</v>
      </c>
      <c r="C95" s="323"/>
      <c r="D95" s="137">
        <v>920</v>
      </c>
      <c r="E95" s="137">
        <f>D82*2</f>
        <v>8</v>
      </c>
      <c r="F95" s="78" t="s">
        <v>434</v>
      </c>
      <c r="G95" s="143">
        <f t="shared" si="4"/>
        <v>7360</v>
      </c>
      <c r="H95" s="321"/>
    </row>
    <row r="96" spans="2:26" ht="23.25" x14ac:dyDescent="0.25">
      <c r="B96" s="328" t="s">
        <v>510</v>
      </c>
      <c r="C96" s="329"/>
      <c r="D96" s="140">
        <v>1300</v>
      </c>
      <c r="E96" s="140">
        <f>IF(T79="Осина",D82,"0")</f>
        <v>4</v>
      </c>
      <c r="F96" s="81" t="s">
        <v>434</v>
      </c>
      <c r="G96" s="146">
        <f t="shared" si="4"/>
        <v>5200</v>
      </c>
      <c r="H96" s="321"/>
    </row>
    <row r="97" spans="2:8" ht="23.25" x14ac:dyDescent="0.25">
      <c r="B97" s="328" t="s">
        <v>439</v>
      </c>
      <c r="C97" s="329"/>
      <c r="D97" s="141">
        <v>5165.12</v>
      </c>
      <c r="E97" s="140" t="str">
        <f>IF(T79="Осина","0",D82)</f>
        <v>0</v>
      </c>
      <c r="F97" s="81" t="s">
        <v>434</v>
      </c>
      <c r="G97" s="146">
        <f t="shared" si="4"/>
        <v>0</v>
      </c>
      <c r="H97" s="321"/>
    </row>
    <row r="98" spans="2:8" ht="23.25" x14ac:dyDescent="0.25">
      <c r="B98" s="328" t="s">
        <v>511</v>
      </c>
      <c r="C98" s="329"/>
      <c r="D98" s="141">
        <v>917</v>
      </c>
      <c r="E98" s="140" t="str">
        <f>IF(T79="Осина","0",D82)</f>
        <v>0</v>
      </c>
      <c r="F98" s="81" t="s">
        <v>434</v>
      </c>
      <c r="G98" s="146">
        <f t="shared" si="4"/>
        <v>0</v>
      </c>
      <c r="H98" s="321"/>
    </row>
    <row r="99" spans="2:8" ht="23.25" x14ac:dyDescent="0.25">
      <c r="B99" s="328" t="s">
        <v>441</v>
      </c>
      <c r="C99" s="329"/>
      <c r="D99" s="141">
        <v>461.56000000000006</v>
      </c>
      <c r="E99" s="140" t="str">
        <f>IF(T79="Осина","0",D82)</f>
        <v>0</v>
      </c>
      <c r="F99" s="81" t="s">
        <v>434</v>
      </c>
      <c r="G99" s="146">
        <f>D99*E99</f>
        <v>0</v>
      </c>
      <c r="H99" s="321"/>
    </row>
    <row r="100" spans="2:8" ht="24" thickBot="1" x14ac:dyDescent="0.3">
      <c r="B100" s="324" t="s">
        <v>440</v>
      </c>
      <c r="C100" s="325"/>
      <c r="D100" s="138">
        <v>353.15</v>
      </c>
      <c r="E100" s="140" t="str">
        <f>IF(T79="Осина","0",D82*4)</f>
        <v>0</v>
      </c>
      <c r="F100" s="79" t="s">
        <v>434</v>
      </c>
      <c r="G100" s="147">
        <f>D100*E100</f>
        <v>0</v>
      </c>
      <c r="H100" s="321"/>
    </row>
    <row r="101" spans="2:8" ht="23.25" x14ac:dyDescent="0.25">
      <c r="B101" s="49"/>
      <c r="C101" s="66"/>
      <c r="D101" s="66"/>
      <c r="E101" s="56"/>
      <c r="F101" s="56"/>
      <c r="G101" s="48"/>
      <c r="H101" s="92"/>
    </row>
    <row r="102" spans="2:8" ht="25.5" x14ac:dyDescent="0.25">
      <c r="B102" s="49"/>
      <c r="C102" s="59" t="s">
        <v>512</v>
      </c>
      <c r="D102" s="60"/>
      <c r="E102" s="49"/>
      <c r="F102" s="49"/>
      <c r="G102" s="48"/>
      <c r="H102" s="87"/>
    </row>
    <row r="103" spans="2:8" ht="18.75" x14ac:dyDescent="0.25">
      <c r="B103" s="49"/>
      <c r="C103" s="306" t="s">
        <v>513</v>
      </c>
      <c r="D103" s="67" t="s">
        <v>514</v>
      </c>
      <c r="E103" s="68">
        <f>ROUND((G91+D84)/D84,2)</f>
        <v>1.03</v>
      </c>
      <c r="F103" s="68"/>
      <c r="G103" s="50"/>
      <c r="H103" s="87"/>
    </row>
    <row r="104" spans="2:8" ht="23.25" x14ac:dyDescent="0.25">
      <c r="B104" s="49"/>
      <c r="C104" s="306"/>
      <c r="D104" s="67" t="s">
        <v>515</v>
      </c>
      <c r="E104" s="68">
        <f>ROUND((G92+G93+D84)/D84,2)</f>
        <v>1.02</v>
      </c>
      <c r="F104" s="68"/>
      <c r="G104" s="57"/>
      <c r="H104" s="93"/>
    </row>
    <row r="105" spans="2:8" ht="23.25" x14ac:dyDescent="0.25">
      <c r="B105" s="49"/>
      <c r="C105" s="306"/>
      <c r="D105" s="67" t="s">
        <v>516</v>
      </c>
      <c r="E105" s="68">
        <f>ROUND((G94+D84)/D84,2)</f>
        <v>1</v>
      </c>
      <c r="F105" s="50"/>
      <c r="G105" s="57"/>
      <c r="H105" s="87"/>
    </row>
    <row r="106" spans="2:8" ht="23.25" x14ac:dyDescent="0.25">
      <c r="B106" s="49"/>
      <c r="C106" s="306"/>
      <c r="D106" s="69" t="s">
        <v>517</v>
      </c>
      <c r="E106" s="70">
        <f>ROUND((SUM(G95:G100)+D84)/D84,2)</f>
        <v>1.53</v>
      </c>
      <c r="F106" s="50"/>
      <c r="G106" s="57"/>
      <c r="H106" s="87"/>
    </row>
    <row r="107" spans="2:8" ht="25.5" x14ac:dyDescent="0.25">
      <c r="B107" s="49"/>
      <c r="C107" s="49"/>
      <c r="D107" s="71" t="s">
        <v>518</v>
      </c>
      <c r="E107" s="72">
        <f>SUM(E103:E106)-IF(D88="сплошная",3,2)</f>
        <v>1.58</v>
      </c>
      <c r="F107" s="73"/>
      <c r="G107" s="48"/>
      <c r="H107" s="87"/>
    </row>
    <row r="108" spans="2:8" ht="23.25" x14ac:dyDescent="0.25">
      <c r="B108" s="49"/>
      <c r="C108" s="49"/>
      <c r="D108" s="49"/>
      <c r="E108" s="74"/>
      <c r="F108" s="49"/>
      <c r="G108" s="48"/>
      <c r="H108" s="87"/>
    </row>
    <row r="109" spans="2:8" ht="25.5" x14ac:dyDescent="0.35">
      <c r="B109" s="58"/>
      <c r="C109" s="75" t="s">
        <v>519</v>
      </c>
      <c r="D109" s="307">
        <f>E107*D84</f>
        <v>37719.466400000005</v>
      </c>
      <c r="E109" s="307"/>
      <c r="F109" s="49"/>
      <c r="G109" s="48"/>
      <c r="H109" s="87"/>
    </row>
    <row r="110" spans="2:8" ht="18.75" x14ac:dyDescent="0.3">
      <c r="B110" s="49"/>
      <c r="C110" s="76" t="s">
        <v>520</v>
      </c>
      <c r="D110" s="308">
        <f>D109/D83</f>
        <v>45.357703703703713</v>
      </c>
      <c r="E110" s="308"/>
      <c r="F110" s="49"/>
      <c r="G110" s="49"/>
      <c r="H110" s="94"/>
    </row>
    <row r="113" spans="2:27" ht="60.75" x14ac:dyDescent="0.8">
      <c r="B113" s="330" t="str">
        <f>CONCATENATE("ЛОТ № ",K116)</f>
        <v>ЛОТ № 4</v>
      </c>
      <c r="C113" s="330"/>
      <c r="D113" s="330"/>
      <c r="E113" s="330"/>
      <c r="F113" s="330"/>
      <c r="G113" s="330"/>
      <c r="H113" s="330"/>
    </row>
    <row r="114" spans="2:27" ht="18.75" x14ac:dyDescent="0.25">
      <c r="B114" s="331" t="s">
        <v>492</v>
      </c>
      <c r="C114" s="331"/>
      <c r="D114" s="331"/>
      <c r="E114" s="331"/>
      <c r="F114" s="331"/>
      <c r="G114" s="331"/>
      <c r="H114" s="87"/>
    </row>
    <row r="115" spans="2:27" ht="25.5" x14ac:dyDescent="0.25">
      <c r="B115" s="49"/>
      <c r="C115" s="59" t="s">
        <v>493</v>
      </c>
      <c r="D115" s="60"/>
      <c r="E115" s="49"/>
      <c r="F115" s="49"/>
      <c r="G115" s="48"/>
      <c r="H115" s="87"/>
      <c r="I115" s="88"/>
      <c r="J115" s="88"/>
      <c r="K115" s="88"/>
      <c r="L115" s="88" t="s">
        <v>454</v>
      </c>
      <c r="M115" s="88" t="s">
        <v>444</v>
      </c>
      <c r="N115" s="88" t="s">
        <v>445</v>
      </c>
      <c r="O115" s="88" t="s">
        <v>453</v>
      </c>
      <c r="P115" s="89" t="s">
        <v>446</v>
      </c>
      <c r="Q115" s="88" t="s">
        <v>435</v>
      </c>
      <c r="R115" s="40" t="s">
        <v>447</v>
      </c>
      <c r="S115" s="40" t="s">
        <v>522</v>
      </c>
      <c r="T115" s="88" t="s">
        <v>118</v>
      </c>
      <c r="U115" s="88" t="s">
        <v>500</v>
      </c>
      <c r="V115" s="88" t="s">
        <v>450</v>
      </c>
      <c r="W115" s="40" t="s">
        <v>448</v>
      </c>
      <c r="X115" s="40" t="s">
        <v>449</v>
      </c>
      <c r="Y115" s="88" t="s">
        <v>523</v>
      </c>
      <c r="Z115" s="88"/>
    </row>
    <row r="116" spans="2:27" ht="39.950000000000003" customHeight="1" x14ac:dyDescent="0.25">
      <c r="B116" s="50"/>
      <c r="C116" s="332" t="s">
        <v>494</v>
      </c>
      <c r="D116" s="335" t="s">
        <v>521</v>
      </c>
      <c r="E116" s="336"/>
      <c r="F116" s="336"/>
      <c r="G116" s="337"/>
      <c r="H116" s="90"/>
      <c r="I116" s="88" t="s">
        <v>443</v>
      </c>
      <c r="J116" s="88"/>
      <c r="K116" s="43">
        <f>IF(I116="","",COUNTA(I$5:I116))</f>
        <v>4</v>
      </c>
      <c r="L116" s="95" t="str">
        <f>INDEX('Ведомость расчета мин. платы'!$B$10:$T$209,MATCH(ЛОТЫ!$K116,'Ведомость расчета мин. платы'!$B$10:$B$209,0),2)</f>
        <v>Вишнево-Полянское</v>
      </c>
      <c r="M116" s="95">
        <f>INDEX('Ведомость расчета мин. платы'!$B$10:$T$209,MATCH(ЛОТЫ!$K116,'Ведомость расчета мин. платы'!$B$10:$B$209,0),3)</f>
        <v>19</v>
      </c>
      <c r="N116" s="95">
        <f>INDEX('Ведомость расчета мин. платы'!$B$10:$T$209,MATCH(ЛОТЫ!$K116,'Ведомость расчета мин. платы'!$B$10:$B$209,0),4)</f>
        <v>5</v>
      </c>
      <c r="O116" s="95">
        <f>INDEX('Ведомость расчета мин. платы'!$B$10:$T$209,MATCH(ЛОТЫ!$K116,'Ведомость расчета мин. платы'!$B$10:$B$209,0),5)</f>
        <v>1</v>
      </c>
      <c r="P116" s="89">
        <f>IFERROR(INDEX(Коэффициенты!$G$4:$O$106,MATCH(CONCATENATE($L116,"/",$M116,"/",$N116,"/",$O116),Коэффициенты!$O$4:$O$106,0),1),"")</f>
        <v>6.5</v>
      </c>
      <c r="Q116" s="40">
        <f>IFERROR(INDEX(Коэффициенты!$G$4:$O$106,MATCH(CONCATENATE($L116,"/",$M116,"/",$N116,"/",$O116),Коэффициенты!$O$4:$O$106,0),6),"")</f>
        <v>1279.8400000000001</v>
      </c>
      <c r="R116" s="40">
        <f>IFERROR(INDEX(Коэффициенты!$G$4:$O$106,MATCH(CONCATENATE($L116,"/",$M116,"/",$N116,"/",$O116),Коэффициенты!$O$4:$O$106,0),2),"")</f>
        <v>35943.57</v>
      </c>
      <c r="S116" s="43" t="str">
        <f>IFERROR(INDEX('Такс. опис.'!$A$5:$BW$50,MATCH(CONCATENATE($L116,"/",$M116,"/",$N116),'Такс. опис.'!$C$5:$C$50,0),26),"")</f>
        <v>5ОС4Б1ЛП+КЛ</v>
      </c>
      <c r="T116" s="43" t="str">
        <f>IFERROR(INDEX('Такс. опис.'!$A$5:$BW$50,MATCH(CONCATENATE($L116,"/",$M116,"/",$N116),'Такс. опис.'!$C$5:$C$50,0),47),"")</f>
        <v>Осина</v>
      </c>
      <c r="U116" s="43">
        <f>IFERROR(INDEX('Такс. опис.'!$A$5:$BW$50,MATCH(CONCATENATE($L116,"/",$M116,"/",$N116),'Такс. опис.'!$C$5:$C$50,0),49),"")</f>
        <v>45</v>
      </c>
      <c r="V116" s="103">
        <f>IFERROR(INDEX('Ведомость расчета мин. платы'!$AC$10:$AD$214,MATCH(CONCATENATE($L116,"/",$M116,"/",$N116,"/",$O116),'Ведомость расчета мин. платы'!$AC$10:$AC$214,0),2),"")</f>
        <v>1.5</v>
      </c>
      <c r="W116" s="40">
        <f>E144</f>
        <v>1.63</v>
      </c>
      <c r="X116" s="40">
        <f>D146</f>
        <v>58588.019099999998</v>
      </c>
      <c r="Y116" s="91">
        <f>D147</f>
        <v>45.777612123390419</v>
      </c>
      <c r="Z116" s="88"/>
      <c r="AA116" s="86">
        <f t="shared" si="3"/>
        <v>1</v>
      </c>
    </row>
    <row r="117" spans="2:27" ht="19.5" x14ac:dyDescent="0.25">
      <c r="B117" s="50"/>
      <c r="C117" s="333"/>
      <c r="D117" s="338" t="str">
        <f>CONCATENATE(L116, " участковое лесничество")</f>
        <v>Вишнево-Полянское участковое лесничество</v>
      </c>
      <c r="E117" s="338"/>
      <c r="F117" s="338"/>
      <c r="G117" s="338"/>
      <c r="H117" s="90"/>
      <c r="I117" s="88"/>
      <c r="J117" s="88">
        <f>IFERROR(IF(ISBLANK(K116),"",K116),"")</f>
        <v>4</v>
      </c>
      <c r="K117" s="88"/>
      <c r="L117" s="88"/>
      <c r="M117" s="88"/>
      <c r="N117" s="88"/>
      <c r="O117" s="88"/>
      <c r="P117" s="88"/>
      <c r="Q117" s="88"/>
      <c r="R117" s="88"/>
      <c r="S117" s="88"/>
      <c r="T117" s="88"/>
      <c r="U117" s="88"/>
      <c r="V117" s="88"/>
      <c r="W117" s="88"/>
      <c r="X117" s="88"/>
      <c r="Y117" s="88"/>
      <c r="Z117" s="88"/>
    </row>
    <row r="118" spans="2:27" ht="19.5" x14ac:dyDescent="0.25">
      <c r="B118" s="50"/>
      <c r="C118" s="334"/>
      <c r="D118" s="338" t="str">
        <f>CONCATENATE("кв. ",M116," ","выд."," ",N116," ","делянка", " ",O116)</f>
        <v>кв. 19 выд. 5 делянка 1</v>
      </c>
      <c r="E118" s="338"/>
      <c r="F118" s="338"/>
      <c r="G118" s="338"/>
      <c r="H118" s="90"/>
      <c r="I118" s="88"/>
      <c r="J118" s="88"/>
      <c r="K118" s="88"/>
      <c r="L118" s="88"/>
      <c r="M118" s="88"/>
      <c r="N118" s="88"/>
      <c r="O118" s="88"/>
      <c r="P118" s="88"/>
      <c r="Q118" s="88"/>
      <c r="R118" s="88"/>
      <c r="S118" s="88"/>
      <c r="T118" s="88"/>
      <c r="U118" s="88"/>
      <c r="V118" s="88"/>
      <c r="W118" s="88"/>
      <c r="X118" s="88"/>
      <c r="Y118" s="88"/>
      <c r="Z118" s="88"/>
    </row>
    <row r="119" spans="2:27" ht="23.25" x14ac:dyDescent="0.25">
      <c r="B119" s="49"/>
      <c r="C119" s="61" t="s">
        <v>495</v>
      </c>
      <c r="D119" s="51">
        <f>P116</f>
        <v>6.5</v>
      </c>
      <c r="E119" s="62"/>
      <c r="F119" s="50"/>
      <c r="G119" s="48"/>
      <c r="H119" s="87"/>
    </row>
    <row r="120" spans="2:27" ht="22.5" x14ac:dyDescent="0.25">
      <c r="B120" s="49"/>
      <c r="C120" s="63" t="s">
        <v>496</v>
      </c>
      <c r="D120" s="106">
        <f>Q116</f>
        <v>1279.8400000000001</v>
      </c>
      <c r="E120" s="309" t="s">
        <v>497</v>
      </c>
      <c r="F120" s="310"/>
      <c r="G120" s="313">
        <f>D121/D120</f>
        <v>28.084424615576943</v>
      </c>
      <c r="H120" s="87"/>
    </row>
    <row r="121" spans="2:27" ht="22.5" x14ac:dyDescent="0.25">
      <c r="B121" s="49"/>
      <c r="C121" s="63" t="s">
        <v>498</v>
      </c>
      <c r="D121" s="52">
        <f>R116</f>
        <v>35943.57</v>
      </c>
      <c r="E121" s="311"/>
      <c r="F121" s="312"/>
      <c r="G121" s="314"/>
      <c r="H121" s="87"/>
    </row>
    <row r="122" spans="2:27" ht="23.25" x14ac:dyDescent="0.25">
      <c r="B122" s="49"/>
      <c r="C122" s="64"/>
      <c r="D122" s="53"/>
      <c r="E122" s="65"/>
      <c r="F122" s="49"/>
      <c r="G122" s="48"/>
      <c r="H122" s="87"/>
    </row>
    <row r="123" spans="2:27" ht="23.25" x14ac:dyDescent="0.25">
      <c r="B123" s="49"/>
      <c r="C123" s="82" t="s">
        <v>499</v>
      </c>
      <c r="D123" s="96" t="str">
        <f>S116</f>
        <v>5ОС4Б1ЛП+КЛ</v>
      </c>
      <c r="E123" s="49"/>
      <c r="F123" s="49"/>
      <c r="G123" s="48"/>
      <c r="H123" s="87"/>
    </row>
    <row r="124" spans="2:27" ht="23.25" x14ac:dyDescent="0.25">
      <c r="B124" s="49"/>
      <c r="C124" s="82" t="s">
        <v>500</v>
      </c>
      <c r="D124" s="96">
        <f>U116</f>
        <v>45</v>
      </c>
      <c r="E124" s="49"/>
      <c r="F124" s="49"/>
      <c r="G124" s="48"/>
      <c r="H124" s="87"/>
    </row>
    <row r="125" spans="2:27" ht="23.25" x14ac:dyDescent="0.25">
      <c r="B125" s="49"/>
      <c r="C125" s="82" t="s">
        <v>501</v>
      </c>
      <c r="D125" s="83" t="s">
        <v>502</v>
      </c>
      <c r="E125" s="49"/>
      <c r="F125" s="49"/>
      <c r="G125" s="48"/>
      <c r="H125" s="87"/>
    </row>
    <row r="126" spans="2:27" ht="24" thickBot="1" x14ac:dyDescent="0.3">
      <c r="B126" s="49"/>
      <c r="C126" s="49"/>
      <c r="D126" s="49"/>
      <c r="E126" s="49"/>
      <c r="F126" s="49"/>
      <c r="G126" s="48"/>
      <c r="H126" s="87"/>
    </row>
    <row r="127" spans="2:27" ht="48" thickBot="1" x14ac:dyDescent="0.3">
      <c r="B127" s="315" t="s">
        <v>436</v>
      </c>
      <c r="C127" s="316"/>
      <c r="D127" s="54" t="s">
        <v>503</v>
      </c>
      <c r="E127" s="317" t="s">
        <v>504</v>
      </c>
      <c r="F127" s="318"/>
      <c r="G127" s="55" t="s">
        <v>505</v>
      </c>
      <c r="H127" s="87"/>
    </row>
    <row r="128" spans="2:27" ht="24" thickBot="1" x14ac:dyDescent="0.3">
      <c r="B128" s="319" t="s">
        <v>506</v>
      </c>
      <c r="C128" s="320"/>
      <c r="D128" s="136">
        <v>197.93</v>
      </c>
      <c r="E128" s="136">
        <f>D119</f>
        <v>6.5</v>
      </c>
      <c r="F128" s="77" t="s">
        <v>434</v>
      </c>
      <c r="G128" s="142">
        <f t="shared" ref="G128:G135" si="5">D128*E128</f>
        <v>1286.5450000000001</v>
      </c>
      <c r="H128" s="321"/>
    </row>
    <row r="129" spans="2:8" ht="40.15" customHeight="1" x14ac:dyDescent="0.25">
      <c r="B129" s="322" t="s">
        <v>507</v>
      </c>
      <c r="C129" s="323"/>
      <c r="D129" s="137">
        <v>159.44</v>
      </c>
      <c r="E129" s="137">
        <f>V116</f>
        <v>1.5</v>
      </c>
      <c r="F129" s="78" t="s">
        <v>437</v>
      </c>
      <c r="G129" s="143">
        <f t="shared" si="5"/>
        <v>239.16</v>
      </c>
      <c r="H129" s="321"/>
    </row>
    <row r="130" spans="2:8" ht="24" thickBot="1" x14ac:dyDescent="0.3">
      <c r="B130" s="324" t="s">
        <v>508</v>
      </c>
      <c r="C130" s="325"/>
      <c r="D130" s="138">
        <v>276.62</v>
      </c>
      <c r="E130" s="138">
        <f>V116</f>
        <v>1.5</v>
      </c>
      <c r="F130" s="79" t="s">
        <v>437</v>
      </c>
      <c r="G130" s="144">
        <f t="shared" si="5"/>
        <v>414.93</v>
      </c>
      <c r="H130" s="321"/>
    </row>
    <row r="131" spans="2:8" ht="24" thickBot="1" x14ac:dyDescent="0.3">
      <c r="B131" s="326" t="s">
        <v>438</v>
      </c>
      <c r="C131" s="327"/>
      <c r="D131" s="139">
        <v>519</v>
      </c>
      <c r="E131" s="139"/>
      <c r="F131" s="80" t="s">
        <v>434</v>
      </c>
      <c r="G131" s="145">
        <f t="shared" si="5"/>
        <v>0</v>
      </c>
      <c r="H131" s="321"/>
    </row>
    <row r="132" spans="2:8" ht="49.9" customHeight="1" x14ac:dyDescent="0.25">
      <c r="B132" s="322" t="s">
        <v>509</v>
      </c>
      <c r="C132" s="323"/>
      <c r="D132" s="137">
        <v>920</v>
      </c>
      <c r="E132" s="137">
        <f>D119*2</f>
        <v>13</v>
      </c>
      <c r="F132" s="78" t="s">
        <v>434</v>
      </c>
      <c r="G132" s="143">
        <f t="shared" si="5"/>
        <v>11960</v>
      </c>
      <c r="H132" s="321"/>
    </row>
    <row r="133" spans="2:8" ht="23.25" x14ac:dyDescent="0.25">
      <c r="B133" s="328" t="s">
        <v>510</v>
      </c>
      <c r="C133" s="329"/>
      <c r="D133" s="140">
        <v>1300</v>
      </c>
      <c r="E133" s="140">
        <f>IF(T116="Осина",D119,"0")</f>
        <v>6.5</v>
      </c>
      <c r="F133" s="81" t="s">
        <v>434</v>
      </c>
      <c r="G133" s="146">
        <f t="shared" si="5"/>
        <v>8450</v>
      </c>
      <c r="H133" s="321"/>
    </row>
    <row r="134" spans="2:8" ht="23.25" x14ac:dyDescent="0.25">
      <c r="B134" s="328" t="s">
        <v>439</v>
      </c>
      <c r="C134" s="329"/>
      <c r="D134" s="141">
        <v>5165.12</v>
      </c>
      <c r="E134" s="140" t="str">
        <f>IF(T116="Осина","0",D119)</f>
        <v>0</v>
      </c>
      <c r="F134" s="81" t="s">
        <v>434</v>
      </c>
      <c r="G134" s="146">
        <f t="shared" si="5"/>
        <v>0</v>
      </c>
      <c r="H134" s="321"/>
    </row>
    <row r="135" spans="2:8" ht="23.25" x14ac:dyDescent="0.25">
      <c r="B135" s="328" t="s">
        <v>511</v>
      </c>
      <c r="C135" s="329"/>
      <c r="D135" s="141">
        <v>917</v>
      </c>
      <c r="E135" s="140" t="str">
        <f>IF(T116="Осина","0",D119)</f>
        <v>0</v>
      </c>
      <c r="F135" s="81" t="s">
        <v>434</v>
      </c>
      <c r="G135" s="146">
        <f t="shared" si="5"/>
        <v>0</v>
      </c>
      <c r="H135" s="321"/>
    </row>
    <row r="136" spans="2:8" ht="23.25" x14ac:dyDescent="0.25">
      <c r="B136" s="328" t="s">
        <v>441</v>
      </c>
      <c r="C136" s="329"/>
      <c r="D136" s="141">
        <v>461.56000000000006</v>
      </c>
      <c r="E136" s="140" t="str">
        <f>IF(T116="Осина","0",D119)</f>
        <v>0</v>
      </c>
      <c r="F136" s="81" t="s">
        <v>434</v>
      </c>
      <c r="G136" s="146">
        <f>D136*E136</f>
        <v>0</v>
      </c>
      <c r="H136" s="321"/>
    </row>
    <row r="137" spans="2:8" ht="24" thickBot="1" x14ac:dyDescent="0.3">
      <c r="B137" s="324" t="s">
        <v>440</v>
      </c>
      <c r="C137" s="325"/>
      <c r="D137" s="138">
        <v>353.15</v>
      </c>
      <c r="E137" s="140" t="str">
        <f>IF(T116="Осина","0",D119*4)</f>
        <v>0</v>
      </c>
      <c r="F137" s="79" t="s">
        <v>434</v>
      </c>
      <c r="G137" s="147">
        <f>D137*E137</f>
        <v>0</v>
      </c>
      <c r="H137" s="321"/>
    </row>
    <row r="138" spans="2:8" ht="23.25" x14ac:dyDescent="0.25">
      <c r="B138" s="49"/>
      <c r="C138" s="66"/>
      <c r="D138" s="66"/>
      <c r="E138" s="56"/>
      <c r="F138" s="56"/>
      <c r="G138" s="48"/>
      <c r="H138" s="92"/>
    </row>
    <row r="139" spans="2:8" ht="25.5" x14ac:dyDescent="0.25">
      <c r="B139" s="49"/>
      <c r="C139" s="59" t="s">
        <v>512</v>
      </c>
      <c r="D139" s="60"/>
      <c r="E139" s="49"/>
      <c r="F139" s="49"/>
      <c r="G139" s="48"/>
      <c r="H139" s="87"/>
    </row>
    <row r="140" spans="2:8" ht="18.75" x14ac:dyDescent="0.25">
      <c r="B140" s="49"/>
      <c r="C140" s="306" t="s">
        <v>513</v>
      </c>
      <c r="D140" s="67" t="s">
        <v>514</v>
      </c>
      <c r="E140" s="68">
        <f>ROUND((G128+D121)/D121,2)</f>
        <v>1.04</v>
      </c>
      <c r="F140" s="68"/>
      <c r="G140" s="50"/>
      <c r="H140" s="87"/>
    </row>
    <row r="141" spans="2:8" ht="23.25" x14ac:dyDescent="0.25">
      <c r="B141" s="49"/>
      <c r="C141" s="306"/>
      <c r="D141" s="67" t="s">
        <v>515</v>
      </c>
      <c r="E141" s="68">
        <f>ROUND((G129+G130+D121)/D121,2)</f>
        <v>1.02</v>
      </c>
      <c r="F141" s="68"/>
      <c r="G141" s="57"/>
      <c r="H141" s="93"/>
    </row>
    <row r="142" spans="2:8" ht="23.25" x14ac:dyDescent="0.25">
      <c r="B142" s="49"/>
      <c r="C142" s="306"/>
      <c r="D142" s="67" t="s">
        <v>516</v>
      </c>
      <c r="E142" s="68">
        <f>ROUND((G131+D121)/D121,2)</f>
        <v>1</v>
      </c>
      <c r="F142" s="50"/>
      <c r="G142" s="57"/>
      <c r="H142" s="87"/>
    </row>
    <row r="143" spans="2:8" ht="23.25" x14ac:dyDescent="0.25">
      <c r="B143" s="49"/>
      <c r="C143" s="306"/>
      <c r="D143" s="69" t="s">
        <v>517</v>
      </c>
      <c r="E143" s="70">
        <f>ROUND((SUM(G132:G137)+D121)/D121,2)</f>
        <v>1.57</v>
      </c>
      <c r="F143" s="50"/>
      <c r="G143" s="57"/>
      <c r="H143" s="87"/>
    </row>
    <row r="144" spans="2:8" ht="25.5" x14ac:dyDescent="0.25">
      <c r="B144" s="49"/>
      <c r="C144" s="49"/>
      <c r="D144" s="71" t="s">
        <v>518</v>
      </c>
      <c r="E144" s="72">
        <f>SUM(E140:E143)-IF(D125="сплошная",3,2)</f>
        <v>1.63</v>
      </c>
      <c r="F144" s="73"/>
      <c r="G144" s="48"/>
      <c r="H144" s="87"/>
    </row>
    <row r="145" spans="2:27" ht="23.25" x14ac:dyDescent="0.25">
      <c r="B145" s="49"/>
      <c r="C145" s="49"/>
      <c r="D145" s="49"/>
      <c r="E145" s="74"/>
      <c r="F145" s="49"/>
      <c r="G145" s="48"/>
      <c r="H145" s="87"/>
    </row>
    <row r="146" spans="2:27" ht="25.5" x14ac:dyDescent="0.35">
      <c r="B146" s="58"/>
      <c r="C146" s="75" t="s">
        <v>519</v>
      </c>
      <c r="D146" s="307">
        <f>E144*D121</f>
        <v>58588.019099999998</v>
      </c>
      <c r="E146" s="307"/>
      <c r="F146" s="49"/>
      <c r="G146" s="48"/>
      <c r="H146" s="87"/>
    </row>
    <row r="147" spans="2:27" ht="18.75" x14ac:dyDescent="0.3">
      <c r="B147" s="49"/>
      <c r="C147" s="76" t="s">
        <v>520</v>
      </c>
      <c r="D147" s="308">
        <f>D146/D120</f>
        <v>45.777612123390419</v>
      </c>
      <c r="E147" s="308"/>
      <c r="F147" s="49"/>
      <c r="G147" s="49"/>
      <c r="H147" s="94"/>
    </row>
    <row r="150" spans="2:27" ht="60.75" x14ac:dyDescent="0.8">
      <c r="B150" s="330" t="str">
        <f>CONCATENATE("ЛОТ № ",K153)</f>
        <v>ЛОТ № 5</v>
      </c>
      <c r="C150" s="330"/>
      <c r="D150" s="330"/>
      <c r="E150" s="330"/>
      <c r="F150" s="330"/>
      <c r="G150" s="330"/>
      <c r="H150" s="330"/>
    </row>
    <row r="151" spans="2:27" ht="18.75" x14ac:dyDescent="0.25">
      <c r="B151" s="331" t="s">
        <v>492</v>
      </c>
      <c r="C151" s="331"/>
      <c r="D151" s="331"/>
      <c r="E151" s="331"/>
      <c r="F151" s="331"/>
      <c r="G151" s="331"/>
      <c r="H151" s="87"/>
    </row>
    <row r="152" spans="2:27" ht="25.5" x14ac:dyDescent="0.25">
      <c r="B152" s="49"/>
      <c r="C152" s="59" t="s">
        <v>493</v>
      </c>
      <c r="D152" s="60"/>
      <c r="E152" s="49"/>
      <c r="F152" s="49"/>
      <c r="G152" s="48"/>
      <c r="H152" s="87"/>
      <c r="I152" s="88"/>
      <c r="J152" s="88"/>
      <c r="K152" s="88"/>
      <c r="L152" s="88" t="s">
        <v>454</v>
      </c>
      <c r="M152" s="88" t="s">
        <v>444</v>
      </c>
      <c r="N152" s="88" t="s">
        <v>445</v>
      </c>
      <c r="O152" s="88" t="s">
        <v>453</v>
      </c>
      <c r="P152" s="89" t="s">
        <v>446</v>
      </c>
      <c r="Q152" s="88" t="s">
        <v>435</v>
      </c>
      <c r="R152" s="40" t="s">
        <v>447</v>
      </c>
      <c r="S152" s="40" t="s">
        <v>522</v>
      </c>
      <c r="T152" s="88" t="s">
        <v>118</v>
      </c>
      <c r="U152" s="88" t="s">
        <v>500</v>
      </c>
      <c r="V152" s="88" t="s">
        <v>450</v>
      </c>
      <c r="W152" s="40" t="s">
        <v>448</v>
      </c>
      <c r="X152" s="40" t="s">
        <v>449</v>
      </c>
      <c r="Y152" s="88" t="s">
        <v>523</v>
      </c>
      <c r="Z152" s="88"/>
    </row>
    <row r="153" spans="2:27" ht="39.950000000000003" customHeight="1" x14ac:dyDescent="0.25">
      <c r="B153" s="50"/>
      <c r="C153" s="332" t="s">
        <v>494</v>
      </c>
      <c r="D153" s="335" t="s">
        <v>521</v>
      </c>
      <c r="E153" s="336"/>
      <c r="F153" s="336"/>
      <c r="G153" s="337"/>
      <c r="H153" s="90"/>
      <c r="I153" s="88" t="s">
        <v>443</v>
      </c>
      <c r="J153" s="88"/>
      <c r="K153" s="43">
        <f>IF(I153="","",COUNTA(I$5:I153))</f>
        <v>5</v>
      </c>
      <c r="L153" s="95" t="str">
        <f>INDEX('Ведомость расчета мин. платы'!$B$10:$T$209,MATCH(ЛОТЫ!$K153,'Ведомость расчета мин. платы'!$B$10:$B$209,0),2)</f>
        <v>Вишнево-Полянское</v>
      </c>
      <c r="M153" s="95">
        <f>INDEX('Ведомость расчета мин. платы'!$B$10:$T$209,MATCH(ЛОТЫ!$K153,'Ведомость расчета мин. платы'!$B$10:$B$209,0),3)</f>
        <v>32</v>
      </c>
      <c r="N153" s="95">
        <f>INDEX('Ведомость расчета мин. платы'!$B$10:$T$209,MATCH(ЛОТЫ!$K153,'Ведомость расчета мин. платы'!$B$10:$B$209,0),4)</f>
        <v>7</v>
      </c>
      <c r="O153" s="95">
        <f>INDEX('Ведомость расчета мин. платы'!$B$10:$T$209,MATCH(ЛОТЫ!$K153,'Ведомость расчета мин. платы'!$B$10:$B$209,0),5)</f>
        <v>1</v>
      </c>
      <c r="P153" s="89">
        <f>IFERROR(INDEX(Коэффициенты!$G$4:$O$106,MATCH(CONCATENATE($L153,"/",$M153,"/",$N153,"/",$O153),Коэффициенты!$O$4:$O$106,0),1),"")</f>
        <v>2.5</v>
      </c>
      <c r="Q153" s="40">
        <f>IFERROR(INDEX(Коэффициенты!$G$4:$O$106,MATCH(CONCATENATE($L153,"/",$M153,"/",$N153,"/",$O153),Коэффициенты!$O$4:$O$106,0),6),"")</f>
        <v>420.9</v>
      </c>
      <c r="R153" s="40">
        <f>IFERROR(INDEX(Коэффициенты!$G$4:$O$106,MATCH(CONCATENATE($L153,"/",$M153,"/",$N153,"/",$O153),Коэффициенты!$O$4:$O$106,0),2),"")</f>
        <v>11657.369999999999</v>
      </c>
      <c r="S153" s="43" t="str">
        <f>IFERROR(INDEX('Такс. опис.'!$A$5:$BW$50,MATCH(CONCATENATE($L153,"/",$M153,"/",$N153),'Такс. опис.'!$C$5:$C$50,0),26),"")</f>
        <v>5ОС3Б2ЛП+КЛ</v>
      </c>
      <c r="T153" s="43" t="str">
        <f>IFERROR(INDEX('Такс. опис.'!$A$5:$BW$50,MATCH(CONCATENATE($L153,"/",$M153,"/",$N153),'Такс. опис.'!$C$5:$C$50,0),47),"")</f>
        <v>Осина</v>
      </c>
      <c r="U153" s="43">
        <f>IFERROR(INDEX('Такс. опис.'!$A$5:$BW$50,MATCH(CONCATENATE($L153,"/",$M153,"/",$N153),'Такс. опис.'!$C$5:$C$50,0),49),"")</f>
        <v>55</v>
      </c>
      <c r="V153" s="103">
        <f>IFERROR(INDEX('Ведомость расчета мин. платы'!$AC$10:$AD$214,MATCH(CONCATENATE($L153,"/",$M153,"/",$N153,"/",$O153),'Ведомость расчета мин. платы'!$AC$10:$AC$214,0),2),"")</f>
        <v>0.7</v>
      </c>
      <c r="W153" s="40">
        <f>E181</f>
        <v>1.7400000000000002</v>
      </c>
      <c r="X153" s="40">
        <f>D183</f>
        <v>20283.823800000002</v>
      </c>
      <c r="Y153" s="91">
        <f>D184</f>
        <v>48.191550962223815</v>
      </c>
      <c r="Z153" s="88"/>
      <c r="AA153" s="86">
        <f t="shared" ref="AA153:AA190" si="6">IF(M153&gt;0,1,0)</f>
        <v>1</v>
      </c>
    </row>
    <row r="154" spans="2:27" ht="19.5" x14ac:dyDescent="0.25">
      <c r="B154" s="50"/>
      <c r="C154" s="333"/>
      <c r="D154" s="338" t="str">
        <f>CONCATENATE(L153, " участковое лесничество")</f>
        <v>Вишнево-Полянское участковое лесничество</v>
      </c>
      <c r="E154" s="338"/>
      <c r="F154" s="338"/>
      <c r="G154" s="338"/>
      <c r="H154" s="90"/>
      <c r="I154" s="88"/>
      <c r="J154" s="88">
        <f>IFERROR(IF(ISBLANK(K153),"",K153),"")</f>
        <v>5</v>
      </c>
      <c r="K154" s="88"/>
      <c r="L154" s="88"/>
      <c r="M154" s="88"/>
      <c r="N154" s="88"/>
      <c r="O154" s="88"/>
      <c r="P154" s="88"/>
      <c r="Q154" s="88"/>
      <c r="R154" s="88"/>
      <c r="S154" s="88"/>
      <c r="T154" s="88"/>
      <c r="U154" s="88"/>
      <c r="V154" s="88"/>
      <c r="W154" s="88"/>
      <c r="X154" s="88"/>
      <c r="Y154" s="88"/>
      <c r="Z154" s="88"/>
    </row>
    <row r="155" spans="2:27" ht="19.5" x14ac:dyDescent="0.25">
      <c r="B155" s="50"/>
      <c r="C155" s="334"/>
      <c r="D155" s="338" t="str">
        <f>CONCATENATE("кв. ",M153," ","выд."," ",N153," ","делянка", " ",O153)</f>
        <v>кв. 32 выд. 7 делянка 1</v>
      </c>
      <c r="E155" s="338"/>
      <c r="F155" s="338"/>
      <c r="G155" s="338"/>
      <c r="H155" s="90"/>
      <c r="I155" s="88"/>
      <c r="J155" s="88"/>
      <c r="K155" s="88"/>
      <c r="L155" s="88"/>
      <c r="M155" s="88"/>
      <c r="N155" s="88"/>
      <c r="O155" s="88"/>
      <c r="P155" s="88"/>
      <c r="Q155" s="88"/>
      <c r="R155" s="88"/>
      <c r="S155" s="88"/>
      <c r="T155" s="88"/>
      <c r="U155" s="88"/>
      <c r="V155" s="88"/>
      <c r="W155" s="88"/>
      <c r="X155" s="88"/>
      <c r="Y155" s="88"/>
      <c r="Z155" s="88"/>
    </row>
    <row r="156" spans="2:27" ht="23.25" x14ac:dyDescent="0.25">
      <c r="B156" s="49"/>
      <c r="C156" s="61" t="s">
        <v>495</v>
      </c>
      <c r="D156" s="51">
        <f>P153</f>
        <v>2.5</v>
      </c>
      <c r="E156" s="62"/>
      <c r="F156" s="50"/>
      <c r="G156" s="48"/>
      <c r="H156" s="87"/>
    </row>
    <row r="157" spans="2:27" ht="22.5" x14ac:dyDescent="0.25">
      <c r="B157" s="49"/>
      <c r="C157" s="63" t="s">
        <v>496</v>
      </c>
      <c r="D157" s="106">
        <f>Q153</f>
        <v>420.9</v>
      </c>
      <c r="E157" s="309" t="s">
        <v>497</v>
      </c>
      <c r="F157" s="310"/>
      <c r="G157" s="313">
        <f>D158/D157</f>
        <v>27.696293656450461</v>
      </c>
      <c r="H157" s="87"/>
    </row>
    <row r="158" spans="2:27" ht="22.5" x14ac:dyDescent="0.25">
      <c r="B158" s="49"/>
      <c r="C158" s="63" t="s">
        <v>498</v>
      </c>
      <c r="D158" s="52">
        <f>R153</f>
        <v>11657.369999999999</v>
      </c>
      <c r="E158" s="311"/>
      <c r="F158" s="312"/>
      <c r="G158" s="314"/>
      <c r="H158" s="87"/>
    </row>
    <row r="159" spans="2:27" ht="23.25" x14ac:dyDescent="0.25">
      <c r="B159" s="49"/>
      <c r="C159" s="64"/>
      <c r="D159" s="53"/>
      <c r="E159" s="65"/>
      <c r="F159" s="49"/>
      <c r="G159" s="48"/>
      <c r="H159" s="87"/>
    </row>
    <row r="160" spans="2:27" ht="23.25" x14ac:dyDescent="0.25">
      <c r="B160" s="49"/>
      <c r="C160" s="82" t="s">
        <v>499</v>
      </c>
      <c r="D160" s="96" t="str">
        <f>S153</f>
        <v>5ОС3Б2ЛП+КЛ</v>
      </c>
      <c r="E160" s="49"/>
      <c r="F160" s="49"/>
      <c r="G160" s="48"/>
      <c r="H160" s="87"/>
    </row>
    <row r="161" spans="2:8" ht="23.25" x14ac:dyDescent="0.25">
      <c r="B161" s="49"/>
      <c r="C161" s="82" t="s">
        <v>500</v>
      </c>
      <c r="D161" s="96">
        <f>U153</f>
        <v>55</v>
      </c>
      <c r="E161" s="49"/>
      <c r="F161" s="49"/>
      <c r="G161" s="48"/>
      <c r="H161" s="87"/>
    </row>
    <row r="162" spans="2:8" ht="23.25" x14ac:dyDescent="0.25">
      <c r="B162" s="49"/>
      <c r="C162" s="82" t="s">
        <v>501</v>
      </c>
      <c r="D162" s="83" t="s">
        <v>502</v>
      </c>
      <c r="E162" s="49"/>
      <c r="F162" s="49"/>
      <c r="G162" s="48"/>
      <c r="H162" s="87"/>
    </row>
    <row r="163" spans="2:8" ht="24" thickBot="1" x14ac:dyDescent="0.3">
      <c r="B163" s="49"/>
      <c r="C163" s="49"/>
      <c r="D163" s="49"/>
      <c r="E163" s="49"/>
      <c r="F163" s="49"/>
      <c r="G163" s="48"/>
      <c r="H163" s="87"/>
    </row>
    <row r="164" spans="2:8" ht="48" thickBot="1" x14ac:dyDescent="0.3">
      <c r="B164" s="315" t="s">
        <v>436</v>
      </c>
      <c r="C164" s="316"/>
      <c r="D164" s="54" t="s">
        <v>503</v>
      </c>
      <c r="E164" s="317" t="s">
        <v>504</v>
      </c>
      <c r="F164" s="318"/>
      <c r="G164" s="55" t="s">
        <v>505</v>
      </c>
      <c r="H164" s="87"/>
    </row>
    <row r="165" spans="2:8" ht="24" thickBot="1" x14ac:dyDescent="0.3">
      <c r="B165" s="319" t="s">
        <v>506</v>
      </c>
      <c r="C165" s="320"/>
      <c r="D165" s="136">
        <v>197.93</v>
      </c>
      <c r="E165" s="136">
        <f>D156</f>
        <v>2.5</v>
      </c>
      <c r="F165" s="77" t="s">
        <v>434</v>
      </c>
      <c r="G165" s="142">
        <f t="shared" ref="G165:G172" si="7">D165*E165</f>
        <v>494.82500000000005</v>
      </c>
      <c r="H165" s="321"/>
    </row>
    <row r="166" spans="2:8" ht="45.6" customHeight="1" x14ac:dyDescent="0.25">
      <c r="B166" s="322" t="s">
        <v>507</v>
      </c>
      <c r="C166" s="323"/>
      <c r="D166" s="137">
        <v>159.44</v>
      </c>
      <c r="E166" s="137">
        <f>V153</f>
        <v>0.7</v>
      </c>
      <c r="F166" s="78" t="s">
        <v>437</v>
      </c>
      <c r="G166" s="143">
        <f t="shared" si="7"/>
        <v>111.60799999999999</v>
      </c>
      <c r="H166" s="321"/>
    </row>
    <row r="167" spans="2:8" ht="24" thickBot="1" x14ac:dyDescent="0.3">
      <c r="B167" s="324" t="s">
        <v>508</v>
      </c>
      <c r="C167" s="325"/>
      <c r="D167" s="138">
        <v>276.62</v>
      </c>
      <c r="E167" s="138">
        <f>V153</f>
        <v>0.7</v>
      </c>
      <c r="F167" s="79" t="s">
        <v>437</v>
      </c>
      <c r="G167" s="144">
        <f t="shared" si="7"/>
        <v>193.63399999999999</v>
      </c>
      <c r="H167" s="321"/>
    </row>
    <row r="168" spans="2:8" ht="24" thickBot="1" x14ac:dyDescent="0.3">
      <c r="B168" s="326" t="s">
        <v>438</v>
      </c>
      <c r="C168" s="327"/>
      <c r="D168" s="139">
        <v>519</v>
      </c>
      <c r="E168" s="139"/>
      <c r="F168" s="80" t="s">
        <v>434</v>
      </c>
      <c r="G168" s="145">
        <f t="shared" si="7"/>
        <v>0</v>
      </c>
      <c r="H168" s="321"/>
    </row>
    <row r="169" spans="2:8" ht="48" customHeight="1" x14ac:dyDescent="0.25">
      <c r="B169" s="322" t="s">
        <v>509</v>
      </c>
      <c r="C169" s="323"/>
      <c r="D169" s="137">
        <v>920</v>
      </c>
      <c r="E169" s="137">
        <f>D156*2</f>
        <v>5</v>
      </c>
      <c r="F169" s="78" t="s">
        <v>434</v>
      </c>
      <c r="G169" s="143">
        <f t="shared" si="7"/>
        <v>4600</v>
      </c>
      <c r="H169" s="321"/>
    </row>
    <row r="170" spans="2:8" ht="23.25" x14ac:dyDescent="0.25">
      <c r="B170" s="328" t="s">
        <v>510</v>
      </c>
      <c r="C170" s="329"/>
      <c r="D170" s="140">
        <v>1300</v>
      </c>
      <c r="E170" s="140">
        <f>IF(T153="Осина",D156,"0")</f>
        <v>2.5</v>
      </c>
      <c r="F170" s="81" t="s">
        <v>434</v>
      </c>
      <c r="G170" s="146">
        <f t="shared" si="7"/>
        <v>3250</v>
      </c>
      <c r="H170" s="321"/>
    </row>
    <row r="171" spans="2:8" ht="23.25" x14ac:dyDescent="0.25">
      <c r="B171" s="328" t="s">
        <v>439</v>
      </c>
      <c r="C171" s="329"/>
      <c r="D171" s="141">
        <v>5165.12</v>
      </c>
      <c r="E171" s="140" t="str">
        <f>IF(T153="Осина","0",D156)</f>
        <v>0</v>
      </c>
      <c r="F171" s="81" t="s">
        <v>434</v>
      </c>
      <c r="G171" s="146">
        <f t="shared" si="7"/>
        <v>0</v>
      </c>
      <c r="H171" s="321"/>
    </row>
    <row r="172" spans="2:8" ht="23.25" x14ac:dyDescent="0.25">
      <c r="B172" s="328" t="s">
        <v>511</v>
      </c>
      <c r="C172" s="329"/>
      <c r="D172" s="141">
        <v>917</v>
      </c>
      <c r="E172" s="140" t="str">
        <f>IF(T153="Осина","0",D156)</f>
        <v>0</v>
      </c>
      <c r="F172" s="81" t="s">
        <v>434</v>
      </c>
      <c r="G172" s="146">
        <f t="shared" si="7"/>
        <v>0</v>
      </c>
      <c r="H172" s="321"/>
    </row>
    <row r="173" spans="2:8" ht="23.25" x14ac:dyDescent="0.25">
      <c r="B173" s="328" t="s">
        <v>441</v>
      </c>
      <c r="C173" s="329"/>
      <c r="D173" s="141">
        <v>461.56000000000006</v>
      </c>
      <c r="E173" s="140" t="str">
        <f>IF(T153="Осина","0",D156)</f>
        <v>0</v>
      </c>
      <c r="F173" s="81" t="s">
        <v>434</v>
      </c>
      <c r="G173" s="146">
        <f>D173*E173</f>
        <v>0</v>
      </c>
      <c r="H173" s="321"/>
    </row>
    <row r="174" spans="2:8" ht="24" thickBot="1" x14ac:dyDescent="0.3">
      <c r="B174" s="324" t="s">
        <v>440</v>
      </c>
      <c r="C174" s="325"/>
      <c r="D174" s="138">
        <v>353.15</v>
      </c>
      <c r="E174" s="140" t="str">
        <f>IF(T153="Осина","0",D156*4)</f>
        <v>0</v>
      </c>
      <c r="F174" s="79" t="s">
        <v>434</v>
      </c>
      <c r="G174" s="147">
        <f>D174*E174</f>
        <v>0</v>
      </c>
      <c r="H174" s="321"/>
    </row>
    <row r="175" spans="2:8" ht="23.25" x14ac:dyDescent="0.25">
      <c r="B175" s="49"/>
      <c r="C175" s="66"/>
      <c r="D175" s="66"/>
      <c r="E175" s="56"/>
      <c r="F175" s="56"/>
      <c r="G175" s="48"/>
      <c r="H175" s="92"/>
    </row>
    <row r="176" spans="2:8" ht="25.5" x14ac:dyDescent="0.25">
      <c r="B176" s="49"/>
      <c r="C176" s="59" t="s">
        <v>512</v>
      </c>
      <c r="D176" s="60"/>
      <c r="E176" s="49"/>
      <c r="F176" s="49"/>
      <c r="G176" s="48"/>
      <c r="H176" s="87"/>
    </row>
    <row r="177" spans="2:27" ht="18.75" x14ac:dyDescent="0.25">
      <c r="B177" s="49"/>
      <c r="C177" s="306" t="s">
        <v>513</v>
      </c>
      <c r="D177" s="67" t="s">
        <v>514</v>
      </c>
      <c r="E177" s="68">
        <f>ROUND((G165+D158)/D158,2)</f>
        <v>1.04</v>
      </c>
      <c r="F177" s="68"/>
      <c r="G177" s="50"/>
      <c r="H177" s="87"/>
    </row>
    <row r="178" spans="2:27" ht="23.25" x14ac:dyDescent="0.25">
      <c r="B178" s="49"/>
      <c r="C178" s="306"/>
      <c r="D178" s="67" t="s">
        <v>515</v>
      </c>
      <c r="E178" s="68">
        <f>ROUND((G166+G167+D158)/D158,2)</f>
        <v>1.03</v>
      </c>
      <c r="F178" s="68"/>
      <c r="G178" s="57"/>
      <c r="H178" s="93"/>
    </row>
    <row r="179" spans="2:27" ht="23.25" x14ac:dyDescent="0.25">
      <c r="B179" s="49"/>
      <c r="C179" s="306"/>
      <c r="D179" s="67" t="s">
        <v>516</v>
      </c>
      <c r="E179" s="68">
        <f>ROUND((G168+D158)/D158,2)</f>
        <v>1</v>
      </c>
      <c r="F179" s="50"/>
      <c r="G179" s="57"/>
      <c r="H179" s="87"/>
    </row>
    <row r="180" spans="2:27" ht="23.25" x14ac:dyDescent="0.25">
      <c r="B180" s="49"/>
      <c r="C180" s="306"/>
      <c r="D180" s="69" t="s">
        <v>517</v>
      </c>
      <c r="E180" s="70">
        <f>ROUND((SUM(G169:G174)+D158)/D158,2)</f>
        <v>1.67</v>
      </c>
      <c r="F180" s="50"/>
      <c r="G180" s="57"/>
      <c r="H180" s="87"/>
    </row>
    <row r="181" spans="2:27" ht="25.5" x14ac:dyDescent="0.25">
      <c r="B181" s="49"/>
      <c r="C181" s="49"/>
      <c r="D181" s="71" t="s">
        <v>518</v>
      </c>
      <c r="E181" s="72">
        <f>SUM(E177:E180)-IF(D162="сплошная",3,2)</f>
        <v>1.7400000000000002</v>
      </c>
      <c r="F181" s="73"/>
      <c r="G181" s="48"/>
      <c r="H181" s="87"/>
    </row>
    <row r="182" spans="2:27" ht="23.25" x14ac:dyDescent="0.25">
      <c r="B182" s="49"/>
      <c r="C182" s="49"/>
      <c r="D182" s="49"/>
      <c r="E182" s="74"/>
      <c r="F182" s="49"/>
      <c r="G182" s="48"/>
      <c r="H182" s="87"/>
    </row>
    <row r="183" spans="2:27" ht="25.5" x14ac:dyDescent="0.35">
      <c r="B183" s="58"/>
      <c r="C183" s="75" t="s">
        <v>519</v>
      </c>
      <c r="D183" s="307">
        <f>E181*D158</f>
        <v>20283.823800000002</v>
      </c>
      <c r="E183" s="307"/>
      <c r="F183" s="49"/>
      <c r="G183" s="48"/>
      <c r="H183" s="87"/>
    </row>
    <row r="184" spans="2:27" ht="18.75" x14ac:dyDescent="0.3">
      <c r="B184" s="49"/>
      <c r="C184" s="76" t="s">
        <v>520</v>
      </c>
      <c r="D184" s="308">
        <f>D183/D157</f>
        <v>48.191550962223815</v>
      </c>
      <c r="E184" s="308"/>
      <c r="F184" s="49"/>
      <c r="G184" s="49"/>
      <c r="H184" s="94"/>
    </row>
    <row r="187" spans="2:27" ht="60.75" x14ac:dyDescent="0.8">
      <c r="B187" s="330" t="str">
        <f>CONCATENATE("ЛОТ № ",K190)</f>
        <v>ЛОТ № 6</v>
      </c>
      <c r="C187" s="330"/>
      <c r="D187" s="330"/>
      <c r="E187" s="330"/>
      <c r="F187" s="330"/>
      <c r="G187" s="330"/>
      <c r="H187" s="330"/>
    </row>
    <row r="188" spans="2:27" ht="18.75" x14ac:dyDescent="0.25">
      <c r="B188" s="331" t="s">
        <v>492</v>
      </c>
      <c r="C188" s="331"/>
      <c r="D188" s="331"/>
      <c r="E188" s="331"/>
      <c r="F188" s="331"/>
      <c r="G188" s="331"/>
      <c r="H188" s="87"/>
    </row>
    <row r="189" spans="2:27" ht="25.5" x14ac:dyDescent="0.25">
      <c r="B189" s="49"/>
      <c r="C189" s="59" t="s">
        <v>493</v>
      </c>
      <c r="D189" s="60"/>
      <c r="E189" s="49"/>
      <c r="F189" s="49"/>
      <c r="G189" s="48"/>
      <c r="H189" s="87"/>
      <c r="I189" s="88"/>
      <c r="J189" s="88"/>
      <c r="K189" s="88"/>
      <c r="L189" s="88" t="s">
        <v>454</v>
      </c>
      <c r="M189" s="88" t="s">
        <v>444</v>
      </c>
      <c r="N189" s="88" t="s">
        <v>445</v>
      </c>
      <c r="O189" s="88" t="s">
        <v>453</v>
      </c>
      <c r="P189" s="89" t="s">
        <v>446</v>
      </c>
      <c r="Q189" s="88" t="s">
        <v>435</v>
      </c>
      <c r="R189" s="40" t="s">
        <v>447</v>
      </c>
      <c r="S189" s="40" t="s">
        <v>522</v>
      </c>
      <c r="T189" s="88" t="s">
        <v>118</v>
      </c>
      <c r="U189" s="88" t="s">
        <v>500</v>
      </c>
      <c r="V189" s="88" t="s">
        <v>450</v>
      </c>
      <c r="W189" s="40" t="s">
        <v>448</v>
      </c>
      <c r="X189" s="40" t="s">
        <v>449</v>
      </c>
      <c r="Y189" s="88" t="s">
        <v>523</v>
      </c>
      <c r="Z189" s="88"/>
    </row>
    <row r="190" spans="2:27" ht="39.950000000000003" customHeight="1" x14ac:dyDescent="0.25">
      <c r="B190" s="50"/>
      <c r="C190" s="332" t="s">
        <v>494</v>
      </c>
      <c r="D190" s="335" t="s">
        <v>521</v>
      </c>
      <c r="E190" s="336"/>
      <c r="F190" s="336"/>
      <c r="G190" s="337"/>
      <c r="H190" s="90"/>
      <c r="I190" s="88" t="s">
        <v>443</v>
      </c>
      <c r="J190" s="88"/>
      <c r="K190" s="43">
        <f>IF(I190="","",COUNTA(I$5:I190))</f>
        <v>6</v>
      </c>
      <c r="L190" s="95" t="str">
        <f>INDEX('Ведомость расчета мин. платы'!$B$10:$T$209,MATCH(ЛОТЫ!$K190,'Ведомость расчета мин. платы'!$B$10:$B$209,0),2)</f>
        <v>Вишнево-Полянское</v>
      </c>
      <c r="M190" s="95">
        <f>INDEX('Ведомость расчета мин. платы'!$B$10:$T$209,MATCH(ЛОТЫ!$K190,'Ведомость расчета мин. платы'!$B$10:$B$209,0),3)</f>
        <v>32</v>
      </c>
      <c r="N190" s="95">
        <f>INDEX('Ведомость расчета мин. платы'!$B$10:$T$209,MATCH(ЛОТЫ!$K190,'Ведомость расчета мин. платы'!$B$10:$B$209,0),4)</f>
        <v>7</v>
      </c>
      <c r="O190" s="95">
        <f>INDEX('Ведомость расчета мин. платы'!$B$10:$T$209,MATCH(ЛОТЫ!$K190,'Ведомость расчета мин. платы'!$B$10:$B$209,0),5)</f>
        <v>2</v>
      </c>
      <c r="P190" s="89">
        <f>IFERROR(INDEX(Коэффициенты!$G$4:$O$106,MATCH(CONCATENATE($L190,"/",$M190,"/",$N190,"/",$O190),Коэффициенты!$O$4:$O$106,0),1),"")</f>
        <v>2.5</v>
      </c>
      <c r="Q190" s="40">
        <f>IFERROR(INDEX(Коэффициенты!$G$4:$O$106,MATCH(CONCATENATE($L190,"/",$M190,"/",$N190,"/",$O190),Коэффициенты!$O$4:$O$106,0),6),"")</f>
        <v>403.9</v>
      </c>
      <c r="R190" s="40">
        <f>IFERROR(INDEX(Коэффициенты!$G$4:$O$106,MATCH(CONCATENATE($L190,"/",$M190,"/",$N190,"/",$O190),Коэффициенты!$O$4:$O$106,0),2),"")</f>
        <v>11769.89</v>
      </c>
      <c r="S190" s="43" t="str">
        <f>IFERROR(INDEX('Такс. опис.'!$A$5:$BW$50,MATCH(CONCATENATE($L190,"/",$M190,"/",$N190),'Такс. опис.'!$C$5:$C$50,0),26),"")</f>
        <v>5ОС3Б2ЛП+КЛ</v>
      </c>
      <c r="T190" s="43" t="str">
        <f>IFERROR(INDEX('Такс. опис.'!$A$5:$BW$50,MATCH(CONCATENATE($L190,"/",$M190,"/",$N190),'Такс. опис.'!$C$5:$C$50,0),47),"")</f>
        <v>Осина</v>
      </c>
      <c r="U190" s="43">
        <f>IFERROR(INDEX('Такс. опис.'!$A$5:$BW$50,MATCH(CONCATENATE($L190,"/",$M190,"/",$N190),'Такс. опис.'!$C$5:$C$50,0),49),"")</f>
        <v>55</v>
      </c>
      <c r="V190" s="103">
        <f>IFERROR(INDEX('Ведомость расчета мин. платы'!$AC$10:$AD$214,MATCH(CONCATENATE($L190,"/",$M190,"/",$N190,"/",$O190),'Ведомость расчета мин. платы'!$AC$10:$AC$214,0),2),"")</f>
        <v>0.7</v>
      </c>
      <c r="W190" s="40">
        <f>E218</f>
        <v>1.7400000000000002</v>
      </c>
      <c r="X190" s="40">
        <f>D220</f>
        <v>20479.608600000003</v>
      </c>
      <c r="Y190" s="91">
        <f>D221</f>
        <v>50.70465115127508</v>
      </c>
      <c r="Z190" s="88"/>
      <c r="AA190" s="86">
        <f t="shared" si="6"/>
        <v>1</v>
      </c>
    </row>
    <row r="191" spans="2:27" ht="19.5" x14ac:dyDescent="0.25">
      <c r="B191" s="50"/>
      <c r="C191" s="333"/>
      <c r="D191" s="338" t="str">
        <f>CONCATENATE(L190, " участковое лесничество")</f>
        <v>Вишнево-Полянское участковое лесничество</v>
      </c>
      <c r="E191" s="338"/>
      <c r="F191" s="338"/>
      <c r="G191" s="338"/>
      <c r="H191" s="90"/>
      <c r="I191" s="88"/>
      <c r="J191" s="88">
        <f>IFERROR(IF(ISBLANK(K190),"",K190),"")</f>
        <v>6</v>
      </c>
      <c r="K191" s="88"/>
      <c r="L191" s="88"/>
      <c r="M191" s="88"/>
      <c r="N191" s="88"/>
      <c r="O191" s="88"/>
      <c r="P191" s="88"/>
      <c r="Q191" s="88"/>
      <c r="R191" s="88"/>
      <c r="S191" s="88"/>
      <c r="T191" s="88"/>
      <c r="U191" s="88"/>
      <c r="V191" s="88"/>
      <c r="W191" s="88"/>
      <c r="X191" s="88"/>
      <c r="Y191" s="88"/>
      <c r="Z191" s="88"/>
    </row>
    <row r="192" spans="2:27" ht="19.5" x14ac:dyDescent="0.25">
      <c r="B192" s="50"/>
      <c r="C192" s="334"/>
      <c r="D192" s="338" t="str">
        <f>CONCATENATE("кв. ",M190," ","выд."," ",N190," ","делянка", " ",O190)</f>
        <v>кв. 32 выд. 7 делянка 2</v>
      </c>
      <c r="E192" s="338"/>
      <c r="F192" s="338"/>
      <c r="G192" s="338"/>
      <c r="H192" s="90"/>
      <c r="I192" s="88"/>
      <c r="J192" s="88"/>
      <c r="K192" s="88"/>
      <c r="L192" s="88"/>
      <c r="M192" s="88"/>
      <c r="N192" s="88"/>
      <c r="O192" s="88"/>
      <c r="P192" s="88"/>
      <c r="Q192" s="88"/>
      <c r="R192" s="88"/>
      <c r="S192" s="88"/>
      <c r="T192" s="88"/>
      <c r="U192" s="88"/>
      <c r="V192" s="88"/>
      <c r="W192" s="88"/>
      <c r="X192" s="88"/>
      <c r="Y192" s="88"/>
      <c r="Z192" s="88"/>
    </row>
    <row r="193" spans="2:8" ht="23.25" x14ac:dyDescent="0.25">
      <c r="B193" s="49"/>
      <c r="C193" s="61" t="s">
        <v>495</v>
      </c>
      <c r="D193" s="51">
        <f>P190</f>
        <v>2.5</v>
      </c>
      <c r="E193" s="62"/>
      <c r="F193" s="50"/>
      <c r="G193" s="48"/>
      <c r="H193" s="87"/>
    </row>
    <row r="194" spans="2:8" ht="22.5" x14ac:dyDescent="0.25">
      <c r="B194" s="49"/>
      <c r="C194" s="63" t="s">
        <v>496</v>
      </c>
      <c r="D194" s="106">
        <f>Q190</f>
        <v>403.9</v>
      </c>
      <c r="E194" s="309" t="s">
        <v>497</v>
      </c>
      <c r="F194" s="310"/>
      <c r="G194" s="313">
        <f>D195/D194</f>
        <v>29.140604109928201</v>
      </c>
      <c r="H194" s="87"/>
    </row>
    <row r="195" spans="2:8" ht="22.5" x14ac:dyDescent="0.25">
      <c r="B195" s="49"/>
      <c r="C195" s="63" t="s">
        <v>498</v>
      </c>
      <c r="D195" s="52">
        <f>R190</f>
        <v>11769.89</v>
      </c>
      <c r="E195" s="311"/>
      <c r="F195" s="312"/>
      <c r="G195" s="314"/>
      <c r="H195" s="87"/>
    </row>
    <row r="196" spans="2:8" ht="23.25" x14ac:dyDescent="0.25">
      <c r="B196" s="49"/>
      <c r="C196" s="64"/>
      <c r="D196" s="53"/>
      <c r="E196" s="65"/>
      <c r="F196" s="49"/>
      <c r="G196" s="48"/>
      <c r="H196" s="87"/>
    </row>
    <row r="197" spans="2:8" ht="23.25" x14ac:dyDescent="0.25">
      <c r="B197" s="49"/>
      <c r="C197" s="82" t="s">
        <v>499</v>
      </c>
      <c r="D197" s="96" t="str">
        <f>S190</f>
        <v>5ОС3Б2ЛП+КЛ</v>
      </c>
      <c r="E197" s="49"/>
      <c r="F197" s="49"/>
      <c r="G197" s="48"/>
      <c r="H197" s="87"/>
    </row>
    <row r="198" spans="2:8" ht="23.25" x14ac:dyDescent="0.25">
      <c r="B198" s="49"/>
      <c r="C198" s="82" t="s">
        <v>500</v>
      </c>
      <c r="D198" s="96">
        <f>U190</f>
        <v>55</v>
      </c>
      <c r="E198" s="49"/>
      <c r="F198" s="49"/>
      <c r="G198" s="48"/>
      <c r="H198" s="87"/>
    </row>
    <row r="199" spans="2:8" ht="23.25" x14ac:dyDescent="0.25">
      <c r="B199" s="49"/>
      <c r="C199" s="82" t="s">
        <v>501</v>
      </c>
      <c r="D199" s="83" t="s">
        <v>502</v>
      </c>
      <c r="E199" s="49"/>
      <c r="F199" s="49"/>
      <c r="G199" s="48"/>
      <c r="H199" s="87"/>
    </row>
    <row r="200" spans="2:8" ht="24" thickBot="1" x14ac:dyDescent="0.3">
      <c r="B200" s="49"/>
      <c r="C200" s="49"/>
      <c r="D200" s="49"/>
      <c r="E200" s="49"/>
      <c r="F200" s="49"/>
      <c r="G200" s="48"/>
      <c r="H200" s="87"/>
    </row>
    <row r="201" spans="2:8" ht="48" thickBot="1" x14ac:dyDescent="0.3">
      <c r="B201" s="315" t="s">
        <v>436</v>
      </c>
      <c r="C201" s="316"/>
      <c r="D201" s="54" t="s">
        <v>503</v>
      </c>
      <c r="E201" s="317" t="s">
        <v>504</v>
      </c>
      <c r="F201" s="318"/>
      <c r="G201" s="55" t="s">
        <v>505</v>
      </c>
      <c r="H201" s="87"/>
    </row>
    <row r="202" spans="2:8" ht="24" thickBot="1" x14ac:dyDescent="0.3">
      <c r="B202" s="319" t="s">
        <v>506</v>
      </c>
      <c r="C202" s="320"/>
      <c r="D202" s="136">
        <v>197.93</v>
      </c>
      <c r="E202" s="136">
        <f>D193</f>
        <v>2.5</v>
      </c>
      <c r="F202" s="77" t="s">
        <v>434</v>
      </c>
      <c r="G202" s="142">
        <f t="shared" ref="G202:G209" si="8">D202*E202</f>
        <v>494.82500000000005</v>
      </c>
      <c r="H202" s="321"/>
    </row>
    <row r="203" spans="2:8" ht="23.25" x14ac:dyDescent="0.25">
      <c r="B203" s="322" t="s">
        <v>507</v>
      </c>
      <c r="C203" s="323"/>
      <c r="D203" s="137">
        <v>159.44</v>
      </c>
      <c r="E203" s="137">
        <f>V190</f>
        <v>0.7</v>
      </c>
      <c r="F203" s="78" t="s">
        <v>437</v>
      </c>
      <c r="G203" s="143">
        <f t="shared" si="8"/>
        <v>111.60799999999999</v>
      </c>
      <c r="H203" s="321"/>
    </row>
    <row r="204" spans="2:8" ht="24" thickBot="1" x14ac:dyDescent="0.3">
      <c r="B204" s="324" t="s">
        <v>508</v>
      </c>
      <c r="C204" s="325"/>
      <c r="D204" s="138">
        <v>276.62</v>
      </c>
      <c r="E204" s="138">
        <f>V190</f>
        <v>0.7</v>
      </c>
      <c r="F204" s="79" t="s">
        <v>437</v>
      </c>
      <c r="G204" s="144">
        <f t="shared" si="8"/>
        <v>193.63399999999999</v>
      </c>
      <c r="H204" s="321"/>
    </row>
    <row r="205" spans="2:8" ht="24" thickBot="1" x14ac:dyDescent="0.3">
      <c r="B205" s="326" t="s">
        <v>438</v>
      </c>
      <c r="C205" s="327"/>
      <c r="D205" s="139">
        <v>519</v>
      </c>
      <c r="E205" s="139"/>
      <c r="F205" s="80" t="s">
        <v>434</v>
      </c>
      <c r="G205" s="145">
        <f t="shared" si="8"/>
        <v>0</v>
      </c>
      <c r="H205" s="321"/>
    </row>
    <row r="206" spans="2:8" ht="23.25" x14ac:dyDescent="0.25">
      <c r="B206" s="322" t="s">
        <v>509</v>
      </c>
      <c r="C206" s="323"/>
      <c r="D206" s="137">
        <v>920</v>
      </c>
      <c r="E206" s="137">
        <f>D193*2</f>
        <v>5</v>
      </c>
      <c r="F206" s="78" t="s">
        <v>434</v>
      </c>
      <c r="G206" s="143">
        <f t="shared" si="8"/>
        <v>4600</v>
      </c>
      <c r="H206" s="321"/>
    </row>
    <row r="207" spans="2:8" ht="23.25" x14ac:dyDescent="0.25">
      <c r="B207" s="328" t="s">
        <v>510</v>
      </c>
      <c r="C207" s="329"/>
      <c r="D207" s="140">
        <v>1300</v>
      </c>
      <c r="E207" s="140">
        <f>IF(T190="Осина",D193,"0")</f>
        <v>2.5</v>
      </c>
      <c r="F207" s="81" t="s">
        <v>434</v>
      </c>
      <c r="G207" s="146">
        <f t="shared" si="8"/>
        <v>3250</v>
      </c>
      <c r="H207" s="321"/>
    </row>
    <row r="208" spans="2:8" ht="23.25" x14ac:dyDescent="0.25">
      <c r="B208" s="328" t="s">
        <v>439</v>
      </c>
      <c r="C208" s="329"/>
      <c r="D208" s="141">
        <v>5165.12</v>
      </c>
      <c r="E208" s="140" t="str">
        <f>IF(T190="Осина","0",D193)</f>
        <v>0</v>
      </c>
      <c r="F208" s="81" t="s">
        <v>434</v>
      </c>
      <c r="G208" s="146">
        <f t="shared" si="8"/>
        <v>0</v>
      </c>
      <c r="H208" s="321"/>
    </row>
    <row r="209" spans="2:8" ht="23.25" x14ac:dyDescent="0.25">
      <c r="B209" s="328" t="s">
        <v>511</v>
      </c>
      <c r="C209" s="329"/>
      <c r="D209" s="141">
        <v>917</v>
      </c>
      <c r="E209" s="140" t="str">
        <f>IF(T190="Осина","0",D193)</f>
        <v>0</v>
      </c>
      <c r="F209" s="81" t="s">
        <v>434</v>
      </c>
      <c r="G209" s="146">
        <f t="shared" si="8"/>
        <v>0</v>
      </c>
      <c r="H209" s="321"/>
    </row>
    <row r="210" spans="2:8" ht="23.25" x14ac:dyDescent="0.25">
      <c r="B210" s="328" t="s">
        <v>441</v>
      </c>
      <c r="C210" s="329"/>
      <c r="D210" s="141">
        <v>461.56000000000006</v>
      </c>
      <c r="E210" s="140" t="str">
        <f>IF(T190="Осина","0",D193)</f>
        <v>0</v>
      </c>
      <c r="F210" s="81" t="s">
        <v>434</v>
      </c>
      <c r="G210" s="146">
        <f>D210*E210</f>
        <v>0</v>
      </c>
      <c r="H210" s="321"/>
    </row>
    <row r="211" spans="2:8" ht="24" thickBot="1" x14ac:dyDescent="0.3">
      <c r="B211" s="324" t="s">
        <v>440</v>
      </c>
      <c r="C211" s="325"/>
      <c r="D211" s="138">
        <v>353.15</v>
      </c>
      <c r="E211" s="140" t="str">
        <f>IF(T190="Осина","0",D193*4)</f>
        <v>0</v>
      </c>
      <c r="F211" s="79" t="s">
        <v>434</v>
      </c>
      <c r="G211" s="147">
        <f>D211*E211</f>
        <v>0</v>
      </c>
      <c r="H211" s="321"/>
    </row>
    <row r="212" spans="2:8" ht="23.25" x14ac:dyDescent="0.25">
      <c r="B212" s="49"/>
      <c r="C212" s="66"/>
      <c r="D212" s="66"/>
      <c r="E212" s="56"/>
      <c r="F212" s="56"/>
      <c r="G212" s="48"/>
      <c r="H212" s="92"/>
    </row>
    <row r="213" spans="2:8" ht="25.5" x14ac:dyDescent="0.25">
      <c r="B213" s="49"/>
      <c r="C213" s="59" t="s">
        <v>512</v>
      </c>
      <c r="D213" s="60"/>
      <c r="E213" s="49"/>
      <c r="F213" s="49"/>
      <c r="G213" s="48"/>
      <c r="H213" s="87"/>
    </row>
    <row r="214" spans="2:8" ht="18.75" x14ac:dyDescent="0.25">
      <c r="B214" s="49"/>
      <c r="C214" s="306" t="s">
        <v>513</v>
      </c>
      <c r="D214" s="84" t="s">
        <v>514</v>
      </c>
      <c r="E214" s="68">
        <f>ROUND((G202+D195)/D195,2)</f>
        <v>1.04</v>
      </c>
      <c r="F214" s="68"/>
      <c r="G214" s="50"/>
      <c r="H214" s="87"/>
    </row>
    <row r="215" spans="2:8" ht="23.25" x14ac:dyDescent="0.25">
      <c r="B215" s="49"/>
      <c r="C215" s="306"/>
      <c r="D215" s="84" t="s">
        <v>515</v>
      </c>
      <c r="E215" s="68">
        <f>ROUND((G203+G204+D195)/D195,2)</f>
        <v>1.03</v>
      </c>
      <c r="F215" s="68"/>
      <c r="G215" s="57"/>
      <c r="H215" s="93"/>
    </row>
    <row r="216" spans="2:8" ht="23.25" x14ac:dyDescent="0.25">
      <c r="B216" s="49"/>
      <c r="C216" s="306"/>
      <c r="D216" s="84" t="s">
        <v>516</v>
      </c>
      <c r="E216" s="68">
        <f>ROUND((G205+D195)/D195,2)</f>
        <v>1</v>
      </c>
      <c r="F216" s="50"/>
      <c r="G216" s="57"/>
      <c r="H216" s="87"/>
    </row>
    <row r="217" spans="2:8" ht="23.25" x14ac:dyDescent="0.25">
      <c r="B217" s="49"/>
      <c r="C217" s="306"/>
      <c r="D217" s="69" t="s">
        <v>517</v>
      </c>
      <c r="E217" s="70">
        <f>ROUND((SUM(G206:G211)+D195)/D195,2)</f>
        <v>1.67</v>
      </c>
      <c r="F217" s="50"/>
      <c r="G217" s="57"/>
      <c r="H217" s="87"/>
    </row>
    <row r="218" spans="2:8" ht="25.5" x14ac:dyDescent="0.25">
      <c r="B218" s="49"/>
      <c r="C218" s="49"/>
      <c r="D218" s="71" t="s">
        <v>518</v>
      </c>
      <c r="E218" s="72">
        <f>SUM(E214:E217)-IF(D199="сплошная",3,2)</f>
        <v>1.7400000000000002</v>
      </c>
      <c r="F218" s="73"/>
      <c r="G218" s="48"/>
      <c r="H218" s="87"/>
    </row>
    <row r="219" spans="2:8" ht="23.25" x14ac:dyDescent="0.25">
      <c r="B219" s="49"/>
      <c r="C219" s="49"/>
      <c r="D219" s="49"/>
      <c r="E219" s="74"/>
      <c r="F219" s="49"/>
      <c r="G219" s="48"/>
      <c r="H219" s="87"/>
    </row>
    <row r="220" spans="2:8" ht="25.5" x14ac:dyDescent="0.35">
      <c r="B220" s="58"/>
      <c r="C220" s="75" t="s">
        <v>519</v>
      </c>
      <c r="D220" s="307">
        <f>E218*D195</f>
        <v>20479.608600000003</v>
      </c>
      <c r="E220" s="307"/>
      <c r="F220" s="49"/>
      <c r="G220" s="48"/>
      <c r="H220" s="87"/>
    </row>
    <row r="221" spans="2:8" ht="18.75" x14ac:dyDescent="0.3">
      <c r="B221" s="49"/>
      <c r="C221" s="76" t="s">
        <v>520</v>
      </c>
      <c r="D221" s="308">
        <f>D220/D194</f>
        <v>50.70465115127508</v>
      </c>
      <c r="E221" s="308"/>
      <c r="F221" s="49"/>
      <c r="G221" s="49"/>
      <c r="H221" s="94"/>
    </row>
    <row r="224" spans="2:8" ht="60.75" x14ac:dyDescent="0.8">
      <c r="B224" s="330" t="str">
        <f>CONCATENATE("ЛОТ № ",K227)</f>
        <v>ЛОТ № 7</v>
      </c>
      <c r="C224" s="330"/>
      <c r="D224" s="330"/>
      <c r="E224" s="330"/>
      <c r="F224" s="330"/>
      <c r="G224" s="330"/>
      <c r="H224" s="330"/>
    </row>
    <row r="225" spans="2:27" ht="18.75" x14ac:dyDescent="0.25">
      <c r="B225" s="331" t="s">
        <v>492</v>
      </c>
      <c r="C225" s="331"/>
      <c r="D225" s="331"/>
      <c r="E225" s="331"/>
      <c r="F225" s="331"/>
      <c r="G225" s="331"/>
      <c r="H225" s="87"/>
    </row>
    <row r="226" spans="2:27" ht="25.5" x14ac:dyDescent="0.25">
      <c r="B226" s="49"/>
      <c r="C226" s="59" t="s">
        <v>493</v>
      </c>
      <c r="D226" s="60"/>
      <c r="E226" s="49"/>
      <c r="F226" s="49"/>
      <c r="G226" s="48"/>
      <c r="H226" s="87"/>
      <c r="I226" s="88"/>
      <c r="J226" s="88"/>
      <c r="K226" s="88"/>
      <c r="L226" s="88" t="s">
        <v>454</v>
      </c>
      <c r="M226" s="88" t="s">
        <v>444</v>
      </c>
      <c r="N226" s="88" t="s">
        <v>445</v>
      </c>
      <c r="O226" s="88" t="s">
        <v>453</v>
      </c>
      <c r="P226" s="89" t="s">
        <v>446</v>
      </c>
      <c r="Q226" s="88" t="s">
        <v>435</v>
      </c>
      <c r="R226" s="40" t="s">
        <v>447</v>
      </c>
      <c r="S226" s="40" t="s">
        <v>522</v>
      </c>
      <c r="T226" s="88" t="s">
        <v>118</v>
      </c>
      <c r="U226" s="88" t="s">
        <v>500</v>
      </c>
      <c r="V226" s="88" t="s">
        <v>450</v>
      </c>
      <c r="W226" s="40" t="s">
        <v>448</v>
      </c>
      <c r="X226" s="40" t="s">
        <v>449</v>
      </c>
      <c r="Y226" s="88" t="s">
        <v>523</v>
      </c>
      <c r="Z226" s="88"/>
    </row>
    <row r="227" spans="2:27" ht="39.950000000000003" customHeight="1" x14ac:dyDescent="0.25">
      <c r="B227" s="50"/>
      <c r="C227" s="332" t="s">
        <v>494</v>
      </c>
      <c r="D227" s="335" t="s">
        <v>521</v>
      </c>
      <c r="E227" s="336"/>
      <c r="F227" s="336"/>
      <c r="G227" s="337"/>
      <c r="H227" s="90"/>
      <c r="I227" s="88" t="s">
        <v>443</v>
      </c>
      <c r="J227" s="88"/>
      <c r="K227" s="43">
        <f>IF(I227="","",COUNTA(I$5:I227))</f>
        <v>7</v>
      </c>
      <c r="L227" s="95" t="str">
        <f>INDEX('Ведомость расчета мин. платы'!$B$10:$T$209,MATCH(ЛОТЫ!$K227,'Ведомость расчета мин. платы'!$B$10:$B$209,0),2)</f>
        <v>Вишнево-Полянское</v>
      </c>
      <c r="M227" s="95">
        <f>INDEX('Ведомость расчета мин. платы'!$B$10:$T$209,MATCH(ЛОТЫ!$K227,'Ведомость расчета мин. платы'!$B$10:$B$209,0),3)</f>
        <v>32</v>
      </c>
      <c r="N227" s="95">
        <f>INDEX('Ведомость расчета мин. платы'!$B$10:$T$209,MATCH(ЛОТЫ!$K227,'Ведомость расчета мин. платы'!$B$10:$B$209,0),4)</f>
        <v>7</v>
      </c>
      <c r="O227" s="95">
        <f>INDEX('Ведомость расчета мин. платы'!$B$10:$T$209,MATCH(ЛОТЫ!$K227,'Ведомость расчета мин. платы'!$B$10:$B$209,0),5)</f>
        <v>3</v>
      </c>
      <c r="P227" s="89">
        <f>IFERROR(INDEX(Коэффициенты!$G$4:$O$106,MATCH(CONCATENATE($L227,"/",$M227,"/",$N227,"/",$O227),Коэффициенты!$O$4:$O$106,0),1),"")</f>
        <v>4.4000000000000004</v>
      </c>
      <c r="Q227" s="40">
        <f>IFERROR(INDEX(Коэффициенты!$G$4:$O$106,MATCH(CONCATENATE($L227,"/",$M227,"/",$N227,"/",$O227),Коэффициенты!$O$4:$O$106,0),6),"")</f>
        <v>710.34</v>
      </c>
      <c r="R227" s="40">
        <f>IFERROR(INDEX(Коэффициенты!$G$4:$O$106,MATCH(CONCATENATE($L227,"/",$M227,"/",$N227,"/",$O227),Коэффициенты!$O$4:$O$106,0),2),"")</f>
        <v>19829.32</v>
      </c>
      <c r="S227" s="43" t="str">
        <f>IFERROR(INDEX('Такс. опис.'!$A$5:$BW$50,MATCH(CONCATENATE($L227,"/",$M227,"/",$N227),'Такс. опис.'!$C$5:$C$50,0),26),"")</f>
        <v>5ОС3Б2ЛП+КЛ</v>
      </c>
      <c r="T227" s="43" t="str">
        <f>IFERROR(INDEX('Такс. опис.'!$A$5:$BW$50,MATCH(CONCATENATE($L227,"/",$M227,"/",$N227),'Такс. опис.'!$C$5:$C$50,0),47),"")</f>
        <v>Осина</v>
      </c>
      <c r="U227" s="43">
        <f>IFERROR(INDEX('Такс. опис.'!$A$5:$BW$50,MATCH(CONCATENATE($L227,"/",$M227,"/",$N227),'Такс. опис.'!$C$5:$C$50,0),49),"")</f>
        <v>55</v>
      </c>
      <c r="V227" s="103">
        <f>IFERROR(INDEX('Ведомость расчета мин. платы'!$AC$10:$AD$214,MATCH(CONCATENATE($L227,"/",$M227,"/",$N227,"/",$O227),'Ведомость расчета мин. платы'!$AC$10:$AC$214,0),2),"")</f>
        <v>1.1000000000000001</v>
      </c>
      <c r="W227" s="40">
        <f>E255</f>
        <v>1.7599999999999998</v>
      </c>
      <c r="X227" s="40">
        <f>D257</f>
        <v>34899.603199999998</v>
      </c>
      <c r="Y227" s="91">
        <f>D258</f>
        <v>49.130843258158059</v>
      </c>
      <c r="Z227" s="88"/>
      <c r="AA227" s="86">
        <f t="shared" ref="AA227" si="9">IF(M227&gt;0,1,0)</f>
        <v>1</v>
      </c>
    </row>
    <row r="228" spans="2:27" ht="19.5" x14ac:dyDescent="0.25">
      <c r="B228" s="50"/>
      <c r="C228" s="333"/>
      <c r="D228" s="338" t="str">
        <f>CONCATENATE(L227, " участковое лесничество")</f>
        <v>Вишнево-Полянское участковое лесничество</v>
      </c>
      <c r="E228" s="338"/>
      <c r="F228" s="338"/>
      <c r="G228" s="338"/>
      <c r="H228" s="90"/>
      <c r="I228" s="88"/>
      <c r="J228" s="88">
        <f>IFERROR(IF(ISBLANK(K227),"",K227),"")</f>
        <v>7</v>
      </c>
      <c r="K228" s="88"/>
      <c r="L228" s="88"/>
      <c r="M228" s="88"/>
      <c r="N228" s="88"/>
      <c r="O228" s="88"/>
      <c r="P228" s="88"/>
      <c r="Q228" s="88"/>
      <c r="R228" s="88"/>
      <c r="S228" s="88"/>
      <c r="T228" s="88"/>
      <c r="U228" s="88"/>
      <c r="V228" s="88"/>
      <c r="W228" s="88"/>
      <c r="X228" s="88"/>
      <c r="Y228" s="88"/>
      <c r="Z228" s="88"/>
    </row>
    <row r="229" spans="2:27" ht="19.5" x14ac:dyDescent="0.25">
      <c r="B229" s="50"/>
      <c r="C229" s="334"/>
      <c r="D229" s="338" t="str">
        <f>CONCATENATE("кв. ",M227," ","выд."," ",N227," ","делянка", " ",O227)</f>
        <v>кв. 32 выд. 7 делянка 3</v>
      </c>
      <c r="E229" s="338"/>
      <c r="F229" s="338"/>
      <c r="G229" s="338"/>
      <c r="H229" s="90"/>
      <c r="I229" s="88"/>
      <c r="J229" s="88"/>
      <c r="K229" s="88"/>
      <c r="L229" s="88"/>
      <c r="M229" s="88"/>
      <c r="N229" s="88"/>
      <c r="O229" s="88"/>
      <c r="P229" s="88"/>
      <c r="Q229" s="88"/>
      <c r="R229" s="88"/>
      <c r="S229" s="88"/>
      <c r="T229" s="88"/>
      <c r="U229" s="88"/>
      <c r="V229" s="88"/>
      <c r="W229" s="88"/>
      <c r="X229" s="88"/>
      <c r="Y229" s="88"/>
      <c r="Z229" s="88"/>
    </row>
    <row r="230" spans="2:27" ht="23.25" x14ac:dyDescent="0.25">
      <c r="B230" s="49"/>
      <c r="C230" s="61" t="s">
        <v>495</v>
      </c>
      <c r="D230" s="51">
        <f>P227</f>
        <v>4.4000000000000004</v>
      </c>
      <c r="E230" s="62"/>
      <c r="F230" s="50"/>
      <c r="G230" s="48"/>
      <c r="H230" s="87"/>
    </row>
    <row r="231" spans="2:27" ht="22.5" x14ac:dyDescent="0.25">
      <c r="B231" s="49"/>
      <c r="C231" s="63" t="s">
        <v>496</v>
      </c>
      <c r="D231" s="106">
        <f>Q227</f>
        <v>710.34</v>
      </c>
      <c r="E231" s="309" t="s">
        <v>497</v>
      </c>
      <c r="F231" s="310"/>
      <c r="G231" s="313">
        <f>D232/D231</f>
        <v>27.91525185122617</v>
      </c>
      <c r="H231" s="87"/>
    </row>
    <row r="232" spans="2:27" ht="22.5" x14ac:dyDescent="0.25">
      <c r="B232" s="49"/>
      <c r="C232" s="63" t="s">
        <v>498</v>
      </c>
      <c r="D232" s="52">
        <f>R227</f>
        <v>19829.32</v>
      </c>
      <c r="E232" s="311"/>
      <c r="F232" s="312"/>
      <c r="G232" s="314"/>
      <c r="H232" s="87"/>
    </row>
    <row r="233" spans="2:27" ht="23.25" x14ac:dyDescent="0.25">
      <c r="B233" s="49"/>
      <c r="C233" s="64"/>
      <c r="D233" s="53"/>
      <c r="E233" s="65"/>
      <c r="F233" s="49"/>
      <c r="G233" s="48"/>
      <c r="H233" s="87"/>
    </row>
    <row r="234" spans="2:27" ht="23.25" x14ac:dyDescent="0.25">
      <c r="B234" s="49"/>
      <c r="C234" s="82" t="s">
        <v>499</v>
      </c>
      <c r="D234" s="96" t="str">
        <f>S227</f>
        <v>5ОС3Б2ЛП+КЛ</v>
      </c>
      <c r="E234" s="49"/>
      <c r="F234" s="49"/>
      <c r="G234" s="48"/>
      <c r="H234" s="87"/>
    </row>
    <row r="235" spans="2:27" ht="23.25" x14ac:dyDescent="0.25">
      <c r="B235" s="49"/>
      <c r="C235" s="82" t="s">
        <v>500</v>
      </c>
      <c r="D235" s="96">
        <f>U227</f>
        <v>55</v>
      </c>
      <c r="E235" s="49"/>
      <c r="F235" s="49"/>
      <c r="G235" s="48"/>
      <c r="H235" s="87"/>
    </row>
    <row r="236" spans="2:27" ht="23.25" x14ac:dyDescent="0.25">
      <c r="B236" s="49"/>
      <c r="C236" s="82" t="s">
        <v>501</v>
      </c>
      <c r="D236" s="83" t="s">
        <v>502</v>
      </c>
      <c r="E236" s="49"/>
      <c r="F236" s="49"/>
      <c r="G236" s="48"/>
      <c r="H236" s="87"/>
    </row>
    <row r="237" spans="2:27" ht="24" thickBot="1" x14ac:dyDescent="0.3">
      <c r="B237" s="49"/>
      <c r="C237" s="49"/>
      <c r="D237" s="49"/>
      <c r="E237" s="49"/>
      <c r="F237" s="49"/>
      <c r="G237" s="48"/>
      <c r="H237" s="87"/>
    </row>
    <row r="238" spans="2:27" ht="48" thickBot="1" x14ac:dyDescent="0.3">
      <c r="B238" s="315" t="s">
        <v>436</v>
      </c>
      <c r="C238" s="316"/>
      <c r="D238" s="54" t="s">
        <v>503</v>
      </c>
      <c r="E238" s="317" t="s">
        <v>504</v>
      </c>
      <c r="F238" s="318"/>
      <c r="G238" s="55" t="s">
        <v>505</v>
      </c>
      <c r="H238" s="87"/>
    </row>
    <row r="239" spans="2:27" ht="24" thickBot="1" x14ac:dyDescent="0.3">
      <c r="B239" s="319" t="s">
        <v>506</v>
      </c>
      <c r="C239" s="320"/>
      <c r="D239" s="136">
        <v>197.93</v>
      </c>
      <c r="E239" s="136">
        <f>D230</f>
        <v>4.4000000000000004</v>
      </c>
      <c r="F239" s="77" t="s">
        <v>434</v>
      </c>
      <c r="G239" s="142">
        <f t="shared" ref="G239:G246" si="10">D239*E239</f>
        <v>870.89200000000005</v>
      </c>
      <c r="H239" s="321"/>
    </row>
    <row r="240" spans="2:27" ht="23.25" x14ac:dyDescent="0.25">
      <c r="B240" s="322" t="s">
        <v>507</v>
      </c>
      <c r="C240" s="323"/>
      <c r="D240" s="137">
        <v>159.44</v>
      </c>
      <c r="E240" s="137">
        <f>V227</f>
        <v>1.1000000000000001</v>
      </c>
      <c r="F240" s="78" t="s">
        <v>437</v>
      </c>
      <c r="G240" s="143">
        <f t="shared" si="10"/>
        <v>175.38400000000001</v>
      </c>
      <c r="H240" s="321"/>
    </row>
    <row r="241" spans="2:8" ht="24" thickBot="1" x14ac:dyDescent="0.3">
      <c r="B241" s="324" t="s">
        <v>508</v>
      </c>
      <c r="C241" s="325"/>
      <c r="D241" s="138">
        <v>276.62</v>
      </c>
      <c r="E241" s="138">
        <f>V227</f>
        <v>1.1000000000000001</v>
      </c>
      <c r="F241" s="79" t="s">
        <v>437</v>
      </c>
      <c r="G241" s="144">
        <f t="shared" si="10"/>
        <v>304.28200000000004</v>
      </c>
      <c r="H241" s="321"/>
    </row>
    <row r="242" spans="2:8" ht="24" thickBot="1" x14ac:dyDescent="0.3">
      <c r="B242" s="326" t="s">
        <v>438</v>
      </c>
      <c r="C242" s="327"/>
      <c r="D242" s="139">
        <v>519</v>
      </c>
      <c r="E242" s="139"/>
      <c r="F242" s="80" t="s">
        <v>434</v>
      </c>
      <c r="G242" s="145">
        <f t="shared" si="10"/>
        <v>0</v>
      </c>
      <c r="H242" s="321"/>
    </row>
    <row r="243" spans="2:8" ht="23.25" x14ac:dyDescent="0.25">
      <c r="B243" s="322" t="s">
        <v>509</v>
      </c>
      <c r="C243" s="323"/>
      <c r="D243" s="137">
        <v>920</v>
      </c>
      <c r="E243" s="137">
        <f>D230*2</f>
        <v>8.8000000000000007</v>
      </c>
      <c r="F243" s="78" t="s">
        <v>434</v>
      </c>
      <c r="G243" s="143">
        <f t="shared" si="10"/>
        <v>8096.0000000000009</v>
      </c>
      <c r="H243" s="321"/>
    </row>
    <row r="244" spans="2:8" ht="23.25" x14ac:dyDescent="0.25">
      <c r="B244" s="328" t="s">
        <v>510</v>
      </c>
      <c r="C244" s="329"/>
      <c r="D244" s="140">
        <v>1300</v>
      </c>
      <c r="E244" s="140">
        <f>IF(T227="Осина",D230,"0")</f>
        <v>4.4000000000000004</v>
      </c>
      <c r="F244" s="81" t="s">
        <v>434</v>
      </c>
      <c r="G244" s="146">
        <f t="shared" si="10"/>
        <v>5720.0000000000009</v>
      </c>
      <c r="H244" s="321"/>
    </row>
    <row r="245" spans="2:8" ht="23.25" x14ac:dyDescent="0.25">
      <c r="B245" s="328" t="s">
        <v>439</v>
      </c>
      <c r="C245" s="329"/>
      <c r="D245" s="141">
        <v>5165.12</v>
      </c>
      <c r="E245" s="140" t="str">
        <f>IF(T227="Осина","0",D230)</f>
        <v>0</v>
      </c>
      <c r="F245" s="81" t="s">
        <v>434</v>
      </c>
      <c r="G245" s="146">
        <f t="shared" si="10"/>
        <v>0</v>
      </c>
      <c r="H245" s="321"/>
    </row>
    <row r="246" spans="2:8" ht="23.25" x14ac:dyDescent="0.25">
      <c r="B246" s="328" t="s">
        <v>511</v>
      </c>
      <c r="C246" s="329"/>
      <c r="D246" s="141">
        <v>917</v>
      </c>
      <c r="E246" s="140" t="str">
        <f>IF(T227="Осина","0",D230)</f>
        <v>0</v>
      </c>
      <c r="F246" s="81" t="s">
        <v>434</v>
      </c>
      <c r="G246" s="146">
        <f t="shared" si="10"/>
        <v>0</v>
      </c>
      <c r="H246" s="321"/>
    </row>
    <row r="247" spans="2:8" ht="23.25" x14ac:dyDescent="0.25">
      <c r="B247" s="328" t="s">
        <v>441</v>
      </c>
      <c r="C247" s="329"/>
      <c r="D247" s="141">
        <v>461.56000000000006</v>
      </c>
      <c r="E247" s="140" t="str">
        <f>IF(T227="Осина","0",D230)</f>
        <v>0</v>
      </c>
      <c r="F247" s="81" t="s">
        <v>434</v>
      </c>
      <c r="G247" s="146">
        <f>D247*E247</f>
        <v>0</v>
      </c>
      <c r="H247" s="321"/>
    </row>
    <row r="248" spans="2:8" ht="24" thickBot="1" x14ac:dyDescent="0.3">
      <c r="B248" s="324" t="s">
        <v>440</v>
      </c>
      <c r="C248" s="325"/>
      <c r="D248" s="138">
        <v>353.15</v>
      </c>
      <c r="E248" s="140" t="str">
        <f>IF(T227="Осина","0",D230*4)</f>
        <v>0</v>
      </c>
      <c r="F248" s="79" t="s">
        <v>434</v>
      </c>
      <c r="G248" s="147">
        <f>D248*E248</f>
        <v>0</v>
      </c>
      <c r="H248" s="321"/>
    </row>
    <row r="249" spans="2:8" ht="23.25" x14ac:dyDescent="0.25">
      <c r="B249" s="49"/>
      <c r="C249" s="66"/>
      <c r="D249" s="66"/>
      <c r="E249" s="56"/>
      <c r="F249" s="56"/>
      <c r="G249" s="48"/>
      <c r="H249" s="92"/>
    </row>
    <row r="250" spans="2:8" ht="25.5" x14ac:dyDescent="0.25">
      <c r="B250" s="49"/>
      <c r="C250" s="59" t="s">
        <v>512</v>
      </c>
      <c r="D250" s="60"/>
      <c r="E250" s="49"/>
      <c r="F250" s="49"/>
      <c r="G250" s="48"/>
      <c r="H250" s="87"/>
    </row>
    <row r="251" spans="2:8" ht="18.75" x14ac:dyDescent="0.25">
      <c r="B251" s="49"/>
      <c r="C251" s="306" t="s">
        <v>513</v>
      </c>
      <c r="D251" s="84" t="s">
        <v>514</v>
      </c>
      <c r="E251" s="68">
        <f>ROUND((G239+D232)/D232,2)</f>
        <v>1.04</v>
      </c>
      <c r="F251" s="68"/>
      <c r="G251" s="50"/>
      <c r="H251" s="87"/>
    </row>
    <row r="252" spans="2:8" ht="23.25" x14ac:dyDescent="0.25">
      <c r="B252" s="49"/>
      <c r="C252" s="306"/>
      <c r="D252" s="84" t="s">
        <v>515</v>
      </c>
      <c r="E252" s="68">
        <f>ROUND((G240+G241+D232)/D232,2)</f>
        <v>1.02</v>
      </c>
      <c r="F252" s="68"/>
      <c r="G252" s="57"/>
      <c r="H252" s="93"/>
    </row>
    <row r="253" spans="2:8" ht="23.25" x14ac:dyDescent="0.25">
      <c r="B253" s="49"/>
      <c r="C253" s="306"/>
      <c r="D253" s="84" t="s">
        <v>516</v>
      </c>
      <c r="E253" s="68">
        <f>ROUND((G242+D232)/D232,2)</f>
        <v>1</v>
      </c>
      <c r="F253" s="50"/>
      <c r="G253" s="57"/>
      <c r="H253" s="87"/>
    </row>
    <row r="254" spans="2:8" ht="23.25" x14ac:dyDescent="0.25">
      <c r="B254" s="49"/>
      <c r="C254" s="306"/>
      <c r="D254" s="69" t="s">
        <v>517</v>
      </c>
      <c r="E254" s="70">
        <f>ROUND((SUM(G243:G248)+D232)/D232,2)</f>
        <v>1.7</v>
      </c>
      <c r="F254" s="50"/>
      <c r="G254" s="57"/>
      <c r="H254" s="87"/>
    </row>
    <row r="255" spans="2:8" ht="25.5" x14ac:dyDescent="0.25">
      <c r="B255" s="49"/>
      <c r="C255" s="49"/>
      <c r="D255" s="71" t="s">
        <v>518</v>
      </c>
      <c r="E255" s="72">
        <f>SUM(E251:E254)-IF(D236="сплошная",3,2)</f>
        <v>1.7599999999999998</v>
      </c>
      <c r="F255" s="73"/>
      <c r="G255" s="48"/>
      <c r="H255" s="87"/>
    </row>
    <row r="256" spans="2:8" ht="23.25" x14ac:dyDescent="0.25">
      <c r="B256" s="49"/>
      <c r="C256" s="49"/>
      <c r="D256" s="49"/>
      <c r="E256" s="74"/>
      <c r="F256" s="49"/>
      <c r="G256" s="48"/>
      <c r="H256" s="87"/>
    </row>
    <row r="257" spans="2:27" ht="25.5" x14ac:dyDescent="0.35">
      <c r="B257" s="58"/>
      <c r="C257" s="75" t="s">
        <v>519</v>
      </c>
      <c r="D257" s="307">
        <f>E255*D232</f>
        <v>34899.603199999998</v>
      </c>
      <c r="E257" s="307"/>
      <c r="F257" s="49"/>
      <c r="G257" s="48"/>
      <c r="H257" s="87"/>
    </row>
    <row r="258" spans="2:27" ht="18.75" x14ac:dyDescent="0.3">
      <c r="B258" s="49"/>
      <c r="C258" s="76" t="s">
        <v>520</v>
      </c>
      <c r="D258" s="308">
        <f>D257/D231</f>
        <v>49.130843258158059</v>
      </c>
      <c r="E258" s="308"/>
      <c r="F258" s="49"/>
      <c r="G258" s="49"/>
      <c r="H258" s="94"/>
    </row>
    <row r="261" spans="2:27" ht="60.75" x14ac:dyDescent="0.8">
      <c r="B261" s="330" t="str">
        <f>CONCATENATE("ЛОТ № ",K264)</f>
        <v>ЛОТ № 8</v>
      </c>
      <c r="C261" s="330"/>
      <c r="D261" s="330"/>
      <c r="E261" s="330"/>
      <c r="F261" s="330"/>
      <c r="G261" s="330"/>
      <c r="H261" s="330"/>
    </row>
    <row r="262" spans="2:27" ht="18.75" x14ac:dyDescent="0.25">
      <c r="B262" s="331" t="s">
        <v>492</v>
      </c>
      <c r="C262" s="331"/>
      <c r="D262" s="331"/>
      <c r="E262" s="331"/>
      <c r="F262" s="331"/>
      <c r="G262" s="331"/>
      <c r="H262" s="87"/>
    </row>
    <row r="263" spans="2:27" ht="25.5" x14ac:dyDescent="0.25">
      <c r="B263" s="49"/>
      <c r="C263" s="59" t="s">
        <v>493</v>
      </c>
      <c r="D263" s="60"/>
      <c r="E263" s="49"/>
      <c r="F263" s="49"/>
      <c r="G263" s="48"/>
      <c r="H263" s="87"/>
      <c r="I263" s="88"/>
      <c r="J263" s="88"/>
      <c r="K263" s="88"/>
      <c r="L263" s="88" t="s">
        <v>454</v>
      </c>
      <c r="M263" s="88" t="s">
        <v>444</v>
      </c>
      <c r="N263" s="88" t="s">
        <v>445</v>
      </c>
      <c r="O263" s="88" t="s">
        <v>453</v>
      </c>
      <c r="P263" s="89" t="s">
        <v>446</v>
      </c>
      <c r="Q263" s="88" t="s">
        <v>435</v>
      </c>
      <c r="R263" s="40" t="s">
        <v>447</v>
      </c>
      <c r="S263" s="40" t="s">
        <v>522</v>
      </c>
      <c r="T263" s="88" t="s">
        <v>118</v>
      </c>
      <c r="U263" s="88" t="s">
        <v>500</v>
      </c>
      <c r="V263" s="88" t="s">
        <v>450</v>
      </c>
      <c r="W263" s="40" t="s">
        <v>448</v>
      </c>
      <c r="X263" s="40" t="s">
        <v>449</v>
      </c>
      <c r="Y263" s="88" t="s">
        <v>523</v>
      </c>
      <c r="Z263" s="88"/>
    </row>
    <row r="264" spans="2:27" ht="39.950000000000003" customHeight="1" x14ac:dyDescent="0.25">
      <c r="B264" s="50"/>
      <c r="C264" s="332" t="s">
        <v>494</v>
      </c>
      <c r="D264" s="335" t="s">
        <v>521</v>
      </c>
      <c r="E264" s="336"/>
      <c r="F264" s="336"/>
      <c r="G264" s="337"/>
      <c r="H264" s="90"/>
      <c r="I264" s="88" t="s">
        <v>443</v>
      </c>
      <c r="J264" s="88"/>
      <c r="K264" s="43">
        <f>IF(I264="","",COUNTA(I$5:I264))</f>
        <v>8</v>
      </c>
      <c r="L264" s="95" t="str">
        <f>INDEX('Ведомость расчета мин. платы'!$B$10:$T$209,MATCH(ЛОТЫ!$K264,'Ведомость расчета мин. платы'!$B$10:$B$209,0),2)</f>
        <v>Вишнево-Полянское</v>
      </c>
      <c r="M264" s="95">
        <f>INDEX('Ведомость расчета мин. платы'!$B$10:$T$209,MATCH(ЛОТЫ!$K264,'Ведомость расчета мин. платы'!$B$10:$B$209,0),3)</f>
        <v>33</v>
      </c>
      <c r="N264" s="95">
        <f>INDEX('Ведомость расчета мин. платы'!$B$10:$T$209,MATCH(ЛОТЫ!$K264,'Ведомость расчета мин. платы'!$B$10:$B$209,0),4)</f>
        <v>4</v>
      </c>
      <c r="O264" s="95">
        <f>INDEX('Ведомость расчета мин. платы'!$B$10:$T$209,MATCH(ЛОТЫ!$K264,'Ведомость расчета мин. платы'!$B$10:$B$209,0),5)</f>
        <v>1</v>
      </c>
      <c r="P264" s="89">
        <f>IFERROR(INDEX(Коэффициенты!$G$4:$O$106,MATCH(CONCATENATE($L264,"/",$M264,"/",$N264,"/",$O264),Коэффициенты!$O$4:$O$106,0),1),"")</f>
        <v>6</v>
      </c>
      <c r="Q264" s="40">
        <f>IFERROR(INDEX(Коэффициенты!$G$4:$O$106,MATCH(CONCATENATE($L264,"/",$M264,"/",$N264,"/",$O264),Коэффициенты!$O$4:$O$106,0),6),"")</f>
        <v>1208.8800000000001</v>
      </c>
      <c r="R264" s="40">
        <f>IFERROR(INDEX(Коэффициенты!$G$4:$O$106,MATCH(CONCATENATE($L264,"/",$M264,"/",$N264,"/",$O264),Коэффициенты!$O$4:$O$106,0),2),"")</f>
        <v>31096.69</v>
      </c>
      <c r="S264" s="43" t="str">
        <f>IFERROR(INDEX('Такс. опис.'!$A$5:$BW$50,MATCH(CONCATENATE($L264,"/",$M264,"/",$N264),'Такс. опис.'!$C$5:$C$50,0),26),"")</f>
        <v>5ОС3Б2ЛП+КЛ</v>
      </c>
      <c r="T264" s="43" t="str">
        <f>IFERROR(INDEX('Такс. опис.'!$A$5:$BW$50,MATCH(CONCATENATE($L264,"/",$M264,"/",$N264),'Такс. опис.'!$C$5:$C$50,0),47),"")</f>
        <v>Осина</v>
      </c>
      <c r="U264" s="43">
        <f>IFERROR(INDEX('Такс. опис.'!$A$5:$BW$50,MATCH(CONCATENATE($L264,"/",$M264,"/",$N264),'Такс. опис.'!$C$5:$C$50,0),49),"")</f>
        <v>50</v>
      </c>
      <c r="V264" s="103">
        <f>IFERROR(INDEX('Ведомость расчета мин. платы'!$AC$10:$AD$214,MATCH(CONCATENATE($L264,"/",$M264,"/",$N264,"/",$O264),'Ведомость расчета мин. платы'!$AC$10:$AC$214,0),2),"")</f>
        <v>1.45</v>
      </c>
      <c r="W264" s="40">
        <f>E292</f>
        <v>1.67</v>
      </c>
      <c r="X264" s="40">
        <f>D294</f>
        <v>51931.472299999994</v>
      </c>
      <c r="Y264" s="91">
        <f>D295</f>
        <v>42.958335235920842</v>
      </c>
      <c r="Z264" s="88"/>
      <c r="AA264" s="86">
        <f t="shared" ref="AA264:AA301" si="11">IF(M264&gt;0,1,0)</f>
        <v>1</v>
      </c>
    </row>
    <row r="265" spans="2:27" ht="19.5" x14ac:dyDescent="0.25">
      <c r="B265" s="50"/>
      <c r="C265" s="333"/>
      <c r="D265" s="338" t="str">
        <f>CONCATENATE(L264, " участковое лесничество")</f>
        <v>Вишнево-Полянское участковое лесничество</v>
      </c>
      <c r="E265" s="338"/>
      <c r="F265" s="338"/>
      <c r="G265" s="338"/>
      <c r="H265" s="90"/>
      <c r="I265" s="88"/>
      <c r="J265" s="88">
        <f>IFERROR(IF(ISBLANK(K264),"",K264),"")</f>
        <v>8</v>
      </c>
      <c r="K265" s="88"/>
      <c r="L265" s="88"/>
      <c r="M265" s="88"/>
      <c r="N265" s="88"/>
      <c r="O265" s="88"/>
      <c r="P265" s="88"/>
      <c r="Q265" s="88"/>
      <c r="R265" s="88"/>
      <c r="S265" s="88"/>
      <c r="T265" s="88"/>
      <c r="U265" s="88"/>
      <c r="V265" s="88"/>
      <c r="W265" s="88"/>
      <c r="X265" s="88"/>
      <c r="Y265" s="88"/>
      <c r="Z265" s="88"/>
    </row>
    <row r="266" spans="2:27" ht="19.5" x14ac:dyDescent="0.25">
      <c r="B266" s="50"/>
      <c r="C266" s="334"/>
      <c r="D266" s="338" t="str">
        <f>CONCATENATE("кв. ",M264," ","выд."," ",N264," ","делянка", " ",O264)</f>
        <v>кв. 33 выд. 4 делянка 1</v>
      </c>
      <c r="E266" s="338"/>
      <c r="F266" s="338"/>
      <c r="G266" s="338"/>
      <c r="H266" s="90"/>
      <c r="I266" s="88"/>
      <c r="J266" s="88"/>
      <c r="K266" s="88"/>
      <c r="L266" s="88"/>
      <c r="M266" s="88"/>
      <c r="N266" s="88"/>
      <c r="O266" s="88"/>
      <c r="P266" s="88"/>
      <c r="Q266" s="88"/>
      <c r="R266" s="88"/>
      <c r="S266" s="88"/>
      <c r="T266" s="88"/>
      <c r="U266" s="88"/>
      <c r="V266" s="88"/>
      <c r="W266" s="88"/>
      <c r="X266" s="88"/>
      <c r="Y266" s="88"/>
      <c r="Z266" s="88"/>
    </row>
    <row r="267" spans="2:27" ht="23.25" x14ac:dyDescent="0.25">
      <c r="B267" s="49"/>
      <c r="C267" s="61" t="s">
        <v>495</v>
      </c>
      <c r="D267" s="51">
        <f>P264</f>
        <v>6</v>
      </c>
      <c r="E267" s="62"/>
      <c r="F267" s="50"/>
      <c r="G267" s="48"/>
      <c r="H267" s="87"/>
    </row>
    <row r="268" spans="2:27" ht="22.5" x14ac:dyDescent="0.25">
      <c r="B268" s="49"/>
      <c r="C268" s="63" t="s">
        <v>496</v>
      </c>
      <c r="D268" s="106">
        <f>Q264</f>
        <v>1208.8800000000001</v>
      </c>
      <c r="E268" s="309" t="s">
        <v>497</v>
      </c>
      <c r="F268" s="310"/>
      <c r="G268" s="313">
        <f>D269/D268</f>
        <v>25.723554033485538</v>
      </c>
      <c r="H268" s="87"/>
    </row>
    <row r="269" spans="2:27" ht="22.5" x14ac:dyDescent="0.25">
      <c r="B269" s="49"/>
      <c r="C269" s="63" t="s">
        <v>498</v>
      </c>
      <c r="D269" s="52">
        <f>R264</f>
        <v>31096.69</v>
      </c>
      <c r="E269" s="311"/>
      <c r="F269" s="312"/>
      <c r="G269" s="314"/>
      <c r="H269" s="87"/>
    </row>
    <row r="270" spans="2:27" ht="23.25" x14ac:dyDescent="0.25">
      <c r="B270" s="49"/>
      <c r="C270" s="64"/>
      <c r="D270" s="53"/>
      <c r="E270" s="65"/>
      <c r="F270" s="49"/>
      <c r="G270" s="48"/>
      <c r="H270" s="87"/>
    </row>
    <row r="271" spans="2:27" ht="23.25" x14ac:dyDescent="0.25">
      <c r="B271" s="49"/>
      <c r="C271" s="82" t="s">
        <v>499</v>
      </c>
      <c r="D271" s="96" t="str">
        <f>S264</f>
        <v>5ОС3Б2ЛП+КЛ</v>
      </c>
      <c r="E271" s="49"/>
      <c r="F271" s="49"/>
      <c r="G271" s="48"/>
      <c r="H271" s="87"/>
    </row>
    <row r="272" spans="2:27" ht="23.25" x14ac:dyDescent="0.25">
      <c r="B272" s="49"/>
      <c r="C272" s="82" t="s">
        <v>500</v>
      </c>
      <c r="D272" s="96">
        <f>U264</f>
        <v>50</v>
      </c>
      <c r="E272" s="49"/>
      <c r="F272" s="49"/>
      <c r="G272" s="48"/>
      <c r="H272" s="87"/>
    </row>
    <row r="273" spans="2:8" ht="23.25" x14ac:dyDescent="0.25">
      <c r="B273" s="49"/>
      <c r="C273" s="82" t="s">
        <v>501</v>
      </c>
      <c r="D273" s="83" t="s">
        <v>502</v>
      </c>
      <c r="E273" s="49"/>
      <c r="F273" s="49"/>
      <c r="G273" s="48"/>
      <c r="H273" s="87"/>
    </row>
    <row r="274" spans="2:8" ht="24" thickBot="1" x14ac:dyDescent="0.3">
      <c r="B274" s="49"/>
      <c r="C274" s="49"/>
      <c r="D274" s="49"/>
      <c r="E274" s="49"/>
      <c r="F274" s="49"/>
      <c r="G274" s="48"/>
      <c r="H274" s="87"/>
    </row>
    <row r="275" spans="2:8" ht="48" thickBot="1" x14ac:dyDescent="0.3">
      <c r="B275" s="315" t="s">
        <v>436</v>
      </c>
      <c r="C275" s="316"/>
      <c r="D275" s="54" t="s">
        <v>503</v>
      </c>
      <c r="E275" s="317" t="s">
        <v>504</v>
      </c>
      <c r="F275" s="318"/>
      <c r="G275" s="55" t="s">
        <v>505</v>
      </c>
      <c r="H275" s="87"/>
    </row>
    <row r="276" spans="2:8" ht="24" thickBot="1" x14ac:dyDescent="0.3">
      <c r="B276" s="319" t="s">
        <v>506</v>
      </c>
      <c r="C276" s="320"/>
      <c r="D276" s="136">
        <v>197.93</v>
      </c>
      <c r="E276" s="136">
        <f>D267</f>
        <v>6</v>
      </c>
      <c r="F276" s="77" t="s">
        <v>434</v>
      </c>
      <c r="G276" s="142">
        <f t="shared" ref="G276:G283" si="12">D276*E276</f>
        <v>1187.58</v>
      </c>
      <c r="H276" s="321"/>
    </row>
    <row r="277" spans="2:8" ht="23.25" x14ac:dyDescent="0.25">
      <c r="B277" s="322" t="s">
        <v>507</v>
      </c>
      <c r="C277" s="323"/>
      <c r="D277" s="137">
        <v>159.44</v>
      </c>
      <c r="E277" s="137">
        <f>V264</f>
        <v>1.45</v>
      </c>
      <c r="F277" s="78" t="s">
        <v>437</v>
      </c>
      <c r="G277" s="143">
        <f t="shared" si="12"/>
        <v>231.18799999999999</v>
      </c>
      <c r="H277" s="321"/>
    </row>
    <row r="278" spans="2:8" ht="24" thickBot="1" x14ac:dyDescent="0.3">
      <c r="B278" s="324" t="s">
        <v>508</v>
      </c>
      <c r="C278" s="325"/>
      <c r="D278" s="138">
        <v>276.62</v>
      </c>
      <c r="E278" s="138">
        <f>V264</f>
        <v>1.45</v>
      </c>
      <c r="F278" s="79" t="s">
        <v>437</v>
      </c>
      <c r="G278" s="144">
        <f t="shared" si="12"/>
        <v>401.09899999999999</v>
      </c>
      <c r="H278" s="321"/>
    </row>
    <row r="279" spans="2:8" ht="24" thickBot="1" x14ac:dyDescent="0.3">
      <c r="B279" s="326" t="s">
        <v>438</v>
      </c>
      <c r="C279" s="327"/>
      <c r="D279" s="139">
        <v>519</v>
      </c>
      <c r="E279" s="139"/>
      <c r="F279" s="80" t="s">
        <v>434</v>
      </c>
      <c r="G279" s="145">
        <f t="shared" si="12"/>
        <v>0</v>
      </c>
      <c r="H279" s="321"/>
    </row>
    <row r="280" spans="2:8" ht="23.25" x14ac:dyDescent="0.25">
      <c r="B280" s="322" t="s">
        <v>509</v>
      </c>
      <c r="C280" s="323"/>
      <c r="D280" s="137">
        <v>920</v>
      </c>
      <c r="E280" s="137">
        <f>D267*2</f>
        <v>12</v>
      </c>
      <c r="F280" s="78" t="s">
        <v>434</v>
      </c>
      <c r="G280" s="143">
        <f t="shared" si="12"/>
        <v>11040</v>
      </c>
      <c r="H280" s="321"/>
    </row>
    <row r="281" spans="2:8" ht="23.25" x14ac:dyDescent="0.25">
      <c r="B281" s="328" t="s">
        <v>510</v>
      </c>
      <c r="C281" s="329"/>
      <c r="D281" s="140">
        <v>1300</v>
      </c>
      <c r="E281" s="140">
        <f>IF(T264="Осина",D267,"0")</f>
        <v>6</v>
      </c>
      <c r="F281" s="81" t="s">
        <v>434</v>
      </c>
      <c r="G281" s="146">
        <f t="shared" si="12"/>
        <v>7800</v>
      </c>
      <c r="H281" s="321"/>
    </row>
    <row r="282" spans="2:8" ht="23.25" x14ac:dyDescent="0.25">
      <c r="B282" s="328" t="s">
        <v>439</v>
      </c>
      <c r="C282" s="329"/>
      <c r="D282" s="141">
        <v>5165.12</v>
      </c>
      <c r="E282" s="140" t="str">
        <f>IF(T264="Осина","0",D267)</f>
        <v>0</v>
      </c>
      <c r="F282" s="81" t="s">
        <v>434</v>
      </c>
      <c r="G282" s="146">
        <f t="shared" si="12"/>
        <v>0</v>
      </c>
      <c r="H282" s="321"/>
    </row>
    <row r="283" spans="2:8" ht="23.25" x14ac:dyDescent="0.25">
      <c r="B283" s="328" t="s">
        <v>511</v>
      </c>
      <c r="C283" s="329"/>
      <c r="D283" s="141">
        <v>917</v>
      </c>
      <c r="E283" s="140" t="str">
        <f>IF(T264="Осина","0",D267)</f>
        <v>0</v>
      </c>
      <c r="F283" s="81" t="s">
        <v>434</v>
      </c>
      <c r="G283" s="146">
        <f t="shared" si="12"/>
        <v>0</v>
      </c>
      <c r="H283" s="321"/>
    </row>
    <row r="284" spans="2:8" ht="23.25" x14ac:dyDescent="0.25">
      <c r="B284" s="328" t="s">
        <v>441</v>
      </c>
      <c r="C284" s="329"/>
      <c r="D284" s="141">
        <v>461.56000000000006</v>
      </c>
      <c r="E284" s="140" t="str">
        <f>IF(T264="Осина","0",D267)</f>
        <v>0</v>
      </c>
      <c r="F284" s="81" t="s">
        <v>434</v>
      </c>
      <c r="G284" s="146">
        <f>D284*E284</f>
        <v>0</v>
      </c>
      <c r="H284" s="321"/>
    </row>
    <row r="285" spans="2:8" ht="24" thickBot="1" x14ac:dyDescent="0.3">
      <c r="B285" s="324" t="s">
        <v>440</v>
      </c>
      <c r="C285" s="325"/>
      <c r="D285" s="138">
        <v>353.15</v>
      </c>
      <c r="E285" s="140" t="str">
        <f>IF(T264="Осина","0",D267*4)</f>
        <v>0</v>
      </c>
      <c r="F285" s="79" t="s">
        <v>434</v>
      </c>
      <c r="G285" s="147">
        <f>D285*E285</f>
        <v>0</v>
      </c>
      <c r="H285" s="321"/>
    </row>
    <row r="286" spans="2:8" ht="23.25" x14ac:dyDescent="0.25">
      <c r="B286" s="49"/>
      <c r="C286" s="66"/>
      <c r="D286" s="66"/>
      <c r="E286" s="56"/>
      <c r="F286" s="56"/>
      <c r="G286" s="48"/>
      <c r="H286" s="92"/>
    </row>
    <row r="287" spans="2:8" ht="25.5" x14ac:dyDescent="0.25">
      <c r="B287" s="49"/>
      <c r="C287" s="59" t="s">
        <v>512</v>
      </c>
      <c r="D287" s="60"/>
      <c r="E287" s="49"/>
      <c r="F287" s="49"/>
      <c r="G287" s="48"/>
      <c r="H287" s="87"/>
    </row>
    <row r="288" spans="2:8" ht="18.75" x14ac:dyDescent="0.25">
      <c r="B288" s="49"/>
      <c r="C288" s="306" t="s">
        <v>513</v>
      </c>
      <c r="D288" s="84" t="s">
        <v>514</v>
      </c>
      <c r="E288" s="68">
        <f>ROUND((G276+D269)/D269,2)</f>
        <v>1.04</v>
      </c>
      <c r="F288" s="68"/>
      <c r="G288" s="50"/>
      <c r="H288" s="87"/>
    </row>
    <row r="289" spans="2:27" ht="23.25" x14ac:dyDescent="0.25">
      <c r="B289" s="49"/>
      <c r="C289" s="306"/>
      <c r="D289" s="84" t="s">
        <v>515</v>
      </c>
      <c r="E289" s="68">
        <f>ROUND((G277+G278+D269)/D269,2)</f>
        <v>1.02</v>
      </c>
      <c r="F289" s="68"/>
      <c r="G289" s="57"/>
      <c r="H289" s="93"/>
    </row>
    <row r="290" spans="2:27" ht="23.25" x14ac:dyDescent="0.25">
      <c r="B290" s="49"/>
      <c r="C290" s="306"/>
      <c r="D290" s="84" t="s">
        <v>516</v>
      </c>
      <c r="E290" s="68">
        <f>ROUND((G279+D269)/D269,2)</f>
        <v>1</v>
      </c>
      <c r="F290" s="50"/>
      <c r="G290" s="57"/>
      <c r="H290" s="87"/>
    </row>
    <row r="291" spans="2:27" ht="23.25" x14ac:dyDescent="0.25">
      <c r="B291" s="49"/>
      <c r="C291" s="306"/>
      <c r="D291" s="69" t="s">
        <v>517</v>
      </c>
      <c r="E291" s="70">
        <f>ROUND((SUM(G280:G285)+D269)/D269,2)</f>
        <v>1.61</v>
      </c>
      <c r="F291" s="50"/>
      <c r="G291" s="57"/>
      <c r="H291" s="87"/>
    </row>
    <row r="292" spans="2:27" ht="25.5" x14ac:dyDescent="0.25">
      <c r="B292" s="49"/>
      <c r="C292" s="49"/>
      <c r="D292" s="71" t="s">
        <v>518</v>
      </c>
      <c r="E292" s="72">
        <f>SUM(E288:E291)-IF(D273="сплошная",3,2)</f>
        <v>1.67</v>
      </c>
      <c r="F292" s="73"/>
      <c r="G292" s="48"/>
      <c r="H292" s="87"/>
    </row>
    <row r="293" spans="2:27" ht="23.25" x14ac:dyDescent="0.25">
      <c r="B293" s="49"/>
      <c r="C293" s="49"/>
      <c r="D293" s="49"/>
      <c r="E293" s="74"/>
      <c r="F293" s="49"/>
      <c r="G293" s="48"/>
      <c r="H293" s="87"/>
    </row>
    <row r="294" spans="2:27" ht="25.5" x14ac:dyDescent="0.35">
      <c r="B294" s="58"/>
      <c r="C294" s="75" t="s">
        <v>519</v>
      </c>
      <c r="D294" s="307">
        <f>E292*D269</f>
        <v>51931.472299999994</v>
      </c>
      <c r="E294" s="307"/>
      <c r="F294" s="49"/>
      <c r="G294" s="48"/>
      <c r="H294" s="87"/>
    </row>
    <row r="295" spans="2:27" ht="18.75" x14ac:dyDescent="0.3">
      <c r="B295" s="49"/>
      <c r="C295" s="76" t="s">
        <v>520</v>
      </c>
      <c r="D295" s="308">
        <f>D294/D268</f>
        <v>42.958335235920842</v>
      </c>
      <c r="E295" s="308"/>
      <c r="F295" s="49"/>
      <c r="G295" s="49"/>
      <c r="H295" s="94"/>
    </row>
    <row r="298" spans="2:27" ht="60.75" x14ac:dyDescent="0.8">
      <c r="B298" s="330" t="str">
        <f>CONCATENATE("ЛОТ № ",K301)</f>
        <v>ЛОТ № 9</v>
      </c>
      <c r="C298" s="330"/>
      <c r="D298" s="330"/>
      <c r="E298" s="330"/>
      <c r="F298" s="330"/>
      <c r="G298" s="330"/>
      <c r="H298" s="330"/>
    </row>
    <row r="299" spans="2:27" ht="18.75" x14ac:dyDescent="0.25">
      <c r="B299" s="331" t="s">
        <v>492</v>
      </c>
      <c r="C299" s="331"/>
      <c r="D299" s="331"/>
      <c r="E299" s="331"/>
      <c r="F299" s="331"/>
      <c r="G299" s="331"/>
      <c r="H299" s="87"/>
    </row>
    <row r="300" spans="2:27" ht="25.5" x14ac:dyDescent="0.25">
      <c r="B300" s="49"/>
      <c r="C300" s="59" t="s">
        <v>493</v>
      </c>
      <c r="D300" s="60"/>
      <c r="E300" s="49"/>
      <c r="F300" s="49"/>
      <c r="G300" s="48"/>
      <c r="H300" s="87"/>
      <c r="I300" s="88"/>
      <c r="J300" s="88"/>
      <c r="K300" s="88"/>
      <c r="L300" s="88" t="s">
        <v>454</v>
      </c>
      <c r="M300" s="88" t="s">
        <v>444</v>
      </c>
      <c r="N300" s="88" t="s">
        <v>445</v>
      </c>
      <c r="O300" s="88" t="s">
        <v>453</v>
      </c>
      <c r="P300" s="89" t="s">
        <v>446</v>
      </c>
      <c r="Q300" s="88" t="s">
        <v>435</v>
      </c>
      <c r="R300" s="40" t="s">
        <v>447</v>
      </c>
      <c r="S300" s="40" t="s">
        <v>522</v>
      </c>
      <c r="T300" s="88" t="s">
        <v>118</v>
      </c>
      <c r="U300" s="88" t="s">
        <v>500</v>
      </c>
      <c r="V300" s="88" t="s">
        <v>450</v>
      </c>
      <c r="W300" s="40" t="s">
        <v>448</v>
      </c>
      <c r="X300" s="40" t="s">
        <v>449</v>
      </c>
      <c r="Y300" s="88" t="s">
        <v>523</v>
      </c>
      <c r="Z300" s="88"/>
    </row>
    <row r="301" spans="2:27" ht="39.950000000000003" customHeight="1" x14ac:dyDescent="0.25">
      <c r="B301" s="50"/>
      <c r="C301" s="332" t="s">
        <v>494</v>
      </c>
      <c r="D301" s="335" t="s">
        <v>521</v>
      </c>
      <c r="E301" s="336"/>
      <c r="F301" s="336"/>
      <c r="G301" s="337"/>
      <c r="H301" s="90"/>
      <c r="I301" s="88" t="s">
        <v>443</v>
      </c>
      <c r="J301" s="88"/>
      <c r="K301" s="43">
        <f>IF(I301="","",COUNTA(I$5:I301))</f>
        <v>9</v>
      </c>
      <c r="L301" s="95" t="str">
        <f>INDEX('Ведомость расчета мин. платы'!$B$10:$T$209,MATCH(ЛОТЫ!$K301,'Ведомость расчета мин. платы'!$B$10:$B$209,0),2)</f>
        <v>Вишнево-Полянское</v>
      </c>
      <c r="M301" s="95">
        <f>INDEX('Ведомость расчета мин. платы'!$B$10:$T$209,MATCH(ЛОТЫ!$K301,'Ведомость расчета мин. платы'!$B$10:$B$209,0),3)</f>
        <v>90</v>
      </c>
      <c r="N301" s="95">
        <f>INDEX('Ведомость расчета мин. платы'!$B$10:$T$209,MATCH(ЛОТЫ!$K301,'Ведомость расчета мин. платы'!$B$10:$B$209,0),4)</f>
        <v>1</v>
      </c>
      <c r="O301" s="95">
        <f>INDEX('Ведомость расчета мин. платы'!$B$10:$T$209,MATCH(ЛОТЫ!$K301,'Ведомость расчета мин. платы'!$B$10:$B$209,0),5)</f>
        <v>1</v>
      </c>
      <c r="P301" s="89">
        <f>IFERROR(INDEX(Коэффициенты!$G$4:$O$106,MATCH(CONCATENATE($L301,"/",$M301,"/",$N301,"/",$O301),Коэффициенты!$O$4:$O$106,0),1),"")</f>
        <v>9.5</v>
      </c>
      <c r="Q301" s="40">
        <f>IFERROR(INDEX(Коэффициенты!$G$4:$O$106,MATCH(CONCATENATE($L301,"/",$M301,"/",$N301,"/",$O301),Коэффициенты!$O$4:$O$106,0),6),"")</f>
        <v>1603.6999999999998</v>
      </c>
      <c r="R301" s="40">
        <f>IFERROR(INDEX(Коэффициенты!$G$4:$O$106,MATCH(CONCATENATE($L301,"/",$M301,"/",$N301,"/",$O301),Коэффициенты!$O$4:$O$106,0),2),"")</f>
        <v>52214.899999999994</v>
      </c>
      <c r="S301" s="43" t="str">
        <f>IFERROR(INDEX('Такс. опис.'!$A$5:$BW$50,MATCH(CONCATENATE($L301,"/",$M301,"/",$N301),'Такс. опис.'!$C$5:$C$50,0),26),"")</f>
        <v>7ОС2ЛП1ДН</v>
      </c>
      <c r="T301" s="43" t="str">
        <f>IFERROR(INDEX('Такс. опис.'!$A$5:$BW$50,MATCH(CONCATENATE($L301,"/",$M301,"/",$N301),'Такс. опис.'!$C$5:$C$50,0),47),"")</f>
        <v>Осина</v>
      </c>
      <c r="U301" s="43">
        <f>IFERROR(INDEX('Такс. опис.'!$A$5:$BW$50,MATCH(CONCATENATE($L301,"/",$M301,"/",$N301),'Такс. опис.'!$C$5:$C$50,0),49),"")</f>
        <v>45</v>
      </c>
      <c r="V301" s="103">
        <f>IFERROR(INDEX('Ведомость расчета мин. платы'!$AC$10:$AD$214,MATCH(CONCATENATE($L301,"/",$M301,"/",$N301,"/",$O301),'Ведомость расчета мин. платы'!$AC$10:$AC$214,0),2),"")</f>
        <v>2.0299999999999998</v>
      </c>
      <c r="W301" s="40">
        <f>E329</f>
        <v>1.63</v>
      </c>
      <c r="X301" s="40">
        <f>D331</f>
        <v>85110.286999999982</v>
      </c>
      <c r="Y301" s="91">
        <f>D332</f>
        <v>53.071202219866557</v>
      </c>
      <c r="Z301" s="88"/>
      <c r="AA301" s="86">
        <f t="shared" si="11"/>
        <v>1</v>
      </c>
    </row>
    <row r="302" spans="2:27" ht="19.5" x14ac:dyDescent="0.25">
      <c r="B302" s="50"/>
      <c r="C302" s="333"/>
      <c r="D302" s="338" t="str">
        <f>CONCATENATE(L301, " участковое лесничество")</f>
        <v>Вишнево-Полянское участковое лесничество</v>
      </c>
      <c r="E302" s="338"/>
      <c r="F302" s="338"/>
      <c r="G302" s="338"/>
      <c r="H302" s="90"/>
      <c r="I302" s="88"/>
      <c r="J302" s="88">
        <f>IFERROR(IF(ISBLANK(K301),"",K301),"")</f>
        <v>9</v>
      </c>
      <c r="K302" s="88"/>
      <c r="L302" s="88"/>
      <c r="M302" s="88"/>
      <c r="N302" s="88"/>
      <c r="O302" s="88"/>
      <c r="P302" s="88"/>
      <c r="Q302" s="88"/>
      <c r="R302" s="88"/>
      <c r="S302" s="88"/>
      <c r="T302" s="88"/>
      <c r="U302" s="88"/>
      <c r="V302" s="88"/>
      <c r="W302" s="88"/>
      <c r="X302" s="88"/>
      <c r="Y302" s="88"/>
      <c r="Z302" s="88"/>
    </row>
    <row r="303" spans="2:27" ht="19.5" x14ac:dyDescent="0.25">
      <c r="B303" s="50"/>
      <c r="C303" s="334"/>
      <c r="D303" s="338" t="str">
        <f>CONCATENATE("кв. ",M301," ","выд."," ",N301," ","делянка", " ",O301)</f>
        <v>кв. 90 выд. 1 делянка 1</v>
      </c>
      <c r="E303" s="338"/>
      <c r="F303" s="338"/>
      <c r="G303" s="338"/>
      <c r="H303" s="90"/>
      <c r="I303" s="88"/>
      <c r="J303" s="88"/>
      <c r="K303" s="88"/>
      <c r="L303" s="88"/>
      <c r="M303" s="88"/>
      <c r="N303" s="88"/>
      <c r="O303" s="88"/>
      <c r="P303" s="88"/>
      <c r="Q303" s="88"/>
      <c r="R303" s="88"/>
      <c r="S303" s="88"/>
      <c r="T303" s="88"/>
      <c r="U303" s="88"/>
      <c r="V303" s="88"/>
      <c r="W303" s="88"/>
      <c r="X303" s="88"/>
      <c r="Y303" s="88"/>
      <c r="Z303" s="88"/>
    </row>
    <row r="304" spans="2:27" ht="23.25" x14ac:dyDescent="0.25">
      <c r="B304" s="49"/>
      <c r="C304" s="61" t="s">
        <v>495</v>
      </c>
      <c r="D304" s="51">
        <f>P301</f>
        <v>9.5</v>
      </c>
      <c r="E304" s="62"/>
      <c r="F304" s="50"/>
      <c r="G304" s="48"/>
      <c r="H304" s="87"/>
    </row>
    <row r="305" spans="2:8" ht="22.5" x14ac:dyDescent="0.25">
      <c r="B305" s="49"/>
      <c r="C305" s="63" t="s">
        <v>496</v>
      </c>
      <c r="D305" s="106">
        <f>Q301</f>
        <v>1603.6999999999998</v>
      </c>
      <c r="E305" s="309" t="s">
        <v>497</v>
      </c>
      <c r="F305" s="310"/>
      <c r="G305" s="313">
        <f>D306/D305</f>
        <v>32.559019766789298</v>
      </c>
      <c r="H305" s="87"/>
    </row>
    <row r="306" spans="2:8" ht="22.5" x14ac:dyDescent="0.25">
      <c r="B306" s="49"/>
      <c r="C306" s="63" t="s">
        <v>498</v>
      </c>
      <c r="D306" s="52">
        <f>R301</f>
        <v>52214.899999999994</v>
      </c>
      <c r="E306" s="311"/>
      <c r="F306" s="312"/>
      <c r="G306" s="314"/>
      <c r="H306" s="87"/>
    </row>
    <row r="307" spans="2:8" ht="23.25" x14ac:dyDescent="0.25">
      <c r="B307" s="49"/>
      <c r="C307" s="64"/>
      <c r="D307" s="53"/>
      <c r="E307" s="65"/>
      <c r="F307" s="49"/>
      <c r="G307" s="48"/>
      <c r="H307" s="87"/>
    </row>
    <row r="308" spans="2:8" ht="23.25" x14ac:dyDescent="0.25">
      <c r="B308" s="49"/>
      <c r="C308" s="82" t="s">
        <v>499</v>
      </c>
      <c r="D308" s="96" t="str">
        <f>S301</f>
        <v>7ОС2ЛП1ДН</v>
      </c>
      <c r="E308" s="49"/>
      <c r="F308" s="49"/>
      <c r="G308" s="48"/>
      <c r="H308" s="87"/>
    </row>
    <row r="309" spans="2:8" ht="23.25" x14ac:dyDescent="0.25">
      <c r="B309" s="49"/>
      <c r="C309" s="82" t="s">
        <v>500</v>
      </c>
      <c r="D309" s="96">
        <f>U301</f>
        <v>45</v>
      </c>
      <c r="E309" s="49"/>
      <c r="F309" s="49"/>
      <c r="G309" s="48"/>
      <c r="H309" s="87"/>
    </row>
    <row r="310" spans="2:8" ht="23.25" x14ac:dyDescent="0.25">
      <c r="B310" s="49"/>
      <c r="C310" s="82" t="s">
        <v>501</v>
      </c>
      <c r="D310" s="83" t="s">
        <v>502</v>
      </c>
      <c r="E310" s="49"/>
      <c r="F310" s="49"/>
      <c r="G310" s="48"/>
      <c r="H310" s="87"/>
    </row>
    <row r="311" spans="2:8" ht="24" thickBot="1" x14ac:dyDescent="0.3">
      <c r="B311" s="49"/>
      <c r="C311" s="49"/>
      <c r="D311" s="49"/>
      <c r="E311" s="49"/>
      <c r="F311" s="49"/>
      <c r="G311" s="48"/>
      <c r="H311" s="87"/>
    </row>
    <row r="312" spans="2:8" ht="48" thickBot="1" x14ac:dyDescent="0.3">
      <c r="B312" s="315" t="s">
        <v>436</v>
      </c>
      <c r="C312" s="316"/>
      <c r="D312" s="54" t="s">
        <v>503</v>
      </c>
      <c r="E312" s="317" t="s">
        <v>504</v>
      </c>
      <c r="F312" s="318"/>
      <c r="G312" s="55" t="s">
        <v>505</v>
      </c>
      <c r="H312" s="87"/>
    </row>
    <row r="313" spans="2:8" ht="24" thickBot="1" x14ac:dyDescent="0.3">
      <c r="B313" s="319" t="s">
        <v>506</v>
      </c>
      <c r="C313" s="320"/>
      <c r="D313" s="136">
        <v>197.93</v>
      </c>
      <c r="E313" s="136">
        <f>D304</f>
        <v>9.5</v>
      </c>
      <c r="F313" s="77" t="s">
        <v>434</v>
      </c>
      <c r="G313" s="142">
        <f t="shared" ref="G313:G320" si="13">D313*E313</f>
        <v>1880.335</v>
      </c>
      <c r="H313" s="321"/>
    </row>
    <row r="314" spans="2:8" ht="23.25" x14ac:dyDescent="0.25">
      <c r="B314" s="322" t="s">
        <v>507</v>
      </c>
      <c r="C314" s="323"/>
      <c r="D314" s="137">
        <v>159.44</v>
      </c>
      <c r="E314" s="137">
        <f>V301</f>
        <v>2.0299999999999998</v>
      </c>
      <c r="F314" s="78" t="s">
        <v>437</v>
      </c>
      <c r="G314" s="143">
        <f t="shared" si="13"/>
        <v>323.66319999999996</v>
      </c>
      <c r="H314" s="321"/>
    </row>
    <row r="315" spans="2:8" ht="24" thickBot="1" x14ac:dyDescent="0.3">
      <c r="B315" s="324" t="s">
        <v>508</v>
      </c>
      <c r="C315" s="325"/>
      <c r="D315" s="138">
        <v>276.62</v>
      </c>
      <c r="E315" s="138">
        <f>V301</f>
        <v>2.0299999999999998</v>
      </c>
      <c r="F315" s="79" t="s">
        <v>437</v>
      </c>
      <c r="G315" s="144">
        <f t="shared" si="13"/>
        <v>561.53859999999997</v>
      </c>
      <c r="H315" s="321"/>
    </row>
    <row r="316" spans="2:8" ht="24" thickBot="1" x14ac:dyDescent="0.3">
      <c r="B316" s="326" t="s">
        <v>438</v>
      </c>
      <c r="C316" s="327"/>
      <c r="D316" s="139">
        <v>519</v>
      </c>
      <c r="E316" s="139"/>
      <c r="F316" s="80" t="s">
        <v>434</v>
      </c>
      <c r="G316" s="145">
        <f t="shared" si="13"/>
        <v>0</v>
      </c>
      <c r="H316" s="321"/>
    </row>
    <row r="317" spans="2:8" ht="23.25" x14ac:dyDescent="0.25">
      <c r="B317" s="322" t="s">
        <v>509</v>
      </c>
      <c r="C317" s="323"/>
      <c r="D317" s="137">
        <v>920</v>
      </c>
      <c r="E317" s="137">
        <f>D304*2</f>
        <v>19</v>
      </c>
      <c r="F317" s="78" t="s">
        <v>434</v>
      </c>
      <c r="G317" s="143">
        <f t="shared" si="13"/>
        <v>17480</v>
      </c>
      <c r="H317" s="321"/>
    </row>
    <row r="318" spans="2:8" ht="23.25" x14ac:dyDescent="0.25">
      <c r="B318" s="328" t="s">
        <v>510</v>
      </c>
      <c r="C318" s="329"/>
      <c r="D318" s="140">
        <v>1300</v>
      </c>
      <c r="E318" s="140">
        <f>IF(T301="Осина",D304,"0")</f>
        <v>9.5</v>
      </c>
      <c r="F318" s="81" t="s">
        <v>434</v>
      </c>
      <c r="G318" s="146">
        <f t="shared" si="13"/>
        <v>12350</v>
      </c>
      <c r="H318" s="321"/>
    </row>
    <row r="319" spans="2:8" ht="23.25" x14ac:dyDescent="0.25">
      <c r="B319" s="328" t="s">
        <v>439</v>
      </c>
      <c r="C319" s="329"/>
      <c r="D319" s="141">
        <v>5165.12</v>
      </c>
      <c r="E319" s="140" t="str">
        <f>IF(T301="Осина","0",D304)</f>
        <v>0</v>
      </c>
      <c r="F319" s="81" t="s">
        <v>434</v>
      </c>
      <c r="G319" s="146">
        <f t="shared" si="13"/>
        <v>0</v>
      </c>
      <c r="H319" s="321"/>
    </row>
    <row r="320" spans="2:8" ht="23.25" x14ac:dyDescent="0.25">
      <c r="B320" s="328" t="s">
        <v>511</v>
      </c>
      <c r="C320" s="329"/>
      <c r="D320" s="141">
        <v>917</v>
      </c>
      <c r="E320" s="140" t="str">
        <f>IF(T301="Осина","0",D304)</f>
        <v>0</v>
      </c>
      <c r="F320" s="81" t="s">
        <v>434</v>
      </c>
      <c r="G320" s="146">
        <f t="shared" si="13"/>
        <v>0</v>
      </c>
      <c r="H320" s="321"/>
    </row>
    <row r="321" spans="2:8" ht="23.25" x14ac:dyDescent="0.25">
      <c r="B321" s="328" t="s">
        <v>441</v>
      </c>
      <c r="C321" s="329"/>
      <c r="D321" s="141">
        <v>461.56000000000006</v>
      </c>
      <c r="E321" s="140" t="str">
        <f>IF(T301="Осина","0",D304)</f>
        <v>0</v>
      </c>
      <c r="F321" s="81" t="s">
        <v>434</v>
      </c>
      <c r="G321" s="146">
        <f>D321*E321</f>
        <v>0</v>
      </c>
      <c r="H321" s="321"/>
    </row>
    <row r="322" spans="2:8" ht="24" thickBot="1" x14ac:dyDescent="0.3">
      <c r="B322" s="324" t="s">
        <v>440</v>
      </c>
      <c r="C322" s="325"/>
      <c r="D322" s="138">
        <v>353.15</v>
      </c>
      <c r="E322" s="140" t="str">
        <f>IF(T301="Осина","0",D304*4)</f>
        <v>0</v>
      </c>
      <c r="F322" s="79" t="s">
        <v>434</v>
      </c>
      <c r="G322" s="147">
        <f>D322*E322</f>
        <v>0</v>
      </c>
      <c r="H322" s="321"/>
    </row>
    <row r="323" spans="2:8" ht="23.25" x14ac:dyDescent="0.25">
      <c r="B323" s="49"/>
      <c r="C323" s="66"/>
      <c r="D323" s="66"/>
      <c r="E323" s="56"/>
      <c r="F323" s="56"/>
      <c r="G323" s="48"/>
      <c r="H323" s="92"/>
    </row>
    <row r="324" spans="2:8" ht="25.5" x14ac:dyDescent="0.25">
      <c r="B324" s="49"/>
      <c r="C324" s="59" t="s">
        <v>512</v>
      </c>
      <c r="D324" s="60"/>
      <c r="E324" s="49"/>
      <c r="F324" s="49"/>
      <c r="G324" s="48"/>
      <c r="H324" s="87"/>
    </row>
    <row r="325" spans="2:8" ht="18.75" x14ac:dyDescent="0.25">
      <c r="B325" s="49"/>
      <c r="C325" s="306" t="s">
        <v>513</v>
      </c>
      <c r="D325" s="84" t="s">
        <v>514</v>
      </c>
      <c r="E325" s="68">
        <f>ROUND((G313+D306)/D306,2)</f>
        <v>1.04</v>
      </c>
      <c r="F325" s="68"/>
      <c r="G325" s="50"/>
      <c r="H325" s="87"/>
    </row>
    <row r="326" spans="2:8" ht="23.25" x14ac:dyDescent="0.25">
      <c r="B326" s="49"/>
      <c r="C326" s="306"/>
      <c r="D326" s="84" t="s">
        <v>515</v>
      </c>
      <c r="E326" s="68">
        <f>ROUND((G314+G315+D306)/D306,2)</f>
        <v>1.02</v>
      </c>
      <c r="F326" s="68"/>
      <c r="G326" s="57"/>
      <c r="H326" s="93"/>
    </row>
    <row r="327" spans="2:8" ht="23.25" x14ac:dyDescent="0.25">
      <c r="B327" s="49"/>
      <c r="C327" s="306"/>
      <c r="D327" s="84" t="s">
        <v>516</v>
      </c>
      <c r="E327" s="68">
        <f>ROUND((G316+D306)/D306,2)</f>
        <v>1</v>
      </c>
      <c r="F327" s="50"/>
      <c r="G327" s="57"/>
      <c r="H327" s="87"/>
    </row>
    <row r="328" spans="2:8" ht="23.25" x14ac:dyDescent="0.25">
      <c r="B328" s="49"/>
      <c r="C328" s="306"/>
      <c r="D328" s="69" t="s">
        <v>517</v>
      </c>
      <c r="E328" s="70">
        <f>ROUND((SUM(G317:G322)+D306)/D306,2)</f>
        <v>1.57</v>
      </c>
      <c r="F328" s="50"/>
      <c r="G328" s="57"/>
      <c r="H328" s="87"/>
    </row>
    <row r="329" spans="2:8" ht="25.5" x14ac:dyDescent="0.25">
      <c r="B329" s="49"/>
      <c r="C329" s="49"/>
      <c r="D329" s="71" t="s">
        <v>518</v>
      </c>
      <c r="E329" s="72">
        <f>SUM(E325:E328)-IF(D310="сплошная",3,2)</f>
        <v>1.63</v>
      </c>
      <c r="F329" s="73"/>
      <c r="G329" s="48"/>
      <c r="H329" s="87"/>
    </row>
    <row r="330" spans="2:8" ht="23.25" x14ac:dyDescent="0.25">
      <c r="B330" s="49"/>
      <c r="C330" s="49"/>
      <c r="D330" s="49"/>
      <c r="E330" s="74"/>
      <c r="F330" s="49"/>
      <c r="G330" s="48"/>
      <c r="H330" s="87"/>
    </row>
    <row r="331" spans="2:8" ht="25.5" x14ac:dyDescent="0.35">
      <c r="B331" s="58"/>
      <c r="C331" s="75" t="s">
        <v>519</v>
      </c>
      <c r="D331" s="307">
        <f>E329*D306</f>
        <v>85110.286999999982</v>
      </c>
      <c r="E331" s="307"/>
      <c r="F331" s="49"/>
      <c r="G331" s="48"/>
      <c r="H331" s="87"/>
    </row>
    <row r="332" spans="2:8" ht="18.75" x14ac:dyDescent="0.3">
      <c r="B332" s="49"/>
      <c r="C332" s="76" t="s">
        <v>520</v>
      </c>
      <c r="D332" s="308">
        <f>D331/D305</f>
        <v>53.071202219866557</v>
      </c>
      <c r="E332" s="308"/>
      <c r="F332" s="49"/>
      <c r="G332" s="49"/>
      <c r="H332" s="94"/>
    </row>
    <row r="335" spans="2:8" ht="60.75" x14ac:dyDescent="0.8">
      <c r="B335" s="330" t="str">
        <f>CONCATENATE("ЛОТ № ",K338)</f>
        <v>ЛОТ № 10</v>
      </c>
      <c r="C335" s="330"/>
      <c r="D335" s="330"/>
      <c r="E335" s="330"/>
      <c r="F335" s="330"/>
      <c r="G335" s="330"/>
      <c r="H335" s="330"/>
    </row>
    <row r="336" spans="2:8" ht="18.75" x14ac:dyDescent="0.25">
      <c r="B336" s="331" t="s">
        <v>492</v>
      </c>
      <c r="C336" s="331"/>
      <c r="D336" s="331"/>
      <c r="E336" s="331"/>
      <c r="F336" s="331"/>
      <c r="G336" s="331"/>
      <c r="H336" s="87"/>
    </row>
    <row r="337" spans="2:27" ht="25.5" x14ac:dyDescent="0.25">
      <c r="B337" s="49"/>
      <c r="C337" s="59" t="s">
        <v>493</v>
      </c>
      <c r="D337" s="60"/>
      <c r="E337" s="49"/>
      <c r="F337" s="49"/>
      <c r="G337" s="48"/>
      <c r="H337" s="87"/>
      <c r="I337" s="88"/>
      <c r="J337" s="88"/>
      <c r="K337" s="88"/>
      <c r="L337" s="88" t="s">
        <v>454</v>
      </c>
      <c r="M337" s="88" t="s">
        <v>444</v>
      </c>
      <c r="N337" s="88" t="s">
        <v>445</v>
      </c>
      <c r="O337" s="88" t="s">
        <v>453</v>
      </c>
      <c r="P337" s="89" t="s">
        <v>446</v>
      </c>
      <c r="Q337" s="88" t="s">
        <v>435</v>
      </c>
      <c r="R337" s="40" t="s">
        <v>447</v>
      </c>
      <c r="S337" s="40" t="s">
        <v>522</v>
      </c>
      <c r="T337" s="88" t="s">
        <v>118</v>
      </c>
      <c r="U337" s="88" t="s">
        <v>500</v>
      </c>
      <c r="V337" s="88" t="s">
        <v>450</v>
      </c>
      <c r="W337" s="40" t="s">
        <v>448</v>
      </c>
      <c r="X337" s="40" t="s">
        <v>449</v>
      </c>
      <c r="Y337" s="88" t="s">
        <v>523</v>
      </c>
      <c r="Z337" s="88"/>
    </row>
    <row r="338" spans="2:27" ht="39.950000000000003" customHeight="1" x14ac:dyDescent="0.25">
      <c r="B338" s="50"/>
      <c r="C338" s="332" t="s">
        <v>494</v>
      </c>
      <c r="D338" s="335" t="s">
        <v>521</v>
      </c>
      <c r="E338" s="336"/>
      <c r="F338" s="336"/>
      <c r="G338" s="337"/>
      <c r="H338" s="90"/>
      <c r="I338" s="88" t="s">
        <v>443</v>
      </c>
      <c r="J338" s="88"/>
      <c r="K338" s="43">
        <f>IF(I338="","",COUNTA(I$5:I338))</f>
        <v>10</v>
      </c>
      <c r="L338" s="95" t="str">
        <f>INDEX('Ведомость расчета мин. платы'!$B$10:$T$209,MATCH(ЛОТЫ!$K338,'Ведомость расчета мин. платы'!$B$10:$B$209,0),2)</f>
        <v>Вишнево-Полянское</v>
      </c>
      <c r="M338" s="95">
        <f>INDEX('Ведомость расчета мин. платы'!$B$10:$T$209,MATCH(ЛОТЫ!$K338,'Ведомость расчета мин. платы'!$B$10:$B$209,0),3)</f>
        <v>90</v>
      </c>
      <c r="N338" s="95">
        <f>INDEX('Ведомость расчета мин. платы'!$B$10:$T$209,MATCH(ЛОТЫ!$K338,'Ведомость расчета мин. платы'!$B$10:$B$209,0),4)</f>
        <v>18</v>
      </c>
      <c r="O338" s="95">
        <f>INDEX('Ведомость расчета мин. платы'!$B$10:$T$209,MATCH(ЛОТЫ!$K338,'Ведомость расчета мин. платы'!$B$10:$B$209,0),5)</f>
        <v>2</v>
      </c>
      <c r="P338" s="89">
        <f>IFERROR(INDEX(Коэффициенты!$G$4:$O$106,MATCH(CONCATENATE($L338,"/",$M338,"/",$N338,"/",$O338),Коэффициенты!$O$4:$O$106,0),1),"")</f>
        <v>4.9000000000000004</v>
      </c>
      <c r="Q338" s="40">
        <f>IFERROR(INDEX(Коэффициенты!$G$4:$O$106,MATCH(CONCATENATE($L338,"/",$M338,"/",$N338,"/",$O338),Коэффициенты!$O$4:$O$106,0),6),"")</f>
        <v>898.67000000000007</v>
      </c>
      <c r="R338" s="40">
        <f>IFERROR(INDEX(Коэффициенты!$G$4:$O$106,MATCH(CONCATENATE($L338,"/",$M338,"/",$N338,"/",$O338),Коэффициенты!$O$4:$O$106,0),2),"")</f>
        <v>36571.199999999997</v>
      </c>
      <c r="S338" s="43" t="str">
        <f>IFERROR(INDEX('Такс. опис.'!$A$5:$BW$50,MATCH(CONCATENATE($L338,"/",$M338,"/",$N338),'Такс. опис.'!$C$5:$C$50,0),26),"")</f>
        <v>5ОС3ЛП2ДН+Б</v>
      </c>
      <c r="T338" s="43" t="str">
        <f>IFERROR(INDEX('Такс. опис.'!$A$5:$BW$50,MATCH(CONCATENATE($L338,"/",$M338,"/",$N338),'Такс. опис.'!$C$5:$C$50,0),47),"")</f>
        <v>Осина</v>
      </c>
      <c r="U338" s="43">
        <f>IFERROR(INDEX('Такс. опис.'!$A$5:$BW$50,MATCH(CONCATENATE($L338,"/",$M338,"/",$N338),'Такс. опис.'!$C$5:$C$50,0),49),"")</f>
        <v>60</v>
      </c>
      <c r="V338" s="103">
        <f>IFERROR(INDEX('Ведомость расчета мин. платы'!$AC$10:$AD$214,MATCH(CONCATENATE($L338,"/",$M338,"/",$N338,"/",$O338),'Ведомость расчета мин. платы'!$AC$10:$AC$214,0),2),"")</f>
        <v>1.1100000000000001</v>
      </c>
      <c r="W338" s="40">
        <f>E366</f>
        <v>1.46</v>
      </c>
      <c r="X338" s="40">
        <f>D368</f>
        <v>53393.951999999997</v>
      </c>
      <c r="Y338" s="91">
        <f>D369</f>
        <v>59.414414634960544</v>
      </c>
      <c r="Z338" s="88"/>
      <c r="AA338" s="86">
        <f t="shared" ref="AA338:AA375" si="14">IF(M338&gt;0,1,0)</f>
        <v>1</v>
      </c>
    </row>
    <row r="339" spans="2:27" ht="19.5" x14ac:dyDescent="0.25">
      <c r="B339" s="50"/>
      <c r="C339" s="333"/>
      <c r="D339" s="338" t="str">
        <f>CONCATENATE(L338, " участковое лесничество")</f>
        <v>Вишнево-Полянское участковое лесничество</v>
      </c>
      <c r="E339" s="338"/>
      <c r="F339" s="338"/>
      <c r="G339" s="338"/>
      <c r="H339" s="90"/>
      <c r="I339" s="88"/>
      <c r="J339" s="88">
        <f>IFERROR(IF(ISBLANK(K338),"",K338),"")</f>
        <v>10</v>
      </c>
      <c r="K339" s="88"/>
      <c r="L339" s="88"/>
      <c r="M339" s="88"/>
      <c r="N339" s="88"/>
      <c r="O339" s="88"/>
      <c r="P339" s="88"/>
      <c r="Q339" s="88"/>
      <c r="R339" s="88"/>
      <c r="S339" s="88"/>
      <c r="T339" s="88"/>
      <c r="U339" s="88"/>
      <c r="V339" s="88"/>
      <c r="W339" s="88"/>
      <c r="X339" s="88"/>
      <c r="Y339" s="88"/>
      <c r="Z339" s="88"/>
    </row>
    <row r="340" spans="2:27" ht="19.5" x14ac:dyDescent="0.25">
      <c r="B340" s="50"/>
      <c r="C340" s="334"/>
      <c r="D340" s="338" t="str">
        <f>CONCATENATE("кв. ",M338," ","выд."," ",N338," ","делянка", " ",O338)</f>
        <v>кв. 90 выд. 18 делянка 2</v>
      </c>
      <c r="E340" s="338"/>
      <c r="F340" s="338"/>
      <c r="G340" s="338"/>
      <c r="H340" s="90"/>
      <c r="I340" s="88"/>
      <c r="J340" s="88"/>
      <c r="K340" s="88"/>
      <c r="L340" s="88"/>
      <c r="M340" s="88"/>
      <c r="N340" s="88"/>
      <c r="O340" s="88"/>
      <c r="P340" s="88"/>
      <c r="Q340" s="88"/>
      <c r="R340" s="88"/>
      <c r="S340" s="88"/>
      <c r="T340" s="88"/>
      <c r="U340" s="88"/>
      <c r="V340" s="88"/>
      <c r="W340" s="88"/>
      <c r="X340" s="88"/>
      <c r="Y340" s="88"/>
      <c r="Z340" s="88"/>
    </row>
    <row r="341" spans="2:27" ht="23.25" x14ac:dyDescent="0.25">
      <c r="B341" s="49"/>
      <c r="C341" s="61" t="s">
        <v>495</v>
      </c>
      <c r="D341" s="51">
        <f>P338</f>
        <v>4.9000000000000004</v>
      </c>
      <c r="E341" s="62"/>
      <c r="F341" s="50"/>
      <c r="G341" s="48"/>
      <c r="H341" s="87"/>
    </row>
    <row r="342" spans="2:27" ht="22.5" x14ac:dyDescent="0.25">
      <c r="B342" s="49"/>
      <c r="C342" s="63" t="s">
        <v>496</v>
      </c>
      <c r="D342" s="106">
        <f>Q338</f>
        <v>898.67000000000007</v>
      </c>
      <c r="E342" s="309" t="s">
        <v>497</v>
      </c>
      <c r="F342" s="310"/>
      <c r="G342" s="313">
        <f>D343/D342</f>
        <v>40.694804544493522</v>
      </c>
      <c r="H342" s="87"/>
    </row>
    <row r="343" spans="2:27" ht="22.5" x14ac:dyDescent="0.25">
      <c r="B343" s="49"/>
      <c r="C343" s="63" t="s">
        <v>498</v>
      </c>
      <c r="D343" s="52">
        <f>R338</f>
        <v>36571.199999999997</v>
      </c>
      <c r="E343" s="311"/>
      <c r="F343" s="312"/>
      <c r="G343" s="314"/>
      <c r="H343" s="87"/>
    </row>
    <row r="344" spans="2:27" ht="23.25" x14ac:dyDescent="0.25">
      <c r="B344" s="49"/>
      <c r="C344" s="64"/>
      <c r="D344" s="53"/>
      <c r="E344" s="65"/>
      <c r="F344" s="49"/>
      <c r="G344" s="48"/>
      <c r="H344" s="87"/>
    </row>
    <row r="345" spans="2:27" ht="23.25" x14ac:dyDescent="0.25">
      <c r="B345" s="49"/>
      <c r="C345" s="82" t="s">
        <v>499</v>
      </c>
      <c r="D345" s="96" t="str">
        <f>S338</f>
        <v>5ОС3ЛП2ДН+Б</v>
      </c>
      <c r="E345" s="49"/>
      <c r="F345" s="49"/>
      <c r="G345" s="48"/>
      <c r="H345" s="87"/>
    </row>
    <row r="346" spans="2:27" ht="23.25" x14ac:dyDescent="0.25">
      <c r="B346" s="49"/>
      <c r="C346" s="82" t="s">
        <v>500</v>
      </c>
      <c r="D346" s="96">
        <f>U338</f>
        <v>60</v>
      </c>
      <c r="E346" s="49"/>
      <c r="F346" s="49"/>
      <c r="G346" s="48"/>
      <c r="H346" s="87"/>
    </row>
    <row r="347" spans="2:27" ht="23.25" x14ac:dyDescent="0.25">
      <c r="B347" s="49"/>
      <c r="C347" s="82" t="s">
        <v>501</v>
      </c>
      <c r="D347" s="83" t="s">
        <v>502</v>
      </c>
      <c r="E347" s="49"/>
      <c r="F347" s="49"/>
      <c r="G347" s="48"/>
      <c r="H347" s="87"/>
    </row>
    <row r="348" spans="2:27" ht="24" thickBot="1" x14ac:dyDescent="0.3">
      <c r="B348" s="49"/>
      <c r="C348" s="49"/>
      <c r="D348" s="49"/>
      <c r="E348" s="49"/>
      <c r="F348" s="49"/>
      <c r="G348" s="48"/>
      <c r="H348" s="87"/>
    </row>
    <row r="349" spans="2:27" ht="48" thickBot="1" x14ac:dyDescent="0.3">
      <c r="B349" s="315" t="s">
        <v>436</v>
      </c>
      <c r="C349" s="316"/>
      <c r="D349" s="54" t="s">
        <v>503</v>
      </c>
      <c r="E349" s="317" t="s">
        <v>504</v>
      </c>
      <c r="F349" s="318"/>
      <c r="G349" s="55" t="s">
        <v>505</v>
      </c>
      <c r="H349" s="87"/>
    </row>
    <row r="350" spans="2:27" ht="24" thickBot="1" x14ac:dyDescent="0.3">
      <c r="B350" s="319" t="s">
        <v>506</v>
      </c>
      <c r="C350" s="320"/>
      <c r="D350" s="136">
        <v>197.93</v>
      </c>
      <c r="E350" s="136">
        <f>D341</f>
        <v>4.9000000000000004</v>
      </c>
      <c r="F350" s="77" t="s">
        <v>434</v>
      </c>
      <c r="G350" s="142">
        <f t="shared" ref="G350:G357" si="15">D350*E350</f>
        <v>969.85700000000008</v>
      </c>
      <c r="H350" s="321"/>
    </row>
    <row r="351" spans="2:27" ht="23.25" x14ac:dyDescent="0.25">
      <c r="B351" s="322" t="s">
        <v>507</v>
      </c>
      <c r="C351" s="323"/>
      <c r="D351" s="137">
        <v>159.44</v>
      </c>
      <c r="E351" s="137">
        <f>V338</f>
        <v>1.1100000000000001</v>
      </c>
      <c r="F351" s="78" t="s">
        <v>437</v>
      </c>
      <c r="G351" s="143">
        <f t="shared" si="15"/>
        <v>176.97840000000002</v>
      </c>
      <c r="H351" s="321"/>
    </row>
    <row r="352" spans="2:27" ht="24" thickBot="1" x14ac:dyDescent="0.3">
      <c r="B352" s="324" t="s">
        <v>508</v>
      </c>
      <c r="C352" s="325"/>
      <c r="D352" s="138">
        <v>276.62</v>
      </c>
      <c r="E352" s="138">
        <f>V338</f>
        <v>1.1100000000000001</v>
      </c>
      <c r="F352" s="79" t="s">
        <v>437</v>
      </c>
      <c r="G352" s="144">
        <f t="shared" si="15"/>
        <v>307.04820000000001</v>
      </c>
      <c r="H352" s="321"/>
    </row>
    <row r="353" spans="2:8" ht="24" thickBot="1" x14ac:dyDescent="0.3">
      <c r="B353" s="326" t="s">
        <v>438</v>
      </c>
      <c r="C353" s="327"/>
      <c r="D353" s="139">
        <v>519</v>
      </c>
      <c r="E353" s="139"/>
      <c r="F353" s="80" t="s">
        <v>434</v>
      </c>
      <c r="G353" s="145">
        <f t="shared" si="15"/>
        <v>0</v>
      </c>
      <c r="H353" s="321"/>
    </row>
    <row r="354" spans="2:8" ht="23.25" x14ac:dyDescent="0.25">
      <c r="B354" s="322" t="s">
        <v>509</v>
      </c>
      <c r="C354" s="323"/>
      <c r="D354" s="137">
        <v>920</v>
      </c>
      <c r="E354" s="137">
        <f>D341*2</f>
        <v>9.8000000000000007</v>
      </c>
      <c r="F354" s="78" t="s">
        <v>434</v>
      </c>
      <c r="G354" s="143">
        <f t="shared" si="15"/>
        <v>9016</v>
      </c>
      <c r="H354" s="321"/>
    </row>
    <row r="355" spans="2:8" ht="23.25" x14ac:dyDescent="0.25">
      <c r="B355" s="328" t="s">
        <v>510</v>
      </c>
      <c r="C355" s="329"/>
      <c r="D355" s="140">
        <v>1300</v>
      </c>
      <c r="E355" s="140">
        <f>IF(T338="Осина",D341,"0")</f>
        <v>4.9000000000000004</v>
      </c>
      <c r="F355" s="81" t="s">
        <v>434</v>
      </c>
      <c r="G355" s="146">
        <f t="shared" si="15"/>
        <v>6370.0000000000009</v>
      </c>
      <c r="H355" s="321"/>
    </row>
    <row r="356" spans="2:8" ht="23.25" x14ac:dyDescent="0.25">
      <c r="B356" s="328" t="s">
        <v>439</v>
      </c>
      <c r="C356" s="329"/>
      <c r="D356" s="141">
        <v>5165.12</v>
      </c>
      <c r="E356" s="140" t="str">
        <f>IF(T338="Осина","0",D341)</f>
        <v>0</v>
      </c>
      <c r="F356" s="81" t="s">
        <v>434</v>
      </c>
      <c r="G356" s="146">
        <f t="shared" si="15"/>
        <v>0</v>
      </c>
      <c r="H356" s="321"/>
    </row>
    <row r="357" spans="2:8" ht="23.25" x14ac:dyDescent="0.25">
      <c r="B357" s="328" t="s">
        <v>511</v>
      </c>
      <c r="C357" s="329"/>
      <c r="D357" s="141">
        <v>917</v>
      </c>
      <c r="E357" s="140" t="str">
        <f>IF(T338="Осина","0",D341)</f>
        <v>0</v>
      </c>
      <c r="F357" s="81" t="s">
        <v>434</v>
      </c>
      <c r="G357" s="146">
        <f t="shared" si="15"/>
        <v>0</v>
      </c>
      <c r="H357" s="321"/>
    </row>
    <row r="358" spans="2:8" ht="23.25" x14ac:dyDescent="0.25">
      <c r="B358" s="328" t="s">
        <v>441</v>
      </c>
      <c r="C358" s="329"/>
      <c r="D358" s="141">
        <v>461.56000000000006</v>
      </c>
      <c r="E358" s="140" t="str">
        <f>IF(T338="Осина","0",D341)</f>
        <v>0</v>
      </c>
      <c r="F358" s="81" t="s">
        <v>434</v>
      </c>
      <c r="G358" s="146">
        <f>D358*E358</f>
        <v>0</v>
      </c>
      <c r="H358" s="321"/>
    </row>
    <row r="359" spans="2:8" ht="24" thickBot="1" x14ac:dyDescent="0.3">
      <c r="B359" s="324" t="s">
        <v>440</v>
      </c>
      <c r="C359" s="325"/>
      <c r="D359" s="138">
        <v>353.15</v>
      </c>
      <c r="E359" s="140" t="str">
        <f>IF(T338="Осина","0",D341*4)</f>
        <v>0</v>
      </c>
      <c r="F359" s="79" t="s">
        <v>434</v>
      </c>
      <c r="G359" s="147">
        <f>D359*E359</f>
        <v>0</v>
      </c>
      <c r="H359" s="321"/>
    </row>
    <row r="360" spans="2:8" ht="23.25" x14ac:dyDescent="0.25">
      <c r="B360" s="49"/>
      <c r="C360" s="66"/>
      <c r="D360" s="66"/>
      <c r="E360" s="56"/>
      <c r="F360" s="56"/>
      <c r="G360" s="48"/>
      <c r="H360" s="92"/>
    </row>
    <row r="361" spans="2:8" ht="25.5" x14ac:dyDescent="0.25">
      <c r="B361" s="49"/>
      <c r="C361" s="59" t="s">
        <v>512</v>
      </c>
      <c r="D361" s="60"/>
      <c r="E361" s="49"/>
      <c r="F361" s="49"/>
      <c r="G361" s="48"/>
      <c r="H361" s="87"/>
    </row>
    <row r="362" spans="2:8" ht="18.75" x14ac:dyDescent="0.25">
      <c r="B362" s="49"/>
      <c r="C362" s="306" t="s">
        <v>513</v>
      </c>
      <c r="D362" s="84" t="s">
        <v>514</v>
      </c>
      <c r="E362" s="68">
        <f>ROUND((G350+D343)/D343,2)</f>
        <v>1.03</v>
      </c>
      <c r="F362" s="68"/>
      <c r="G362" s="50"/>
      <c r="H362" s="87"/>
    </row>
    <row r="363" spans="2:8" ht="23.25" x14ac:dyDescent="0.25">
      <c r="B363" s="49"/>
      <c r="C363" s="306"/>
      <c r="D363" s="84" t="s">
        <v>515</v>
      </c>
      <c r="E363" s="68">
        <f>ROUND((G351+G352+D343)/D343,2)</f>
        <v>1.01</v>
      </c>
      <c r="F363" s="68"/>
      <c r="G363" s="57"/>
      <c r="H363" s="93"/>
    </row>
    <row r="364" spans="2:8" ht="23.25" x14ac:dyDescent="0.25">
      <c r="B364" s="49"/>
      <c r="C364" s="306"/>
      <c r="D364" s="84" t="s">
        <v>516</v>
      </c>
      <c r="E364" s="68">
        <f>ROUND((G353+D343)/D343,2)</f>
        <v>1</v>
      </c>
      <c r="F364" s="50"/>
      <c r="G364" s="57"/>
      <c r="H364" s="87"/>
    </row>
    <row r="365" spans="2:8" ht="23.25" x14ac:dyDescent="0.25">
      <c r="B365" s="49"/>
      <c r="C365" s="306"/>
      <c r="D365" s="69" t="s">
        <v>517</v>
      </c>
      <c r="E365" s="70">
        <f>ROUND((SUM(G354:G359)+D343)/D343,2)</f>
        <v>1.42</v>
      </c>
      <c r="F365" s="50"/>
      <c r="G365" s="57"/>
      <c r="H365" s="87"/>
    </row>
    <row r="366" spans="2:8" ht="25.5" x14ac:dyDescent="0.25">
      <c r="B366" s="49"/>
      <c r="C366" s="49"/>
      <c r="D366" s="71" t="s">
        <v>518</v>
      </c>
      <c r="E366" s="72">
        <f>SUM(E362:E365)-IF(D347="сплошная",3,2)</f>
        <v>1.46</v>
      </c>
      <c r="F366" s="73"/>
      <c r="G366" s="48"/>
      <c r="H366" s="87"/>
    </row>
    <row r="367" spans="2:8" ht="23.25" x14ac:dyDescent="0.25">
      <c r="B367" s="49"/>
      <c r="C367" s="49"/>
      <c r="D367" s="49"/>
      <c r="E367" s="74"/>
      <c r="F367" s="49"/>
      <c r="G367" s="48"/>
      <c r="H367" s="87"/>
    </row>
    <row r="368" spans="2:8" ht="25.5" x14ac:dyDescent="0.35">
      <c r="B368" s="58"/>
      <c r="C368" s="75" t="s">
        <v>519</v>
      </c>
      <c r="D368" s="307">
        <f>E366*D343</f>
        <v>53393.951999999997</v>
      </c>
      <c r="E368" s="307"/>
      <c r="F368" s="49"/>
      <c r="G368" s="48"/>
      <c r="H368" s="87"/>
    </row>
    <row r="369" spans="2:27" ht="18.75" x14ac:dyDescent="0.3">
      <c r="B369" s="49"/>
      <c r="C369" s="76" t="s">
        <v>520</v>
      </c>
      <c r="D369" s="308">
        <f>D368/D342</f>
        <v>59.414414634960544</v>
      </c>
      <c r="E369" s="308"/>
      <c r="F369" s="49"/>
      <c r="G369" s="49"/>
      <c r="H369" s="94"/>
    </row>
    <row r="372" spans="2:27" ht="60.75" x14ac:dyDescent="0.8">
      <c r="B372" s="330" t="str">
        <f>CONCATENATE("ЛОТ № ",K375)</f>
        <v>ЛОТ № 11</v>
      </c>
      <c r="C372" s="330"/>
      <c r="D372" s="330"/>
      <c r="E372" s="330"/>
      <c r="F372" s="330"/>
      <c r="G372" s="330"/>
      <c r="H372" s="330"/>
    </row>
    <row r="373" spans="2:27" ht="18.75" x14ac:dyDescent="0.25">
      <c r="B373" s="331" t="s">
        <v>492</v>
      </c>
      <c r="C373" s="331"/>
      <c r="D373" s="331"/>
      <c r="E373" s="331"/>
      <c r="F373" s="331"/>
      <c r="G373" s="331"/>
      <c r="H373" s="87"/>
    </row>
    <row r="374" spans="2:27" ht="25.5" x14ac:dyDescent="0.25">
      <c r="B374" s="49"/>
      <c r="C374" s="59" t="s">
        <v>493</v>
      </c>
      <c r="D374" s="60"/>
      <c r="E374" s="49"/>
      <c r="F374" s="49"/>
      <c r="G374" s="48"/>
      <c r="H374" s="87"/>
      <c r="I374" s="88"/>
      <c r="J374" s="88"/>
      <c r="K374" s="88"/>
      <c r="L374" s="88" t="s">
        <v>454</v>
      </c>
      <c r="M374" s="88" t="s">
        <v>444</v>
      </c>
      <c r="N374" s="88" t="s">
        <v>445</v>
      </c>
      <c r="O374" s="88" t="s">
        <v>453</v>
      </c>
      <c r="P374" s="89" t="s">
        <v>446</v>
      </c>
      <c r="Q374" s="88" t="s">
        <v>435</v>
      </c>
      <c r="R374" s="40" t="s">
        <v>447</v>
      </c>
      <c r="S374" s="40" t="s">
        <v>522</v>
      </c>
      <c r="T374" s="88" t="s">
        <v>118</v>
      </c>
      <c r="U374" s="88" t="s">
        <v>500</v>
      </c>
      <c r="V374" s="88" t="s">
        <v>450</v>
      </c>
      <c r="W374" s="40" t="s">
        <v>448</v>
      </c>
      <c r="X374" s="40" t="s">
        <v>449</v>
      </c>
      <c r="Y374" s="88" t="s">
        <v>523</v>
      </c>
      <c r="Z374" s="88"/>
    </row>
    <row r="375" spans="2:27" ht="39.950000000000003" customHeight="1" x14ac:dyDescent="0.25">
      <c r="B375" s="50"/>
      <c r="C375" s="332" t="s">
        <v>494</v>
      </c>
      <c r="D375" s="335" t="s">
        <v>521</v>
      </c>
      <c r="E375" s="336"/>
      <c r="F375" s="336"/>
      <c r="G375" s="337"/>
      <c r="H375" s="90"/>
      <c r="I375" s="88" t="s">
        <v>443</v>
      </c>
      <c r="J375" s="88"/>
      <c r="K375" s="43">
        <f>IF(I375="","",COUNTA(I$5:I375))</f>
        <v>11</v>
      </c>
      <c r="L375" s="95" t="str">
        <f>INDEX('Ведомость расчета мин. платы'!$B$10:$T$209,MATCH(ЛОТЫ!$K375,'Ведомость расчета мин. платы'!$B$10:$B$209,0),2)</f>
        <v>Восходское</v>
      </c>
      <c r="M375" s="95">
        <f>INDEX('Ведомость расчета мин. платы'!$B$10:$T$209,MATCH(ЛОТЫ!$K375,'Ведомость расчета мин. платы'!$B$10:$B$209,0),3)</f>
        <v>9</v>
      </c>
      <c r="N375" s="95">
        <f>INDEX('Ведомость расчета мин. платы'!$B$10:$T$209,MATCH(ЛОТЫ!$K375,'Ведомость расчета мин. платы'!$B$10:$B$209,0),4)</f>
        <v>19</v>
      </c>
      <c r="O375" s="95">
        <f>INDEX('Ведомость расчета мин. платы'!$B$10:$T$209,MATCH(ЛОТЫ!$K375,'Ведомость расчета мин. платы'!$B$10:$B$209,0),5)</f>
        <v>2</v>
      </c>
      <c r="P375" s="89">
        <f>IFERROR(INDEX(Коэффициенты!$G$4:$O$106,MATCH(CONCATENATE($L375,"/",$M375,"/",$N375,"/",$O375),Коэффициенты!$O$4:$O$106,0),1),"")</f>
        <v>4.8</v>
      </c>
      <c r="Q375" s="40">
        <f>IFERROR(INDEX(Коэффициенты!$G$4:$O$106,MATCH(CONCATENATE($L375,"/",$M375,"/",$N375,"/",$O375),Коэффициенты!$O$4:$O$106,0),6),"")</f>
        <v>1020.89</v>
      </c>
      <c r="R375" s="40">
        <f>IFERROR(INDEX(Коэффициенты!$G$4:$O$106,MATCH(CONCATENATE($L375,"/",$M375,"/",$N375,"/",$O375),Коэффициенты!$O$4:$O$106,0),2),"")</f>
        <v>19255.04</v>
      </c>
      <c r="S375" s="43" t="str">
        <f>IFERROR(INDEX('Такс. опис.'!$A$5:$BW$50,MATCH(CONCATENATE($L375,"/",$M375,"/",$N375),'Такс. опис.'!$C$5:$C$50,0),26),"")</f>
        <v>8ОС2Б+ЛП</v>
      </c>
      <c r="T375" s="43" t="str">
        <f>IFERROR(INDEX('Такс. опис.'!$A$5:$BW$50,MATCH(CONCATENATE($L375,"/",$M375,"/",$N375),'Такс. опис.'!$C$5:$C$50,0),47),"")</f>
        <v>Осина</v>
      </c>
      <c r="U375" s="43">
        <f>IFERROR(INDEX('Такс. опис.'!$A$5:$BW$50,MATCH(CONCATENATE($L375,"/",$M375,"/",$N375),'Такс. опис.'!$C$5:$C$50,0),49),"")</f>
        <v>60</v>
      </c>
      <c r="V375" s="103">
        <f>IFERROR(INDEX('Ведомость расчета мин. платы'!$AC$10:$AD$214,MATCH(CONCATENATE($L375,"/",$M375,"/",$N375,"/",$O375),'Ведомость расчета мин. платы'!$AC$10:$AC$214,0),2),"")</f>
        <v>1.1599999999999999</v>
      </c>
      <c r="W375" s="40">
        <f>E403</f>
        <v>1.8600000000000003</v>
      </c>
      <c r="X375" s="40">
        <f>D405</f>
        <v>35814.374400000008</v>
      </c>
      <c r="Y375" s="91">
        <f>D406</f>
        <v>35.081521417586622</v>
      </c>
      <c r="Z375" s="88"/>
      <c r="AA375" s="86">
        <f t="shared" si="14"/>
        <v>1</v>
      </c>
    </row>
    <row r="376" spans="2:27" ht="19.5" x14ac:dyDescent="0.25">
      <c r="B376" s="50"/>
      <c r="C376" s="333"/>
      <c r="D376" s="338" t="str">
        <f>CONCATENATE(L375, " участковое лесничество")</f>
        <v>Восходское участковое лесничество</v>
      </c>
      <c r="E376" s="338"/>
      <c r="F376" s="338"/>
      <c r="G376" s="338"/>
      <c r="H376" s="90"/>
      <c r="I376" s="88"/>
      <c r="J376" s="88">
        <f>IFERROR(IF(ISBLANK(K375),"",K375),"")</f>
        <v>11</v>
      </c>
      <c r="K376" s="88"/>
      <c r="L376" s="88"/>
      <c r="M376" s="88"/>
      <c r="N376" s="88"/>
      <c r="O376" s="88"/>
      <c r="P376" s="88"/>
      <c r="Q376" s="88"/>
      <c r="R376" s="88"/>
      <c r="S376" s="88"/>
      <c r="T376" s="88"/>
      <c r="U376" s="88"/>
      <c r="V376" s="88"/>
      <c r="W376" s="88"/>
      <c r="X376" s="88"/>
      <c r="Y376" s="88"/>
      <c r="Z376" s="88"/>
    </row>
    <row r="377" spans="2:27" ht="19.5" x14ac:dyDescent="0.25">
      <c r="B377" s="50"/>
      <c r="C377" s="334"/>
      <c r="D377" s="338" t="str">
        <f>CONCATENATE("кв. ",M375," ","выд."," ",N375," ","делянка", " ",O375)</f>
        <v>кв. 9 выд. 19 делянка 2</v>
      </c>
      <c r="E377" s="338"/>
      <c r="F377" s="338"/>
      <c r="G377" s="338"/>
      <c r="H377" s="90"/>
      <c r="I377" s="88"/>
      <c r="J377" s="88"/>
      <c r="K377" s="88"/>
      <c r="L377" s="88"/>
      <c r="M377" s="88"/>
      <c r="N377" s="88"/>
      <c r="O377" s="88"/>
      <c r="P377" s="88"/>
      <c r="Q377" s="88"/>
      <c r="R377" s="88"/>
      <c r="S377" s="88"/>
      <c r="T377" s="88"/>
      <c r="U377" s="88"/>
      <c r="V377" s="88"/>
      <c r="W377" s="88"/>
      <c r="X377" s="88"/>
      <c r="Y377" s="88"/>
      <c r="Z377" s="88"/>
    </row>
    <row r="378" spans="2:27" ht="23.25" x14ac:dyDescent="0.25">
      <c r="B378" s="49"/>
      <c r="C378" s="61" t="s">
        <v>495</v>
      </c>
      <c r="D378" s="51">
        <f>P375</f>
        <v>4.8</v>
      </c>
      <c r="E378" s="62"/>
      <c r="F378" s="50"/>
      <c r="G378" s="48"/>
      <c r="H378" s="87"/>
    </row>
    <row r="379" spans="2:27" ht="22.5" x14ac:dyDescent="0.25">
      <c r="B379" s="49"/>
      <c r="C379" s="63" t="s">
        <v>496</v>
      </c>
      <c r="D379" s="106">
        <f>Q375</f>
        <v>1020.89</v>
      </c>
      <c r="E379" s="309" t="s">
        <v>497</v>
      </c>
      <c r="F379" s="310"/>
      <c r="G379" s="313">
        <f>D380/D379</f>
        <v>18.861033020207859</v>
      </c>
      <c r="H379" s="87"/>
    </row>
    <row r="380" spans="2:27" ht="22.5" x14ac:dyDescent="0.25">
      <c r="B380" s="49"/>
      <c r="C380" s="63" t="s">
        <v>498</v>
      </c>
      <c r="D380" s="52">
        <f>R375</f>
        <v>19255.04</v>
      </c>
      <c r="E380" s="311"/>
      <c r="F380" s="312"/>
      <c r="G380" s="314"/>
      <c r="H380" s="87"/>
    </row>
    <row r="381" spans="2:27" ht="23.25" x14ac:dyDescent="0.25">
      <c r="B381" s="49"/>
      <c r="C381" s="64"/>
      <c r="D381" s="53"/>
      <c r="E381" s="65"/>
      <c r="F381" s="49"/>
      <c r="G381" s="48"/>
      <c r="H381" s="87"/>
    </row>
    <row r="382" spans="2:27" ht="23.25" x14ac:dyDescent="0.25">
      <c r="B382" s="49"/>
      <c r="C382" s="82" t="s">
        <v>499</v>
      </c>
      <c r="D382" s="96" t="str">
        <f>S375</f>
        <v>8ОС2Б+ЛП</v>
      </c>
      <c r="E382" s="49"/>
      <c r="F382" s="49"/>
      <c r="G382" s="48"/>
      <c r="H382" s="87"/>
    </row>
    <row r="383" spans="2:27" ht="23.25" x14ac:dyDescent="0.25">
      <c r="B383" s="49"/>
      <c r="C383" s="82" t="s">
        <v>500</v>
      </c>
      <c r="D383" s="96">
        <f>U375</f>
        <v>60</v>
      </c>
      <c r="E383" s="49"/>
      <c r="F383" s="49"/>
      <c r="G383" s="48"/>
      <c r="H383" s="87"/>
    </row>
    <row r="384" spans="2:27" ht="23.25" x14ac:dyDescent="0.25">
      <c r="B384" s="49"/>
      <c r="C384" s="82" t="s">
        <v>501</v>
      </c>
      <c r="D384" s="83" t="s">
        <v>502</v>
      </c>
      <c r="E384" s="49"/>
      <c r="F384" s="49"/>
      <c r="G384" s="48"/>
      <c r="H384" s="87"/>
    </row>
    <row r="385" spans="2:8" ht="24" thickBot="1" x14ac:dyDescent="0.3">
      <c r="B385" s="49"/>
      <c r="C385" s="49"/>
      <c r="D385" s="49"/>
      <c r="E385" s="49"/>
      <c r="F385" s="49"/>
      <c r="G385" s="48"/>
      <c r="H385" s="87"/>
    </row>
    <row r="386" spans="2:8" ht="48" thickBot="1" x14ac:dyDescent="0.3">
      <c r="B386" s="315" t="s">
        <v>436</v>
      </c>
      <c r="C386" s="316"/>
      <c r="D386" s="54" t="s">
        <v>503</v>
      </c>
      <c r="E386" s="317" t="s">
        <v>504</v>
      </c>
      <c r="F386" s="318"/>
      <c r="G386" s="55" t="s">
        <v>505</v>
      </c>
      <c r="H386" s="87"/>
    </row>
    <row r="387" spans="2:8" ht="24" thickBot="1" x14ac:dyDescent="0.3">
      <c r="B387" s="319" t="s">
        <v>506</v>
      </c>
      <c r="C387" s="320"/>
      <c r="D387" s="136">
        <v>197.93</v>
      </c>
      <c r="E387" s="136">
        <f>D378</f>
        <v>4.8</v>
      </c>
      <c r="F387" s="77" t="s">
        <v>434</v>
      </c>
      <c r="G387" s="142">
        <f t="shared" ref="G387:G394" si="16">D387*E387</f>
        <v>950.06399999999996</v>
      </c>
      <c r="H387" s="321"/>
    </row>
    <row r="388" spans="2:8" ht="23.25" x14ac:dyDescent="0.25">
      <c r="B388" s="322" t="s">
        <v>507</v>
      </c>
      <c r="C388" s="323"/>
      <c r="D388" s="137">
        <v>159.44</v>
      </c>
      <c r="E388" s="137">
        <f>V375</f>
        <v>1.1599999999999999</v>
      </c>
      <c r="F388" s="78" t="s">
        <v>437</v>
      </c>
      <c r="G388" s="143">
        <f t="shared" si="16"/>
        <v>184.95039999999997</v>
      </c>
      <c r="H388" s="321"/>
    </row>
    <row r="389" spans="2:8" ht="24" thickBot="1" x14ac:dyDescent="0.3">
      <c r="B389" s="324" t="s">
        <v>508</v>
      </c>
      <c r="C389" s="325"/>
      <c r="D389" s="138">
        <v>276.62</v>
      </c>
      <c r="E389" s="138">
        <f>V375</f>
        <v>1.1599999999999999</v>
      </c>
      <c r="F389" s="79" t="s">
        <v>437</v>
      </c>
      <c r="G389" s="144">
        <f t="shared" si="16"/>
        <v>320.87919999999997</v>
      </c>
      <c r="H389" s="321"/>
    </row>
    <row r="390" spans="2:8" ht="24" thickBot="1" x14ac:dyDescent="0.3">
      <c r="B390" s="326" t="s">
        <v>438</v>
      </c>
      <c r="C390" s="327"/>
      <c r="D390" s="139">
        <v>519</v>
      </c>
      <c r="E390" s="139"/>
      <c r="F390" s="80" t="s">
        <v>434</v>
      </c>
      <c r="G390" s="145">
        <f t="shared" si="16"/>
        <v>0</v>
      </c>
      <c r="H390" s="321"/>
    </row>
    <row r="391" spans="2:8" ht="23.25" x14ac:dyDescent="0.25">
      <c r="B391" s="322" t="s">
        <v>509</v>
      </c>
      <c r="C391" s="323"/>
      <c r="D391" s="137">
        <v>920</v>
      </c>
      <c r="E391" s="137">
        <f>D378*2</f>
        <v>9.6</v>
      </c>
      <c r="F391" s="78" t="s">
        <v>434</v>
      </c>
      <c r="G391" s="143">
        <f t="shared" si="16"/>
        <v>8832</v>
      </c>
      <c r="H391" s="321"/>
    </row>
    <row r="392" spans="2:8" ht="23.25" x14ac:dyDescent="0.25">
      <c r="B392" s="328" t="s">
        <v>510</v>
      </c>
      <c r="C392" s="329"/>
      <c r="D392" s="140">
        <v>1300</v>
      </c>
      <c r="E392" s="140">
        <f>IF(T375="Осина",D378,"0")</f>
        <v>4.8</v>
      </c>
      <c r="F392" s="81" t="s">
        <v>434</v>
      </c>
      <c r="G392" s="146">
        <f t="shared" si="16"/>
        <v>6240</v>
      </c>
      <c r="H392" s="321"/>
    </row>
    <row r="393" spans="2:8" ht="23.25" x14ac:dyDescent="0.25">
      <c r="B393" s="328" t="s">
        <v>439</v>
      </c>
      <c r="C393" s="329"/>
      <c r="D393" s="141">
        <v>5165.12</v>
      </c>
      <c r="E393" s="140" t="str">
        <f>IF(T375="Осина","0",D378)</f>
        <v>0</v>
      </c>
      <c r="F393" s="81" t="s">
        <v>434</v>
      </c>
      <c r="G393" s="146">
        <f t="shared" si="16"/>
        <v>0</v>
      </c>
      <c r="H393" s="321"/>
    </row>
    <row r="394" spans="2:8" ht="23.25" x14ac:dyDescent="0.25">
      <c r="B394" s="328" t="s">
        <v>511</v>
      </c>
      <c r="C394" s="329"/>
      <c r="D394" s="141">
        <v>917</v>
      </c>
      <c r="E394" s="140" t="str">
        <f>IF(T375="Осина","0",D378)</f>
        <v>0</v>
      </c>
      <c r="F394" s="81" t="s">
        <v>434</v>
      </c>
      <c r="G394" s="146">
        <f t="shared" si="16"/>
        <v>0</v>
      </c>
      <c r="H394" s="321"/>
    </row>
    <row r="395" spans="2:8" ht="23.25" x14ac:dyDescent="0.25">
      <c r="B395" s="328" t="s">
        <v>441</v>
      </c>
      <c r="C395" s="329"/>
      <c r="D395" s="141">
        <v>461.56000000000006</v>
      </c>
      <c r="E395" s="140" t="str">
        <f>IF(T375="Осина","0",D378)</f>
        <v>0</v>
      </c>
      <c r="F395" s="81" t="s">
        <v>434</v>
      </c>
      <c r="G395" s="146">
        <f>D395*E395</f>
        <v>0</v>
      </c>
      <c r="H395" s="321"/>
    </row>
    <row r="396" spans="2:8" ht="24" thickBot="1" x14ac:dyDescent="0.3">
      <c r="B396" s="324" t="s">
        <v>440</v>
      </c>
      <c r="C396" s="325"/>
      <c r="D396" s="138">
        <v>353.15</v>
      </c>
      <c r="E396" s="140" t="str">
        <f>IF(T375="Осина","0",D378*4)</f>
        <v>0</v>
      </c>
      <c r="F396" s="79" t="s">
        <v>434</v>
      </c>
      <c r="G396" s="147">
        <f>D396*E396</f>
        <v>0</v>
      </c>
      <c r="H396" s="321"/>
    </row>
    <row r="397" spans="2:8" ht="23.25" x14ac:dyDescent="0.25">
      <c r="B397" s="49"/>
      <c r="C397" s="66"/>
      <c r="D397" s="66"/>
      <c r="E397" s="56"/>
      <c r="F397" s="56"/>
      <c r="G397" s="48"/>
      <c r="H397" s="92"/>
    </row>
    <row r="398" spans="2:8" ht="25.5" x14ac:dyDescent="0.25">
      <c r="B398" s="49"/>
      <c r="C398" s="59" t="s">
        <v>512</v>
      </c>
      <c r="D398" s="60"/>
      <c r="E398" s="49"/>
      <c r="F398" s="49"/>
      <c r="G398" s="48"/>
      <c r="H398" s="87"/>
    </row>
    <row r="399" spans="2:8" ht="18.75" x14ac:dyDescent="0.25">
      <c r="B399" s="49"/>
      <c r="C399" s="306" t="s">
        <v>513</v>
      </c>
      <c r="D399" s="84" t="s">
        <v>514</v>
      </c>
      <c r="E399" s="68">
        <f>ROUND((G387+D380)/D380,2)</f>
        <v>1.05</v>
      </c>
      <c r="F399" s="68"/>
      <c r="G399" s="50"/>
      <c r="H399" s="87"/>
    </row>
    <row r="400" spans="2:8" ht="23.25" x14ac:dyDescent="0.25">
      <c r="B400" s="49"/>
      <c r="C400" s="306"/>
      <c r="D400" s="84" t="s">
        <v>515</v>
      </c>
      <c r="E400" s="68">
        <f>ROUND((G388+G389+D380)/D380,2)</f>
        <v>1.03</v>
      </c>
      <c r="F400" s="68"/>
      <c r="G400" s="57"/>
      <c r="H400" s="93"/>
    </row>
    <row r="401" spans="2:27" ht="23.25" x14ac:dyDescent="0.25">
      <c r="B401" s="49"/>
      <c r="C401" s="306"/>
      <c r="D401" s="84" t="s">
        <v>516</v>
      </c>
      <c r="E401" s="68">
        <f>ROUND((G390+D380)/D380,2)</f>
        <v>1</v>
      </c>
      <c r="F401" s="50"/>
      <c r="G401" s="57"/>
      <c r="H401" s="87"/>
    </row>
    <row r="402" spans="2:27" ht="23.25" x14ac:dyDescent="0.25">
      <c r="B402" s="49"/>
      <c r="C402" s="306"/>
      <c r="D402" s="69" t="s">
        <v>517</v>
      </c>
      <c r="E402" s="70">
        <f>ROUND((SUM(G391:G396)+D380)/D380,2)</f>
        <v>1.78</v>
      </c>
      <c r="F402" s="50"/>
      <c r="G402" s="57"/>
      <c r="H402" s="87"/>
    </row>
    <row r="403" spans="2:27" ht="25.5" x14ac:dyDescent="0.25">
      <c r="B403" s="49"/>
      <c r="C403" s="49"/>
      <c r="D403" s="71" t="s">
        <v>518</v>
      </c>
      <c r="E403" s="72">
        <f>SUM(E399:E402)-IF(D384="сплошная",3,2)</f>
        <v>1.8600000000000003</v>
      </c>
      <c r="F403" s="73"/>
      <c r="G403" s="48"/>
      <c r="H403" s="87"/>
    </row>
    <row r="404" spans="2:27" ht="23.25" x14ac:dyDescent="0.25">
      <c r="B404" s="49"/>
      <c r="C404" s="49"/>
      <c r="D404" s="49"/>
      <c r="E404" s="74"/>
      <c r="F404" s="49"/>
      <c r="G404" s="48"/>
      <c r="H404" s="87"/>
    </row>
    <row r="405" spans="2:27" ht="25.5" x14ac:dyDescent="0.35">
      <c r="B405" s="58"/>
      <c r="C405" s="75" t="s">
        <v>519</v>
      </c>
      <c r="D405" s="307">
        <f>E403*D380</f>
        <v>35814.374400000008</v>
      </c>
      <c r="E405" s="307"/>
      <c r="F405" s="49"/>
      <c r="G405" s="48"/>
      <c r="H405" s="87"/>
    </row>
    <row r="406" spans="2:27" ht="18.75" x14ac:dyDescent="0.3">
      <c r="B406" s="49"/>
      <c r="C406" s="76" t="s">
        <v>520</v>
      </c>
      <c r="D406" s="308">
        <f>D405/D379</f>
        <v>35.081521417586622</v>
      </c>
      <c r="E406" s="308"/>
      <c r="F406" s="49"/>
      <c r="G406" s="49"/>
      <c r="H406" s="94"/>
    </row>
    <row r="409" spans="2:27" ht="60.75" x14ac:dyDescent="0.8">
      <c r="B409" s="330" t="str">
        <f>CONCATENATE("ЛОТ № ",K412)</f>
        <v>ЛОТ № 12</v>
      </c>
      <c r="C409" s="330"/>
      <c r="D409" s="330"/>
      <c r="E409" s="330"/>
      <c r="F409" s="330"/>
      <c r="G409" s="330"/>
      <c r="H409" s="330"/>
    </row>
    <row r="410" spans="2:27" ht="18.75" x14ac:dyDescent="0.25">
      <c r="B410" s="331" t="s">
        <v>492</v>
      </c>
      <c r="C410" s="331"/>
      <c r="D410" s="331"/>
      <c r="E410" s="331"/>
      <c r="F410" s="331"/>
      <c r="G410" s="331"/>
      <c r="H410" s="87"/>
    </row>
    <row r="411" spans="2:27" ht="25.5" x14ac:dyDescent="0.25">
      <c r="B411" s="49"/>
      <c r="C411" s="59" t="s">
        <v>493</v>
      </c>
      <c r="D411" s="60"/>
      <c r="E411" s="49"/>
      <c r="F411" s="49"/>
      <c r="G411" s="48"/>
      <c r="H411" s="87"/>
      <c r="I411" s="88"/>
      <c r="J411" s="88"/>
      <c r="K411" s="88"/>
      <c r="L411" s="88" t="s">
        <v>454</v>
      </c>
      <c r="M411" s="88" t="s">
        <v>444</v>
      </c>
      <c r="N411" s="88" t="s">
        <v>445</v>
      </c>
      <c r="O411" s="88" t="s">
        <v>453</v>
      </c>
      <c r="P411" s="89" t="s">
        <v>446</v>
      </c>
      <c r="Q411" s="88" t="s">
        <v>435</v>
      </c>
      <c r="R411" s="40" t="s">
        <v>447</v>
      </c>
      <c r="S411" s="40" t="s">
        <v>522</v>
      </c>
      <c r="T411" s="88" t="s">
        <v>118</v>
      </c>
      <c r="U411" s="88" t="s">
        <v>500</v>
      </c>
      <c r="V411" s="88" t="s">
        <v>450</v>
      </c>
      <c r="W411" s="40" t="s">
        <v>448</v>
      </c>
      <c r="X411" s="40" t="s">
        <v>449</v>
      </c>
      <c r="Y411" s="88" t="s">
        <v>523</v>
      </c>
      <c r="Z411" s="88"/>
    </row>
    <row r="412" spans="2:27" ht="39.950000000000003" customHeight="1" x14ac:dyDescent="0.25">
      <c r="B412" s="50"/>
      <c r="C412" s="332" t="s">
        <v>494</v>
      </c>
      <c r="D412" s="335" t="s">
        <v>521</v>
      </c>
      <c r="E412" s="336"/>
      <c r="F412" s="336"/>
      <c r="G412" s="337"/>
      <c r="H412" s="90"/>
      <c r="I412" s="88" t="s">
        <v>443</v>
      </c>
      <c r="J412" s="88"/>
      <c r="K412" s="43">
        <f>IF(I412="","",COUNTA(I$5:I412))</f>
        <v>12</v>
      </c>
      <c r="L412" s="95" t="str">
        <f>INDEX('Ведомость расчета мин. платы'!$B$10:$T$209,MATCH(ЛОТЫ!$K412,'Ведомость расчета мин. платы'!$B$10:$B$209,0),2)</f>
        <v>Восходское</v>
      </c>
      <c r="M412" s="95">
        <f>INDEX('Ведомость расчета мин. платы'!$B$10:$T$209,MATCH(ЛОТЫ!$K412,'Ведомость расчета мин. платы'!$B$10:$B$209,0),3)</f>
        <v>24</v>
      </c>
      <c r="N412" s="95">
        <f>INDEX('Ведомость расчета мин. платы'!$B$10:$T$209,MATCH(ЛОТЫ!$K412,'Ведомость расчета мин. платы'!$B$10:$B$209,0),4)</f>
        <v>1</v>
      </c>
      <c r="O412" s="95">
        <f>INDEX('Ведомость расчета мин. платы'!$B$10:$T$209,MATCH(ЛОТЫ!$K412,'Ведомость расчета мин. платы'!$B$10:$B$209,0),5)</f>
        <v>1</v>
      </c>
      <c r="P412" s="89">
        <f>IFERROR(INDEX(Коэффициенты!$G$4:$O$106,MATCH(CONCATENATE($L412,"/",$M412,"/",$N412,"/",$O412),Коэффициенты!$O$4:$O$106,0),1),"")</f>
        <v>6</v>
      </c>
      <c r="Q412" s="40">
        <f>IFERROR(INDEX(Коэффициенты!$G$4:$O$106,MATCH(CONCATENATE($L412,"/",$M412,"/",$N412,"/",$O412),Коэффициенты!$O$4:$O$106,0),6),"")</f>
        <v>1293.3600000000001</v>
      </c>
      <c r="R412" s="40">
        <f>IFERROR(INDEX(Коэффициенты!$G$4:$O$106,MATCH(CONCATENATE($L412,"/",$M412,"/",$N412,"/",$O412),Коэффициенты!$O$4:$O$106,0),2),"")</f>
        <v>19491.02</v>
      </c>
      <c r="S412" s="43" t="str">
        <f>IFERROR(INDEX('Такс. опис.'!$A$5:$BW$50,MATCH(CONCATENATE($L412,"/",$M412,"/",$N412),'Такс. опис.'!$C$5:$C$50,0),26),"")</f>
        <v>9ОС1Б</v>
      </c>
      <c r="T412" s="43" t="str">
        <f>IFERROR(INDEX('Такс. опис.'!$A$5:$BW$50,MATCH(CONCATENATE($L412,"/",$M412,"/",$N412),'Такс. опис.'!$C$5:$C$50,0),47),"")</f>
        <v>Осина</v>
      </c>
      <c r="U412" s="43">
        <f>IFERROR(INDEX('Такс. опис.'!$A$5:$BW$50,MATCH(CONCATENATE($L412,"/",$M412,"/",$N412),'Такс. опис.'!$C$5:$C$50,0),49),"")</f>
        <v>45</v>
      </c>
      <c r="V412" s="103">
        <f>IFERROR(INDEX('Ведомость расчета мин. платы'!$AC$10:$AD$214,MATCH(CONCATENATE($L412,"/",$M412,"/",$N412,"/",$O412),'Ведомость расчета мин. платы'!$AC$10:$AC$214,0),2),"")</f>
        <v>1.4</v>
      </c>
      <c r="W412" s="40">
        <f>E440</f>
        <v>2.0599999999999996</v>
      </c>
      <c r="X412" s="40">
        <f>D442</f>
        <v>40151.501199999992</v>
      </c>
      <c r="Y412" s="91">
        <f>D443</f>
        <v>31.044335065256377</v>
      </c>
      <c r="Z412" s="88"/>
      <c r="AA412" s="86">
        <f t="shared" ref="AA412:AA449" si="17">IF(M412&gt;0,1,0)</f>
        <v>1</v>
      </c>
    </row>
    <row r="413" spans="2:27" ht="19.5" x14ac:dyDescent="0.25">
      <c r="B413" s="50"/>
      <c r="C413" s="333"/>
      <c r="D413" s="338" t="str">
        <f>CONCATENATE(L412, " участковое лесничество")</f>
        <v>Восходское участковое лесничество</v>
      </c>
      <c r="E413" s="338"/>
      <c r="F413" s="338"/>
      <c r="G413" s="338"/>
      <c r="H413" s="90"/>
      <c r="I413" s="88"/>
      <c r="J413" s="88">
        <f>IFERROR(IF(ISBLANK(K412),"",K412),"")</f>
        <v>12</v>
      </c>
      <c r="K413" s="88"/>
      <c r="L413" s="88"/>
      <c r="M413" s="88"/>
      <c r="N413" s="88"/>
      <c r="O413" s="88"/>
      <c r="P413" s="88"/>
      <c r="Q413" s="88"/>
      <c r="R413" s="88"/>
      <c r="S413" s="88"/>
      <c r="T413" s="88"/>
      <c r="U413" s="88"/>
      <c r="V413" s="88"/>
      <c r="W413" s="88"/>
      <c r="X413" s="88"/>
      <c r="Y413" s="88"/>
      <c r="Z413" s="88"/>
    </row>
    <row r="414" spans="2:27" ht="19.5" x14ac:dyDescent="0.25">
      <c r="B414" s="50"/>
      <c r="C414" s="334"/>
      <c r="D414" s="338" t="str">
        <f>CONCATENATE("кв. ",M412," ","выд."," ",N412," ","делянка", " ",O412)</f>
        <v>кв. 24 выд. 1 делянка 1</v>
      </c>
      <c r="E414" s="338"/>
      <c r="F414" s="338"/>
      <c r="G414" s="338"/>
      <c r="H414" s="90"/>
      <c r="I414" s="88"/>
      <c r="J414" s="88"/>
      <c r="K414" s="88"/>
      <c r="L414" s="88"/>
      <c r="M414" s="88"/>
      <c r="N414" s="88"/>
      <c r="O414" s="88"/>
      <c r="P414" s="88"/>
      <c r="Q414" s="88"/>
      <c r="R414" s="88"/>
      <c r="S414" s="88"/>
      <c r="T414" s="88"/>
      <c r="U414" s="88"/>
      <c r="V414" s="88"/>
      <c r="W414" s="88"/>
      <c r="X414" s="88"/>
      <c r="Y414" s="88"/>
      <c r="Z414" s="88"/>
    </row>
    <row r="415" spans="2:27" ht="23.25" x14ac:dyDescent="0.25">
      <c r="B415" s="49"/>
      <c r="C415" s="61" t="s">
        <v>495</v>
      </c>
      <c r="D415" s="51">
        <f>P412</f>
        <v>6</v>
      </c>
      <c r="E415" s="62"/>
      <c r="F415" s="50"/>
      <c r="G415" s="48"/>
      <c r="H415" s="87"/>
    </row>
    <row r="416" spans="2:27" ht="22.5" x14ac:dyDescent="0.25">
      <c r="B416" s="49"/>
      <c r="C416" s="63" t="s">
        <v>496</v>
      </c>
      <c r="D416" s="106">
        <f>Q412</f>
        <v>1293.3600000000001</v>
      </c>
      <c r="E416" s="309" t="s">
        <v>497</v>
      </c>
      <c r="F416" s="310"/>
      <c r="G416" s="313">
        <f>D417/D416</f>
        <v>15.070065565658439</v>
      </c>
      <c r="H416" s="87"/>
    </row>
    <row r="417" spans="2:8" ht="22.5" x14ac:dyDescent="0.25">
      <c r="B417" s="49"/>
      <c r="C417" s="63" t="s">
        <v>498</v>
      </c>
      <c r="D417" s="52">
        <f>R412</f>
        <v>19491.02</v>
      </c>
      <c r="E417" s="311"/>
      <c r="F417" s="312"/>
      <c r="G417" s="314"/>
      <c r="H417" s="87"/>
    </row>
    <row r="418" spans="2:8" ht="23.25" x14ac:dyDescent="0.25">
      <c r="B418" s="49"/>
      <c r="C418" s="64"/>
      <c r="D418" s="53"/>
      <c r="E418" s="65"/>
      <c r="F418" s="49"/>
      <c r="G418" s="48"/>
      <c r="H418" s="87"/>
    </row>
    <row r="419" spans="2:8" ht="23.25" x14ac:dyDescent="0.25">
      <c r="B419" s="49"/>
      <c r="C419" s="82" t="s">
        <v>499</v>
      </c>
      <c r="D419" s="96" t="str">
        <f>S412</f>
        <v>9ОС1Б</v>
      </c>
      <c r="E419" s="49"/>
      <c r="F419" s="49"/>
      <c r="G419" s="48"/>
      <c r="H419" s="87"/>
    </row>
    <row r="420" spans="2:8" ht="23.25" x14ac:dyDescent="0.25">
      <c r="B420" s="49"/>
      <c r="C420" s="82" t="s">
        <v>500</v>
      </c>
      <c r="D420" s="96">
        <f>U412</f>
        <v>45</v>
      </c>
      <c r="E420" s="49"/>
      <c r="F420" s="49"/>
      <c r="G420" s="48"/>
      <c r="H420" s="87"/>
    </row>
    <row r="421" spans="2:8" ht="23.25" x14ac:dyDescent="0.25">
      <c r="B421" s="49"/>
      <c r="C421" s="82" t="s">
        <v>501</v>
      </c>
      <c r="D421" s="83" t="s">
        <v>502</v>
      </c>
      <c r="E421" s="49"/>
      <c r="F421" s="49"/>
      <c r="G421" s="48"/>
      <c r="H421" s="87"/>
    </row>
    <row r="422" spans="2:8" ht="24" thickBot="1" x14ac:dyDescent="0.3">
      <c r="B422" s="49"/>
      <c r="C422" s="49"/>
      <c r="D422" s="49"/>
      <c r="E422" s="49"/>
      <c r="F422" s="49"/>
      <c r="G422" s="48"/>
      <c r="H422" s="87"/>
    </row>
    <row r="423" spans="2:8" ht="48" thickBot="1" x14ac:dyDescent="0.3">
      <c r="B423" s="315" t="s">
        <v>436</v>
      </c>
      <c r="C423" s="316"/>
      <c r="D423" s="54" t="s">
        <v>503</v>
      </c>
      <c r="E423" s="317" t="s">
        <v>504</v>
      </c>
      <c r="F423" s="318"/>
      <c r="G423" s="55" t="s">
        <v>505</v>
      </c>
      <c r="H423" s="87"/>
    </row>
    <row r="424" spans="2:8" ht="24" thickBot="1" x14ac:dyDescent="0.3">
      <c r="B424" s="319" t="s">
        <v>506</v>
      </c>
      <c r="C424" s="320"/>
      <c r="D424" s="136">
        <v>197.93</v>
      </c>
      <c r="E424" s="136">
        <f>D415</f>
        <v>6</v>
      </c>
      <c r="F424" s="77" t="s">
        <v>434</v>
      </c>
      <c r="G424" s="142">
        <f t="shared" ref="G424:G431" si="18">D424*E424</f>
        <v>1187.58</v>
      </c>
      <c r="H424" s="321"/>
    </row>
    <row r="425" spans="2:8" ht="23.25" x14ac:dyDescent="0.25">
      <c r="B425" s="322" t="s">
        <v>507</v>
      </c>
      <c r="C425" s="323"/>
      <c r="D425" s="137">
        <v>159.44</v>
      </c>
      <c r="E425" s="137">
        <f>V412</f>
        <v>1.4</v>
      </c>
      <c r="F425" s="78" t="s">
        <v>437</v>
      </c>
      <c r="G425" s="143">
        <f t="shared" si="18"/>
        <v>223.21599999999998</v>
      </c>
      <c r="H425" s="321"/>
    </row>
    <row r="426" spans="2:8" ht="24" thickBot="1" x14ac:dyDescent="0.3">
      <c r="B426" s="324" t="s">
        <v>508</v>
      </c>
      <c r="C426" s="325"/>
      <c r="D426" s="138">
        <v>276.62</v>
      </c>
      <c r="E426" s="138">
        <f>V412</f>
        <v>1.4</v>
      </c>
      <c r="F426" s="79" t="s">
        <v>437</v>
      </c>
      <c r="G426" s="144">
        <f t="shared" si="18"/>
        <v>387.26799999999997</v>
      </c>
      <c r="H426" s="321"/>
    </row>
    <row r="427" spans="2:8" ht="24" thickBot="1" x14ac:dyDescent="0.3">
      <c r="B427" s="326" t="s">
        <v>438</v>
      </c>
      <c r="C427" s="327"/>
      <c r="D427" s="139">
        <v>519</v>
      </c>
      <c r="E427" s="139"/>
      <c r="F427" s="80" t="s">
        <v>434</v>
      </c>
      <c r="G427" s="145">
        <f t="shared" si="18"/>
        <v>0</v>
      </c>
      <c r="H427" s="321"/>
    </row>
    <row r="428" spans="2:8" ht="23.25" x14ac:dyDescent="0.25">
      <c r="B428" s="322" t="s">
        <v>509</v>
      </c>
      <c r="C428" s="323"/>
      <c r="D428" s="137">
        <v>920</v>
      </c>
      <c r="E428" s="137">
        <f>D415*2</f>
        <v>12</v>
      </c>
      <c r="F428" s="78" t="s">
        <v>434</v>
      </c>
      <c r="G428" s="143">
        <f t="shared" si="18"/>
        <v>11040</v>
      </c>
      <c r="H428" s="321"/>
    </row>
    <row r="429" spans="2:8" ht="23.25" x14ac:dyDescent="0.25">
      <c r="B429" s="328" t="s">
        <v>510</v>
      </c>
      <c r="C429" s="329"/>
      <c r="D429" s="140">
        <v>1300</v>
      </c>
      <c r="E429" s="140">
        <f>IF(T412="Осина",D415,"0")</f>
        <v>6</v>
      </c>
      <c r="F429" s="81" t="s">
        <v>434</v>
      </c>
      <c r="G429" s="146">
        <f t="shared" si="18"/>
        <v>7800</v>
      </c>
      <c r="H429" s="321"/>
    </row>
    <row r="430" spans="2:8" ht="23.25" x14ac:dyDescent="0.25">
      <c r="B430" s="328" t="s">
        <v>439</v>
      </c>
      <c r="C430" s="329"/>
      <c r="D430" s="141">
        <v>5165.12</v>
      </c>
      <c r="E430" s="140" t="str">
        <f>IF(T412="Осина","0",D415)</f>
        <v>0</v>
      </c>
      <c r="F430" s="81" t="s">
        <v>434</v>
      </c>
      <c r="G430" s="146">
        <f t="shared" si="18"/>
        <v>0</v>
      </c>
      <c r="H430" s="321"/>
    </row>
    <row r="431" spans="2:8" ht="23.25" x14ac:dyDescent="0.25">
      <c r="B431" s="328" t="s">
        <v>511</v>
      </c>
      <c r="C431" s="329"/>
      <c r="D431" s="141">
        <v>917</v>
      </c>
      <c r="E431" s="140" t="str">
        <f>IF(T412="Осина","0",D415)</f>
        <v>0</v>
      </c>
      <c r="F431" s="81" t="s">
        <v>434</v>
      </c>
      <c r="G431" s="146">
        <f t="shared" si="18"/>
        <v>0</v>
      </c>
      <c r="H431" s="321"/>
    </row>
    <row r="432" spans="2:8" ht="23.25" x14ac:dyDescent="0.25">
      <c r="B432" s="328" t="s">
        <v>441</v>
      </c>
      <c r="C432" s="329"/>
      <c r="D432" s="141">
        <v>461.56000000000006</v>
      </c>
      <c r="E432" s="140" t="str">
        <f>IF(T412="Осина","0",D415)</f>
        <v>0</v>
      </c>
      <c r="F432" s="81" t="s">
        <v>434</v>
      </c>
      <c r="G432" s="146">
        <f>D432*E432</f>
        <v>0</v>
      </c>
      <c r="H432" s="321"/>
    </row>
    <row r="433" spans="2:26" ht="24" thickBot="1" x14ac:dyDescent="0.3">
      <c r="B433" s="324" t="s">
        <v>440</v>
      </c>
      <c r="C433" s="325"/>
      <c r="D433" s="138">
        <v>353.15</v>
      </c>
      <c r="E433" s="140" t="str">
        <f>IF(T412="Осина","0",D415*4)</f>
        <v>0</v>
      </c>
      <c r="F433" s="79" t="s">
        <v>434</v>
      </c>
      <c r="G433" s="147">
        <f>D433*E433</f>
        <v>0</v>
      </c>
      <c r="H433" s="321"/>
    </row>
    <row r="434" spans="2:26" ht="23.25" x14ac:dyDescent="0.25">
      <c r="B434" s="49"/>
      <c r="C434" s="66"/>
      <c r="D434" s="66"/>
      <c r="E434" s="56"/>
      <c r="F434" s="56"/>
      <c r="G434" s="48"/>
      <c r="H434" s="92"/>
    </row>
    <row r="435" spans="2:26" ht="25.5" x14ac:dyDescent="0.25">
      <c r="B435" s="49"/>
      <c r="C435" s="59" t="s">
        <v>512</v>
      </c>
      <c r="D435" s="60"/>
      <c r="E435" s="49"/>
      <c r="F435" s="49"/>
      <c r="G435" s="48"/>
      <c r="H435" s="87"/>
    </row>
    <row r="436" spans="2:26" ht="18.75" x14ac:dyDescent="0.25">
      <c r="B436" s="49"/>
      <c r="C436" s="306" t="s">
        <v>513</v>
      </c>
      <c r="D436" s="84" t="s">
        <v>514</v>
      </c>
      <c r="E436" s="68">
        <f>ROUND((G424+D417)/D417,2)</f>
        <v>1.06</v>
      </c>
      <c r="F436" s="68"/>
      <c r="G436" s="50"/>
      <c r="H436" s="87"/>
    </row>
    <row r="437" spans="2:26" ht="23.25" x14ac:dyDescent="0.25">
      <c r="B437" s="49"/>
      <c r="C437" s="306"/>
      <c r="D437" s="84" t="s">
        <v>515</v>
      </c>
      <c r="E437" s="68">
        <f>ROUND((G425+G426+D417)/D417,2)</f>
        <v>1.03</v>
      </c>
      <c r="F437" s="68"/>
      <c r="G437" s="57"/>
      <c r="H437" s="93"/>
    </row>
    <row r="438" spans="2:26" ht="23.25" x14ac:dyDescent="0.25">
      <c r="B438" s="49"/>
      <c r="C438" s="306"/>
      <c r="D438" s="84" t="s">
        <v>516</v>
      </c>
      <c r="E438" s="68">
        <f>ROUND((G427+D417)/D417,2)</f>
        <v>1</v>
      </c>
      <c r="F438" s="50"/>
      <c r="G438" s="57"/>
      <c r="H438" s="87"/>
    </row>
    <row r="439" spans="2:26" ht="23.25" x14ac:dyDescent="0.25">
      <c r="B439" s="49"/>
      <c r="C439" s="306"/>
      <c r="D439" s="69" t="s">
        <v>517</v>
      </c>
      <c r="E439" s="70">
        <f>ROUND((SUM(G428:G433)+D417)/D417,2)</f>
        <v>1.97</v>
      </c>
      <c r="F439" s="50"/>
      <c r="G439" s="57"/>
      <c r="H439" s="87"/>
    </row>
    <row r="440" spans="2:26" ht="25.5" x14ac:dyDescent="0.25">
      <c r="B440" s="49"/>
      <c r="C440" s="49"/>
      <c r="D440" s="71" t="s">
        <v>518</v>
      </c>
      <c r="E440" s="72">
        <f>SUM(E436:E439)-IF(D421="сплошная",3,2)</f>
        <v>2.0599999999999996</v>
      </c>
      <c r="F440" s="73"/>
      <c r="G440" s="48"/>
      <c r="H440" s="87"/>
    </row>
    <row r="441" spans="2:26" ht="23.25" x14ac:dyDescent="0.25">
      <c r="B441" s="49"/>
      <c r="C441" s="49"/>
      <c r="D441" s="49"/>
      <c r="E441" s="74"/>
      <c r="F441" s="49"/>
      <c r="G441" s="48"/>
      <c r="H441" s="87"/>
    </row>
    <row r="442" spans="2:26" ht="25.5" x14ac:dyDescent="0.35">
      <c r="B442" s="58"/>
      <c r="C442" s="75" t="s">
        <v>519</v>
      </c>
      <c r="D442" s="307">
        <f>E440*D417</f>
        <v>40151.501199999992</v>
      </c>
      <c r="E442" s="307"/>
      <c r="F442" s="49"/>
      <c r="G442" s="48"/>
      <c r="H442" s="87"/>
    </row>
    <row r="443" spans="2:26" ht="18.75" x14ac:dyDescent="0.3">
      <c r="B443" s="49"/>
      <c r="C443" s="76" t="s">
        <v>520</v>
      </c>
      <c r="D443" s="308">
        <f>D442/D416</f>
        <v>31.044335065256377</v>
      </c>
      <c r="E443" s="308"/>
      <c r="F443" s="49"/>
      <c r="G443" s="49"/>
      <c r="H443" s="94"/>
    </row>
    <row r="446" spans="2:26" ht="60.75" x14ac:dyDescent="0.8">
      <c r="B446" s="330" t="str">
        <f>CONCATENATE("ЛОТ № ",K449)</f>
        <v>ЛОТ № 13</v>
      </c>
      <c r="C446" s="330"/>
      <c r="D446" s="330"/>
      <c r="E446" s="330"/>
      <c r="F446" s="330"/>
      <c r="G446" s="330"/>
      <c r="H446" s="330"/>
    </row>
    <row r="447" spans="2:26" ht="18.75" x14ac:dyDescent="0.25">
      <c r="B447" s="331" t="s">
        <v>492</v>
      </c>
      <c r="C447" s="331"/>
      <c r="D447" s="331"/>
      <c r="E447" s="331"/>
      <c r="F447" s="331"/>
      <c r="G447" s="331"/>
      <c r="H447" s="87"/>
    </row>
    <row r="448" spans="2:26" ht="25.5" x14ac:dyDescent="0.25">
      <c r="B448" s="49"/>
      <c r="C448" s="59" t="s">
        <v>493</v>
      </c>
      <c r="D448" s="60"/>
      <c r="E448" s="49"/>
      <c r="F448" s="49"/>
      <c r="G448" s="48"/>
      <c r="H448" s="87"/>
      <c r="I448" s="88"/>
      <c r="J448" s="88"/>
      <c r="K448" s="88"/>
      <c r="L448" s="88" t="s">
        <v>454</v>
      </c>
      <c r="M448" s="88" t="s">
        <v>444</v>
      </c>
      <c r="N448" s="88" t="s">
        <v>445</v>
      </c>
      <c r="O448" s="88" t="s">
        <v>453</v>
      </c>
      <c r="P448" s="89" t="s">
        <v>446</v>
      </c>
      <c r="Q448" s="88" t="s">
        <v>435</v>
      </c>
      <c r="R448" s="40" t="s">
        <v>447</v>
      </c>
      <c r="S448" s="40" t="s">
        <v>522</v>
      </c>
      <c r="T448" s="88" t="s">
        <v>118</v>
      </c>
      <c r="U448" s="88" t="s">
        <v>500</v>
      </c>
      <c r="V448" s="88" t="s">
        <v>450</v>
      </c>
      <c r="W448" s="40" t="s">
        <v>448</v>
      </c>
      <c r="X448" s="40" t="s">
        <v>449</v>
      </c>
      <c r="Y448" s="88" t="s">
        <v>523</v>
      </c>
      <c r="Z448" s="88"/>
    </row>
    <row r="449" spans="2:27" ht="39.950000000000003" customHeight="1" x14ac:dyDescent="0.25">
      <c r="B449" s="50"/>
      <c r="C449" s="332" t="s">
        <v>494</v>
      </c>
      <c r="D449" s="335" t="s">
        <v>521</v>
      </c>
      <c r="E449" s="336"/>
      <c r="F449" s="336"/>
      <c r="G449" s="337"/>
      <c r="H449" s="90"/>
      <c r="I449" s="88" t="s">
        <v>443</v>
      </c>
      <c r="J449" s="88"/>
      <c r="K449" s="43">
        <f>IF(I449="","",COUNTA(I$5:I449))</f>
        <v>13</v>
      </c>
      <c r="L449" s="95" t="str">
        <f>INDEX('Ведомость расчета мин. платы'!$B$10:$T$209,MATCH(ЛОТЫ!$K449,'Ведомость расчета мин. платы'!$B$10:$B$209,0),2)</f>
        <v>Восходское</v>
      </c>
      <c r="M449" s="95">
        <f>INDEX('Ведомость расчета мин. платы'!$B$10:$T$209,MATCH(ЛОТЫ!$K449,'Ведомость расчета мин. платы'!$B$10:$B$209,0),3)</f>
        <v>36</v>
      </c>
      <c r="N449" s="95">
        <f>INDEX('Ведомость расчета мин. платы'!$B$10:$T$209,MATCH(ЛОТЫ!$K449,'Ведомость расчета мин. платы'!$B$10:$B$209,0),4)</f>
        <v>10</v>
      </c>
      <c r="O449" s="95">
        <f>INDEX('Ведомость расчета мин. платы'!$B$10:$T$209,MATCH(ЛОТЫ!$K449,'Ведомость расчета мин. платы'!$B$10:$B$209,0),5)</f>
        <v>1</v>
      </c>
      <c r="P449" s="89">
        <f>IFERROR(INDEX(Коэффициенты!$G$4:$O$106,MATCH(CONCATENATE($L449,"/",$M449,"/",$N449,"/",$O449),Коэффициенты!$O$4:$O$106,0),1),"")</f>
        <v>8.5</v>
      </c>
      <c r="Q449" s="40">
        <f>IFERROR(INDEX(Коэффициенты!$G$4:$O$106,MATCH(CONCATENATE($L449,"/",$M449,"/",$N449,"/",$O449),Коэффициенты!$O$4:$O$106,0),6),"")</f>
        <v>1847.34</v>
      </c>
      <c r="R449" s="40">
        <f>IFERROR(INDEX(Коэффициенты!$G$4:$O$106,MATCH(CONCATENATE($L449,"/",$M449,"/",$N449,"/",$O449),Коэффициенты!$O$4:$O$106,0),2),"")</f>
        <v>28902.219999999998</v>
      </c>
      <c r="S449" s="43" t="str">
        <f>IFERROR(INDEX('Такс. опис.'!$A$5:$BW$50,MATCH(CONCATENATE($L449,"/",$M449,"/",$N449),'Такс. опис.'!$C$5:$C$50,0),26),"")</f>
        <v>8ОС2Б+ЛП</v>
      </c>
      <c r="T449" s="43" t="str">
        <f>IFERROR(INDEX('Такс. опис.'!$A$5:$BW$50,MATCH(CONCATENATE($L449,"/",$M449,"/",$N449),'Такс. опис.'!$C$5:$C$50,0),47),"")</f>
        <v>Осина</v>
      </c>
      <c r="U449" s="43">
        <f>IFERROR(INDEX('Такс. опис.'!$A$5:$BW$50,MATCH(CONCATENATE($L449,"/",$M449,"/",$N449),'Такс. опис.'!$C$5:$C$50,0),49),"")</f>
        <v>55</v>
      </c>
      <c r="V449" s="103">
        <f>IFERROR(INDEX('Ведомость расчета мин. платы'!$AC$10:$AD$214,MATCH(CONCATENATE($L449,"/",$M449,"/",$N449,"/",$O449),'Ведомость расчета мин. платы'!$AC$10:$AC$214,0),2),"")</f>
        <v>1.9</v>
      </c>
      <c r="W449" s="40">
        <f>E477</f>
        <v>2.0099999999999998</v>
      </c>
      <c r="X449" s="40">
        <f>D479</f>
        <v>58093.462199999987</v>
      </c>
      <c r="Y449" s="91">
        <f>D480</f>
        <v>31.447087271428103</v>
      </c>
      <c r="Z449" s="88"/>
      <c r="AA449" s="86">
        <f t="shared" si="17"/>
        <v>1</v>
      </c>
    </row>
    <row r="450" spans="2:27" ht="19.5" x14ac:dyDescent="0.25">
      <c r="B450" s="50"/>
      <c r="C450" s="333"/>
      <c r="D450" s="338" t="str">
        <f>CONCATENATE(L449, " участковое лесничество")</f>
        <v>Восходское участковое лесничество</v>
      </c>
      <c r="E450" s="338"/>
      <c r="F450" s="338"/>
      <c r="G450" s="338"/>
      <c r="H450" s="90"/>
      <c r="I450" s="88"/>
      <c r="J450" s="88">
        <f>IFERROR(IF(ISBLANK(K449),"",K449),"")</f>
        <v>13</v>
      </c>
      <c r="K450" s="88"/>
      <c r="L450" s="88"/>
      <c r="M450" s="88"/>
      <c r="N450" s="88"/>
      <c r="O450" s="88"/>
      <c r="P450" s="88"/>
      <c r="Q450" s="88"/>
      <c r="R450" s="88"/>
      <c r="S450" s="88"/>
      <c r="T450" s="88"/>
      <c r="U450" s="88"/>
      <c r="V450" s="88"/>
      <c r="W450" s="88"/>
      <c r="X450" s="88"/>
      <c r="Y450" s="88"/>
      <c r="Z450" s="88"/>
    </row>
    <row r="451" spans="2:27" ht="19.5" x14ac:dyDescent="0.25">
      <c r="B451" s="50"/>
      <c r="C451" s="334"/>
      <c r="D451" s="338" t="str">
        <f>CONCATENATE("кв. ",M449," ","выд."," ",N449," ","делянка", " ",O449)</f>
        <v>кв. 36 выд. 10 делянка 1</v>
      </c>
      <c r="E451" s="338"/>
      <c r="F451" s="338"/>
      <c r="G451" s="338"/>
      <c r="H451" s="90"/>
      <c r="I451" s="88"/>
      <c r="J451" s="88"/>
      <c r="K451" s="88"/>
      <c r="L451" s="88"/>
      <c r="M451" s="88"/>
      <c r="N451" s="88"/>
      <c r="O451" s="88"/>
      <c r="P451" s="88"/>
      <c r="Q451" s="88"/>
      <c r="R451" s="88"/>
      <c r="S451" s="88"/>
      <c r="T451" s="88"/>
      <c r="U451" s="88"/>
      <c r="V451" s="88"/>
      <c r="W451" s="88"/>
      <c r="X451" s="88"/>
      <c r="Y451" s="88"/>
      <c r="Z451" s="88"/>
    </row>
    <row r="452" spans="2:27" ht="23.25" x14ac:dyDescent="0.25">
      <c r="B452" s="49"/>
      <c r="C452" s="61" t="s">
        <v>495</v>
      </c>
      <c r="D452" s="51">
        <f>P449</f>
        <v>8.5</v>
      </c>
      <c r="E452" s="62"/>
      <c r="F452" s="50"/>
      <c r="G452" s="48"/>
      <c r="H452" s="87"/>
    </row>
    <row r="453" spans="2:27" ht="22.5" x14ac:dyDescent="0.25">
      <c r="B453" s="49"/>
      <c r="C453" s="63" t="s">
        <v>496</v>
      </c>
      <c r="D453" s="106">
        <f>Q449</f>
        <v>1847.34</v>
      </c>
      <c r="E453" s="309" t="s">
        <v>497</v>
      </c>
      <c r="F453" s="310"/>
      <c r="G453" s="313">
        <f>D454/D453</f>
        <v>15.645317050461744</v>
      </c>
      <c r="H453" s="87"/>
    </row>
    <row r="454" spans="2:27" ht="22.5" x14ac:dyDescent="0.25">
      <c r="B454" s="49"/>
      <c r="C454" s="63" t="s">
        <v>498</v>
      </c>
      <c r="D454" s="52">
        <f>R449</f>
        <v>28902.219999999998</v>
      </c>
      <c r="E454" s="311"/>
      <c r="F454" s="312"/>
      <c r="G454" s="314"/>
      <c r="H454" s="87"/>
    </row>
    <row r="455" spans="2:27" ht="23.25" x14ac:dyDescent="0.25">
      <c r="B455" s="49"/>
      <c r="C455" s="64"/>
      <c r="D455" s="53"/>
      <c r="E455" s="65"/>
      <c r="F455" s="49"/>
      <c r="G455" s="48"/>
      <c r="H455" s="87"/>
    </row>
    <row r="456" spans="2:27" ht="23.25" x14ac:dyDescent="0.25">
      <c r="B456" s="49"/>
      <c r="C456" s="82" t="s">
        <v>499</v>
      </c>
      <c r="D456" s="96" t="str">
        <f>S449</f>
        <v>8ОС2Б+ЛП</v>
      </c>
      <c r="E456" s="49"/>
      <c r="F456" s="49"/>
      <c r="G456" s="48"/>
      <c r="H456" s="87"/>
    </row>
    <row r="457" spans="2:27" ht="23.25" x14ac:dyDescent="0.25">
      <c r="B457" s="49"/>
      <c r="C457" s="82" t="s">
        <v>500</v>
      </c>
      <c r="D457" s="96">
        <f>U449</f>
        <v>55</v>
      </c>
      <c r="E457" s="49"/>
      <c r="F457" s="49"/>
      <c r="G457" s="48"/>
      <c r="H457" s="87"/>
    </row>
    <row r="458" spans="2:27" ht="23.25" x14ac:dyDescent="0.25">
      <c r="B458" s="49"/>
      <c r="C458" s="82" t="s">
        <v>501</v>
      </c>
      <c r="D458" s="83" t="s">
        <v>502</v>
      </c>
      <c r="E458" s="49"/>
      <c r="F458" s="49"/>
      <c r="G458" s="48"/>
      <c r="H458" s="87"/>
    </row>
    <row r="459" spans="2:27" ht="24" thickBot="1" x14ac:dyDescent="0.3">
      <c r="B459" s="49"/>
      <c r="C459" s="49"/>
      <c r="D459" s="49"/>
      <c r="E459" s="49"/>
      <c r="F459" s="49"/>
      <c r="G459" s="48"/>
      <c r="H459" s="87"/>
    </row>
    <row r="460" spans="2:27" ht="48" thickBot="1" x14ac:dyDescent="0.3">
      <c r="B460" s="315" t="s">
        <v>436</v>
      </c>
      <c r="C460" s="316"/>
      <c r="D460" s="54" t="s">
        <v>503</v>
      </c>
      <c r="E460" s="317" t="s">
        <v>504</v>
      </c>
      <c r="F460" s="318"/>
      <c r="G460" s="55" t="s">
        <v>505</v>
      </c>
      <c r="H460" s="87"/>
    </row>
    <row r="461" spans="2:27" ht="24" thickBot="1" x14ac:dyDescent="0.3">
      <c r="B461" s="319" t="s">
        <v>506</v>
      </c>
      <c r="C461" s="320"/>
      <c r="D461" s="136">
        <v>197.93</v>
      </c>
      <c r="E461" s="136">
        <f>D452</f>
        <v>8.5</v>
      </c>
      <c r="F461" s="77" t="s">
        <v>434</v>
      </c>
      <c r="G461" s="142">
        <f t="shared" ref="G461:G468" si="19">D461*E461</f>
        <v>1682.405</v>
      </c>
      <c r="H461" s="321"/>
    </row>
    <row r="462" spans="2:27" ht="23.25" x14ac:dyDescent="0.25">
      <c r="B462" s="322" t="s">
        <v>507</v>
      </c>
      <c r="C462" s="323"/>
      <c r="D462" s="137">
        <v>159.44</v>
      </c>
      <c r="E462" s="137">
        <f>V449</f>
        <v>1.9</v>
      </c>
      <c r="F462" s="78" t="s">
        <v>437</v>
      </c>
      <c r="G462" s="143">
        <f t="shared" si="19"/>
        <v>302.93599999999998</v>
      </c>
      <c r="H462" s="321"/>
    </row>
    <row r="463" spans="2:27" ht="24" thickBot="1" x14ac:dyDescent="0.3">
      <c r="B463" s="324" t="s">
        <v>508</v>
      </c>
      <c r="C463" s="325"/>
      <c r="D463" s="138">
        <v>276.62</v>
      </c>
      <c r="E463" s="138">
        <f>V449</f>
        <v>1.9</v>
      </c>
      <c r="F463" s="79" t="s">
        <v>437</v>
      </c>
      <c r="G463" s="144">
        <f t="shared" si="19"/>
        <v>525.57799999999997</v>
      </c>
      <c r="H463" s="321"/>
    </row>
    <row r="464" spans="2:27" ht="24" thickBot="1" x14ac:dyDescent="0.3">
      <c r="B464" s="326" t="s">
        <v>438</v>
      </c>
      <c r="C464" s="327"/>
      <c r="D464" s="139">
        <v>519</v>
      </c>
      <c r="E464" s="139"/>
      <c r="F464" s="80" t="s">
        <v>434</v>
      </c>
      <c r="G464" s="145">
        <f t="shared" si="19"/>
        <v>0</v>
      </c>
      <c r="H464" s="321"/>
    </row>
    <row r="465" spans="2:8" ht="23.25" x14ac:dyDescent="0.25">
      <c r="B465" s="322" t="s">
        <v>509</v>
      </c>
      <c r="C465" s="323"/>
      <c r="D465" s="137">
        <v>920</v>
      </c>
      <c r="E465" s="137">
        <f>D452*2</f>
        <v>17</v>
      </c>
      <c r="F465" s="78" t="s">
        <v>434</v>
      </c>
      <c r="G465" s="143">
        <f t="shared" si="19"/>
        <v>15640</v>
      </c>
      <c r="H465" s="321"/>
    </row>
    <row r="466" spans="2:8" ht="23.25" x14ac:dyDescent="0.25">
      <c r="B466" s="328" t="s">
        <v>510</v>
      </c>
      <c r="C466" s="329"/>
      <c r="D466" s="140">
        <v>1300</v>
      </c>
      <c r="E466" s="140">
        <f>IF(T449="Осина",D452,"0")</f>
        <v>8.5</v>
      </c>
      <c r="F466" s="81" t="s">
        <v>434</v>
      </c>
      <c r="G466" s="146">
        <f t="shared" si="19"/>
        <v>11050</v>
      </c>
      <c r="H466" s="321"/>
    </row>
    <row r="467" spans="2:8" ht="23.25" x14ac:dyDescent="0.25">
      <c r="B467" s="328" t="s">
        <v>439</v>
      </c>
      <c r="C467" s="329"/>
      <c r="D467" s="141">
        <v>5165.12</v>
      </c>
      <c r="E467" s="140" t="str">
        <f>IF(T449="Осина","0",D452)</f>
        <v>0</v>
      </c>
      <c r="F467" s="81" t="s">
        <v>434</v>
      </c>
      <c r="G467" s="146">
        <f t="shared" si="19"/>
        <v>0</v>
      </c>
      <c r="H467" s="321"/>
    </row>
    <row r="468" spans="2:8" ht="23.25" x14ac:dyDescent="0.25">
      <c r="B468" s="328" t="s">
        <v>511</v>
      </c>
      <c r="C468" s="329"/>
      <c r="D468" s="141">
        <v>917</v>
      </c>
      <c r="E468" s="140" t="str">
        <f>IF(T449="Осина","0",D452)</f>
        <v>0</v>
      </c>
      <c r="F468" s="81" t="s">
        <v>434</v>
      </c>
      <c r="G468" s="146">
        <f t="shared" si="19"/>
        <v>0</v>
      </c>
      <c r="H468" s="321"/>
    </row>
    <row r="469" spans="2:8" ht="23.25" x14ac:dyDescent="0.25">
      <c r="B469" s="328" t="s">
        <v>441</v>
      </c>
      <c r="C469" s="329"/>
      <c r="D469" s="141">
        <v>461.56000000000006</v>
      </c>
      <c r="E469" s="140" t="str">
        <f>IF(T449="Осина","0",D452)</f>
        <v>0</v>
      </c>
      <c r="F469" s="81" t="s">
        <v>434</v>
      </c>
      <c r="G469" s="146">
        <f>D469*E469</f>
        <v>0</v>
      </c>
      <c r="H469" s="321"/>
    </row>
    <row r="470" spans="2:8" ht="24" thickBot="1" x14ac:dyDescent="0.3">
      <c r="B470" s="324" t="s">
        <v>440</v>
      </c>
      <c r="C470" s="325"/>
      <c r="D470" s="138">
        <v>353.15</v>
      </c>
      <c r="E470" s="140" t="str">
        <f>IF(T449="Осина","0",D452*4)</f>
        <v>0</v>
      </c>
      <c r="F470" s="79" t="s">
        <v>434</v>
      </c>
      <c r="G470" s="147">
        <f>D470*E470</f>
        <v>0</v>
      </c>
      <c r="H470" s="321"/>
    </row>
    <row r="471" spans="2:8" ht="23.25" x14ac:dyDescent="0.25">
      <c r="B471" s="49"/>
      <c r="C471" s="66"/>
      <c r="D471" s="66"/>
      <c r="E471" s="56"/>
      <c r="F471" s="56"/>
      <c r="G471" s="48"/>
      <c r="H471" s="92"/>
    </row>
    <row r="472" spans="2:8" ht="25.5" x14ac:dyDescent="0.25">
      <c r="B472" s="49"/>
      <c r="C472" s="59" t="s">
        <v>512</v>
      </c>
      <c r="D472" s="60"/>
      <c r="E472" s="49"/>
      <c r="F472" s="49"/>
      <c r="G472" s="48"/>
      <c r="H472" s="87"/>
    </row>
    <row r="473" spans="2:8" ht="18.75" x14ac:dyDescent="0.25">
      <c r="B473" s="49"/>
      <c r="C473" s="306" t="s">
        <v>513</v>
      </c>
      <c r="D473" s="84" t="s">
        <v>514</v>
      </c>
      <c r="E473" s="68">
        <f>ROUND((G461+D454)/D454,2)</f>
        <v>1.06</v>
      </c>
      <c r="F473" s="68"/>
      <c r="G473" s="50"/>
      <c r="H473" s="87"/>
    </row>
    <row r="474" spans="2:8" ht="23.25" x14ac:dyDescent="0.25">
      <c r="B474" s="49"/>
      <c r="C474" s="306"/>
      <c r="D474" s="84" t="s">
        <v>515</v>
      </c>
      <c r="E474" s="68">
        <f>ROUND((G462+G463+D454)/D454,2)</f>
        <v>1.03</v>
      </c>
      <c r="F474" s="68"/>
      <c r="G474" s="57"/>
      <c r="H474" s="93"/>
    </row>
    <row r="475" spans="2:8" ht="23.25" x14ac:dyDescent="0.25">
      <c r="B475" s="49"/>
      <c r="C475" s="306"/>
      <c r="D475" s="84" t="s">
        <v>516</v>
      </c>
      <c r="E475" s="68">
        <f>ROUND((G464+D454)/D454,2)</f>
        <v>1</v>
      </c>
      <c r="F475" s="50"/>
      <c r="G475" s="57"/>
      <c r="H475" s="87"/>
    </row>
    <row r="476" spans="2:8" ht="23.25" x14ac:dyDescent="0.25">
      <c r="B476" s="49"/>
      <c r="C476" s="306"/>
      <c r="D476" s="69" t="s">
        <v>517</v>
      </c>
      <c r="E476" s="70">
        <f>ROUND((SUM(G465:G470)+D454)/D454,2)</f>
        <v>1.92</v>
      </c>
      <c r="F476" s="50"/>
      <c r="G476" s="57"/>
      <c r="H476" s="87"/>
    </row>
    <row r="477" spans="2:8" ht="25.5" x14ac:dyDescent="0.25">
      <c r="B477" s="49"/>
      <c r="C477" s="49"/>
      <c r="D477" s="71" t="s">
        <v>518</v>
      </c>
      <c r="E477" s="72">
        <f>SUM(E473:E476)-IF(D458="сплошная",3,2)</f>
        <v>2.0099999999999998</v>
      </c>
      <c r="F477" s="73"/>
      <c r="G477" s="48"/>
      <c r="H477" s="87"/>
    </row>
    <row r="478" spans="2:8" ht="23.25" x14ac:dyDescent="0.25">
      <c r="B478" s="49"/>
      <c r="C478" s="49"/>
      <c r="D478" s="49"/>
      <c r="E478" s="74"/>
      <c r="F478" s="49"/>
      <c r="G478" s="48"/>
      <c r="H478" s="87"/>
    </row>
    <row r="479" spans="2:8" ht="25.5" x14ac:dyDescent="0.35">
      <c r="B479" s="58"/>
      <c r="C479" s="75" t="s">
        <v>519</v>
      </c>
      <c r="D479" s="307">
        <f>E477*D454</f>
        <v>58093.462199999987</v>
      </c>
      <c r="E479" s="307"/>
      <c r="F479" s="49"/>
      <c r="G479" s="48"/>
      <c r="H479" s="87"/>
    </row>
    <row r="480" spans="2:8" ht="18.75" x14ac:dyDescent="0.3">
      <c r="B480" s="49"/>
      <c r="C480" s="76" t="s">
        <v>520</v>
      </c>
      <c r="D480" s="308">
        <f>D479/D453</f>
        <v>31.447087271428103</v>
      </c>
      <c r="E480" s="308"/>
      <c r="F480" s="49"/>
      <c r="G480" s="49"/>
      <c r="H480" s="94"/>
    </row>
    <row r="483" spans="2:27" ht="60.75" x14ac:dyDescent="0.8">
      <c r="B483" s="330" t="str">
        <f>CONCATENATE("ЛОТ № ",K486)</f>
        <v>ЛОТ № 14</v>
      </c>
      <c r="C483" s="330"/>
      <c r="D483" s="330"/>
      <c r="E483" s="330"/>
      <c r="F483" s="330"/>
      <c r="G483" s="330"/>
      <c r="H483" s="330"/>
    </row>
    <row r="484" spans="2:27" ht="18.75" x14ac:dyDescent="0.25">
      <c r="B484" s="331" t="s">
        <v>492</v>
      </c>
      <c r="C484" s="331"/>
      <c r="D484" s="331"/>
      <c r="E484" s="331"/>
      <c r="F484" s="331"/>
      <c r="G484" s="331"/>
      <c r="H484" s="87"/>
    </row>
    <row r="485" spans="2:27" ht="25.5" x14ac:dyDescent="0.25">
      <c r="B485" s="49"/>
      <c r="C485" s="59" t="s">
        <v>493</v>
      </c>
      <c r="D485" s="60"/>
      <c r="E485" s="49"/>
      <c r="F485" s="49"/>
      <c r="G485" s="48"/>
      <c r="H485" s="87"/>
      <c r="I485" s="88"/>
      <c r="J485" s="88"/>
      <c r="K485" s="88"/>
      <c r="L485" s="88" t="s">
        <v>454</v>
      </c>
      <c r="M485" s="88" t="s">
        <v>444</v>
      </c>
      <c r="N485" s="88" t="s">
        <v>445</v>
      </c>
      <c r="O485" s="88" t="s">
        <v>453</v>
      </c>
      <c r="P485" s="89" t="s">
        <v>446</v>
      </c>
      <c r="Q485" s="88" t="s">
        <v>435</v>
      </c>
      <c r="R485" s="40" t="s">
        <v>447</v>
      </c>
      <c r="S485" s="40" t="s">
        <v>522</v>
      </c>
      <c r="T485" s="88" t="s">
        <v>118</v>
      </c>
      <c r="U485" s="88" t="s">
        <v>500</v>
      </c>
      <c r="V485" s="88" t="s">
        <v>450</v>
      </c>
      <c r="W485" s="40" t="s">
        <v>448</v>
      </c>
      <c r="X485" s="40" t="s">
        <v>449</v>
      </c>
      <c r="Y485" s="88" t="s">
        <v>523</v>
      </c>
      <c r="Z485" s="88"/>
    </row>
    <row r="486" spans="2:27" ht="39.950000000000003" customHeight="1" x14ac:dyDescent="0.25">
      <c r="B486" s="50"/>
      <c r="C486" s="332" t="s">
        <v>494</v>
      </c>
      <c r="D486" s="335" t="s">
        <v>521</v>
      </c>
      <c r="E486" s="336"/>
      <c r="F486" s="336"/>
      <c r="G486" s="337"/>
      <c r="H486" s="90"/>
      <c r="I486" s="88" t="s">
        <v>443</v>
      </c>
      <c r="J486" s="88"/>
      <c r="K486" s="43">
        <f>IF(I486="","",COUNTA(I$5:I486))</f>
        <v>14</v>
      </c>
      <c r="L486" s="95" t="str">
        <f>INDEX('Ведомость расчета мин. платы'!$B$10:$T$209,MATCH(ЛОТЫ!$K486,'Ведомость расчета мин. платы'!$B$10:$B$209,0),2)</f>
        <v>Восходское</v>
      </c>
      <c r="M486" s="95">
        <f>INDEX('Ведомость расчета мин. платы'!$B$10:$T$209,MATCH(ЛОТЫ!$K486,'Ведомость расчета мин. платы'!$B$10:$B$209,0),3)</f>
        <v>36</v>
      </c>
      <c r="N486" s="95">
        <f>INDEX('Ведомость расчета мин. платы'!$B$10:$T$209,MATCH(ЛОТЫ!$K486,'Ведомость расчета мин. платы'!$B$10:$B$209,0),4)</f>
        <v>10</v>
      </c>
      <c r="O486" s="95">
        <f>INDEX('Ведомость расчета мин. платы'!$B$10:$T$209,MATCH(ЛОТЫ!$K486,'Ведомость расчета мин. платы'!$B$10:$B$209,0),5)</f>
        <v>2</v>
      </c>
      <c r="P486" s="89">
        <f>IFERROR(INDEX(Коэффициенты!$G$4:$O$106,MATCH(CONCATENATE($L486,"/",$M486,"/",$N486,"/",$O486),Коэффициенты!$O$4:$O$106,0),1),"")</f>
        <v>10</v>
      </c>
      <c r="Q486" s="40">
        <f>IFERROR(INDEX(Коэффициенты!$G$4:$O$106,MATCH(CONCATENATE($L486,"/",$M486,"/",$N486,"/",$O486),Коэффициенты!$O$4:$O$106,0),6),"")</f>
        <v>2136.13</v>
      </c>
      <c r="R486" s="40">
        <f>IFERROR(INDEX(Коэффициенты!$G$4:$O$106,MATCH(CONCATENATE($L486,"/",$M486,"/",$N486,"/",$O486),Коэффициенты!$O$4:$O$106,0),2),"")</f>
        <v>34858.550000000003</v>
      </c>
      <c r="S486" s="43" t="str">
        <f>IFERROR(INDEX('Такс. опис.'!$A$5:$BW$50,MATCH(CONCATENATE($L486,"/",$M486,"/",$N486),'Такс. опис.'!$C$5:$C$50,0),26),"")</f>
        <v>8ОС2Б+ЛП</v>
      </c>
      <c r="T486" s="43" t="str">
        <f>IFERROR(INDEX('Такс. опис.'!$A$5:$BW$50,MATCH(CONCATENATE($L486,"/",$M486,"/",$N486),'Такс. опис.'!$C$5:$C$50,0),47),"")</f>
        <v>Осина</v>
      </c>
      <c r="U486" s="43">
        <f>IFERROR(INDEX('Такс. опис.'!$A$5:$BW$50,MATCH(CONCATENATE($L486,"/",$M486,"/",$N486),'Такс. опис.'!$C$5:$C$50,0),49),"")</f>
        <v>55</v>
      </c>
      <c r="V486" s="103">
        <f>IFERROR(INDEX('Ведомость расчета мин. платы'!$AC$10:$AD$214,MATCH(CONCATENATE($L486,"/",$M486,"/",$N486,"/",$O486),'Ведомость расчета мин. платы'!$AC$10:$AC$214,0),2),"")</f>
        <v>2.2000000000000002</v>
      </c>
      <c r="W486" s="40">
        <f>E514</f>
        <v>1.9900000000000002</v>
      </c>
      <c r="X486" s="40">
        <f>D516</f>
        <v>69368.514500000019</v>
      </c>
      <c r="Y486" s="91">
        <f>D517</f>
        <v>32.473919892515916</v>
      </c>
      <c r="Z486" s="88"/>
      <c r="AA486" s="86">
        <f t="shared" ref="AA486" si="20">IF(M486&gt;0,1,0)</f>
        <v>1</v>
      </c>
    </row>
    <row r="487" spans="2:27" ht="19.5" x14ac:dyDescent="0.25">
      <c r="B487" s="50"/>
      <c r="C487" s="333"/>
      <c r="D487" s="338" t="str">
        <f>CONCATENATE(L486, " участковое лесничество")</f>
        <v>Восходское участковое лесничество</v>
      </c>
      <c r="E487" s="338"/>
      <c r="F487" s="338"/>
      <c r="G487" s="338"/>
      <c r="H487" s="90"/>
      <c r="I487" s="88"/>
      <c r="J487" s="88">
        <f>IFERROR(IF(ISBLANK(K486),"",K486),"")</f>
        <v>14</v>
      </c>
      <c r="K487" s="88"/>
      <c r="L487" s="88"/>
      <c r="M487" s="88"/>
      <c r="N487" s="88"/>
      <c r="O487" s="88"/>
      <c r="P487" s="88"/>
      <c r="Q487" s="88"/>
      <c r="R487" s="88"/>
      <c r="S487" s="88"/>
      <c r="T487" s="88"/>
      <c r="U487" s="88"/>
      <c r="V487" s="88"/>
      <c r="W487" s="88"/>
      <c r="X487" s="88"/>
      <c r="Y487" s="88"/>
      <c r="Z487" s="88"/>
    </row>
    <row r="488" spans="2:27" ht="19.5" x14ac:dyDescent="0.25">
      <c r="B488" s="50"/>
      <c r="C488" s="334"/>
      <c r="D488" s="338" t="str">
        <f>CONCATENATE("кв. ",M486," ","выд."," ",N486," ","делянка", " ",O486)</f>
        <v>кв. 36 выд. 10 делянка 2</v>
      </c>
      <c r="E488" s="338"/>
      <c r="F488" s="338"/>
      <c r="G488" s="338"/>
      <c r="H488" s="90"/>
      <c r="I488" s="88"/>
      <c r="J488" s="88"/>
      <c r="K488" s="88"/>
      <c r="L488" s="88"/>
      <c r="M488" s="88"/>
      <c r="N488" s="88"/>
      <c r="O488" s="88"/>
      <c r="P488" s="88"/>
      <c r="Q488" s="88"/>
      <c r="R488" s="88"/>
      <c r="S488" s="88"/>
      <c r="T488" s="88"/>
      <c r="U488" s="88"/>
      <c r="V488" s="88"/>
      <c r="W488" s="88"/>
      <c r="X488" s="88"/>
      <c r="Y488" s="88"/>
      <c r="Z488" s="88"/>
    </row>
    <row r="489" spans="2:27" ht="23.25" x14ac:dyDescent="0.25">
      <c r="B489" s="49"/>
      <c r="C489" s="61" t="s">
        <v>495</v>
      </c>
      <c r="D489" s="51">
        <f>P486</f>
        <v>10</v>
      </c>
      <c r="E489" s="62"/>
      <c r="F489" s="50"/>
      <c r="G489" s="48"/>
      <c r="H489" s="87"/>
    </row>
    <row r="490" spans="2:27" ht="22.5" x14ac:dyDescent="0.25">
      <c r="B490" s="49"/>
      <c r="C490" s="63" t="s">
        <v>496</v>
      </c>
      <c r="D490" s="106">
        <f>Q486</f>
        <v>2136.13</v>
      </c>
      <c r="E490" s="309" t="s">
        <v>497</v>
      </c>
      <c r="F490" s="310"/>
      <c r="G490" s="313">
        <f>D491/D490</f>
        <v>16.318552709806987</v>
      </c>
      <c r="H490" s="87"/>
    </row>
    <row r="491" spans="2:27" ht="22.5" x14ac:dyDescent="0.25">
      <c r="B491" s="49"/>
      <c r="C491" s="63" t="s">
        <v>498</v>
      </c>
      <c r="D491" s="52">
        <f>R486</f>
        <v>34858.550000000003</v>
      </c>
      <c r="E491" s="311"/>
      <c r="F491" s="312"/>
      <c r="G491" s="314"/>
      <c r="H491" s="87"/>
    </row>
    <row r="492" spans="2:27" ht="23.25" x14ac:dyDescent="0.25">
      <c r="B492" s="49"/>
      <c r="C492" s="64"/>
      <c r="D492" s="53"/>
      <c r="E492" s="65"/>
      <c r="F492" s="49"/>
      <c r="G492" s="48"/>
      <c r="H492" s="87"/>
    </row>
    <row r="493" spans="2:27" ht="23.25" x14ac:dyDescent="0.25">
      <c r="B493" s="49"/>
      <c r="C493" s="82" t="s">
        <v>499</v>
      </c>
      <c r="D493" s="96" t="str">
        <f>S486</f>
        <v>8ОС2Б+ЛП</v>
      </c>
      <c r="E493" s="49"/>
      <c r="F493" s="49"/>
      <c r="G493" s="48"/>
      <c r="H493" s="87"/>
    </row>
    <row r="494" spans="2:27" ht="23.25" x14ac:dyDescent="0.25">
      <c r="B494" s="49"/>
      <c r="C494" s="82" t="s">
        <v>500</v>
      </c>
      <c r="D494" s="96">
        <f>U486</f>
        <v>55</v>
      </c>
      <c r="E494" s="49"/>
      <c r="F494" s="49"/>
      <c r="G494" s="48"/>
      <c r="H494" s="87"/>
    </row>
    <row r="495" spans="2:27" ht="23.25" x14ac:dyDescent="0.25">
      <c r="B495" s="49"/>
      <c r="C495" s="82" t="s">
        <v>501</v>
      </c>
      <c r="D495" s="83" t="s">
        <v>502</v>
      </c>
      <c r="E495" s="49"/>
      <c r="F495" s="49"/>
      <c r="G495" s="48"/>
      <c r="H495" s="87"/>
    </row>
    <row r="496" spans="2:27" ht="24" thickBot="1" x14ac:dyDescent="0.3">
      <c r="B496" s="49"/>
      <c r="C496" s="49"/>
      <c r="D496" s="49"/>
      <c r="E496" s="49"/>
      <c r="F496" s="49"/>
      <c r="G496" s="48"/>
      <c r="H496" s="87"/>
    </row>
    <row r="497" spans="2:8" ht="48" thickBot="1" x14ac:dyDescent="0.3">
      <c r="B497" s="315" t="s">
        <v>436</v>
      </c>
      <c r="C497" s="316"/>
      <c r="D497" s="54" t="s">
        <v>503</v>
      </c>
      <c r="E497" s="317" t="s">
        <v>504</v>
      </c>
      <c r="F497" s="318"/>
      <c r="G497" s="55" t="s">
        <v>505</v>
      </c>
      <c r="H497" s="87"/>
    </row>
    <row r="498" spans="2:8" ht="24" thickBot="1" x14ac:dyDescent="0.3">
      <c r="B498" s="319" t="s">
        <v>506</v>
      </c>
      <c r="C498" s="320"/>
      <c r="D498" s="136">
        <v>197.93</v>
      </c>
      <c r="E498" s="136">
        <f>D489</f>
        <v>10</v>
      </c>
      <c r="F498" s="77" t="s">
        <v>434</v>
      </c>
      <c r="G498" s="142">
        <f t="shared" ref="G498:G505" si="21">D498*E498</f>
        <v>1979.3000000000002</v>
      </c>
      <c r="H498" s="321"/>
    </row>
    <row r="499" spans="2:8" ht="23.25" x14ac:dyDescent="0.25">
      <c r="B499" s="322" t="s">
        <v>507</v>
      </c>
      <c r="C499" s="323"/>
      <c r="D499" s="137">
        <v>159.44</v>
      </c>
      <c r="E499" s="137">
        <f>V486</f>
        <v>2.2000000000000002</v>
      </c>
      <c r="F499" s="78" t="s">
        <v>437</v>
      </c>
      <c r="G499" s="143">
        <f t="shared" si="21"/>
        <v>350.76800000000003</v>
      </c>
      <c r="H499" s="321"/>
    </row>
    <row r="500" spans="2:8" ht="24" thickBot="1" x14ac:dyDescent="0.3">
      <c r="B500" s="324" t="s">
        <v>508</v>
      </c>
      <c r="C500" s="325"/>
      <c r="D500" s="138">
        <v>276.62</v>
      </c>
      <c r="E500" s="138">
        <f>V486</f>
        <v>2.2000000000000002</v>
      </c>
      <c r="F500" s="79" t="s">
        <v>437</v>
      </c>
      <c r="G500" s="144">
        <f t="shared" si="21"/>
        <v>608.56400000000008</v>
      </c>
      <c r="H500" s="321"/>
    </row>
    <row r="501" spans="2:8" ht="24" thickBot="1" x14ac:dyDescent="0.3">
      <c r="B501" s="326" t="s">
        <v>438</v>
      </c>
      <c r="C501" s="327"/>
      <c r="D501" s="139">
        <v>519</v>
      </c>
      <c r="E501" s="139"/>
      <c r="F501" s="80" t="s">
        <v>434</v>
      </c>
      <c r="G501" s="145">
        <f t="shared" si="21"/>
        <v>0</v>
      </c>
      <c r="H501" s="321"/>
    </row>
    <row r="502" spans="2:8" ht="23.25" x14ac:dyDescent="0.25">
      <c r="B502" s="322" t="s">
        <v>509</v>
      </c>
      <c r="C502" s="323"/>
      <c r="D502" s="137">
        <v>920</v>
      </c>
      <c r="E502" s="137">
        <f>D489*2</f>
        <v>20</v>
      </c>
      <c r="F502" s="78" t="s">
        <v>434</v>
      </c>
      <c r="G502" s="143">
        <f t="shared" si="21"/>
        <v>18400</v>
      </c>
      <c r="H502" s="321"/>
    </row>
    <row r="503" spans="2:8" ht="23.25" x14ac:dyDescent="0.25">
      <c r="B503" s="328" t="s">
        <v>510</v>
      </c>
      <c r="C503" s="329"/>
      <c r="D503" s="140">
        <v>1300</v>
      </c>
      <c r="E503" s="140">
        <f>IF(T486="Осина",D489,"0")</f>
        <v>10</v>
      </c>
      <c r="F503" s="81" t="s">
        <v>434</v>
      </c>
      <c r="G503" s="146">
        <f t="shared" si="21"/>
        <v>13000</v>
      </c>
      <c r="H503" s="321"/>
    </row>
    <row r="504" spans="2:8" ht="23.25" x14ac:dyDescent="0.25">
      <c r="B504" s="328" t="s">
        <v>439</v>
      </c>
      <c r="C504" s="329"/>
      <c r="D504" s="141">
        <v>5165.12</v>
      </c>
      <c r="E504" s="140" t="str">
        <f>IF(T486="Осина","0",D489)</f>
        <v>0</v>
      </c>
      <c r="F504" s="81" t="s">
        <v>434</v>
      </c>
      <c r="G504" s="146">
        <f t="shared" si="21"/>
        <v>0</v>
      </c>
      <c r="H504" s="321"/>
    </row>
    <row r="505" spans="2:8" ht="23.25" x14ac:dyDescent="0.25">
      <c r="B505" s="328" t="s">
        <v>511</v>
      </c>
      <c r="C505" s="329"/>
      <c r="D505" s="141">
        <v>917</v>
      </c>
      <c r="E505" s="140" t="str">
        <f>IF(T486="Осина","0",D489)</f>
        <v>0</v>
      </c>
      <c r="F505" s="81" t="s">
        <v>434</v>
      </c>
      <c r="G505" s="146">
        <f t="shared" si="21"/>
        <v>0</v>
      </c>
      <c r="H505" s="321"/>
    </row>
    <row r="506" spans="2:8" ht="23.25" x14ac:dyDescent="0.25">
      <c r="B506" s="328" t="s">
        <v>441</v>
      </c>
      <c r="C506" s="329"/>
      <c r="D506" s="141">
        <v>461.56000000000006</v>
      </c>
      <c r="E506" s="140" t="str">
        <f>IF(T486="Осина","0",D489)</f>
        <v>0</v>
      </c>
      <c r="F506" s="81" t="s">
        <v>434</v>
      </c>
      <c r="G506" s="146">
        <f>D506*E506</f>
        <v>0</v>
      </c>
      <c r="H506" s="321"/>
    </row>
    <row r="507" spans="2:8" ht="24" thickBot="1" x14ac:dyDescent="0.3">
      <c r="B507" s="324" t="s">
        <v>440</v>
      </c>
      <c r="C507" s="325"/>
      <c r="D507" s="138">
        <v>353.15</v>
      </c>
      <c r="E507" s="140" t="str">
        <f>IF(T486="Осина","0",D489*4)</f>
        <v>0</v>
      </c>
      <c r="F507" s="79" t="s">
        <v>434</v>
      </c>
      <c r="G507" s="147">
        <f>D507*E507</f>
        <v>0</v>
      </c>
      <c r="H507" s="321"/>
    </row>
    <row r="508" spans="2:8" ht="23.25" x14ac:dyDescent="0.25">
      <c r="B508" s="49"/>
      <c r="C508" s="66"/>
      <c r="D508" s="66"/>
      <c r="E508" s="56"/>
      <c r="F508" s="56"/>
      <c r="G508" s="48"/>
      <c r="H508" s="92"/>
    </row>
    <row r="509" spans="2:8" ht="25.5" x14ac:dyDescent="0.25">
      <c r="B509" s="49"/>
      <c r="C509" s="59" t="s">
        <v>512</v>
      </c>
      <c r="D509" s="60"/>
      <c r="E509" s="49"/>
      <c r="F509" s="49"/>
      <c r="G509" s="48"/>
      <c r="H509" s="87"/>
    </row>
    <row r="510" spans="2:8" ht="18.75" x14ac:dyDescent="0.25">
      <c r="B510" s="49"/>
      <c r="C510" s="306" t="s">
        <v>513</v>
      </c>
      <c r="D510" s="84" t="s">
        <v>514</v>
      </c>
      <c r="E510" s="68">
        <f>ROUND((G498+D491)/D491,2)</f>
        <v>1.06</v>
      </c>
      <c r="F510" s="68"/>
      <c r="G510" s="50"/>
      <c r="H510" s="87"/>
    </row>
    <row r="511" spans="2:8" ht="23.25" x14ac:dyDescent="0.25">
      <c r="B511" s="49"/>
      <c r="C511" s="306"/>
      <c r="D511" s="84" t="s">
        <v>515</v>
      </c>
      <c r="E511" s="68">
        <f>ROUND((G499+G500+D491)/D491,2)</f>
        <v>1.03</v>
      </c>
      <c r="F511" s="68"/>
      <c r="G511" s="57"/>
      <c r="H511" s="93"/>
    </row>
    <row r="512" spans="2:8" ht="23.25" x14ac:dyDescent="0.25">
      <c r="B512" s="49"/>
      <c r="C512" s="306"/>
      <c r="D512" s="84" t="s">
        <v>516</v>
      </c>
      <c r="E512" s="68">
        <f>ROUND((G501+D491)/D491,2)</f>
        <v>1</v>
      </c>
      <c r="F512" s="50"/>
      <c r="G512" s="57"/>
      <c r="H512" s="87"/>
    </row>
    <row r="513" spans="2:27" ht="23.25" x14ac:dyDescent="0.25">
      <c r="B513" s="49"/>
      <c r="C513" s="306"/>
      <c r="D513" s="69" t="s">
        <v>517</v>
      </c>
      <c r="E513" s="70">
        <f>ROUND((SUM(G502:G507)+D491)/D491,2)</f>
        <v>1.9</v>
      </c>
      <c r="F513" s="50"/>
      <c r="G513" s="57"/>
      <c r="H513" s="87"/>
    </row>
    <row r="514" spans="2:27" ht="25.5" x14ac:dyDescent="0.25">
      <c r="B514" s="49"/>
      <c r="C514" s="49"/>
      <c r="D514" s="71" t="s">
        <v>518</v>
      </c>
      <c r="E514" s="72">
        <f>SUM(E510:E513)-IF(D495="сплошная",3,2)</f>
        <v>1.9900000000000002</v>
      </c>
      <c r="F514" s="73"/>
      <c r="G514" s="48"/>
      <c r="H514" s="87"/>
    </row>
    <row r="515" spans="2:27" ht="23.25" x14ac:dyDescent="0.25">
      <c r="B515" s="49"/>
      <c r="C515" s="49"/>
      <c r="D515" s="49"/>
      <c r="E515" s="74"/>
      <c r="F515" s="49"/>
      <c r="G515" s="48"/>
      <c r="H515" s="87"/>
    </row>
    <row r="516" spans="2:27" ht="25.5" x14ac:dyDescent="0.35">
      <c r="B516" s="58"/>
      <c r="C516" s="75" t="s">
        <v>519</v>
      </c>
      <c r="D516" s="307">
        <f>E514*D491</f>
        <v>69368.514500000019</v>
      </c>
      <c r="E516" s="307"/>
      <c r="F516" s="49"/>
      <c r="G516" s="48"/>
      <c r="H516" s="87"/>
    </row>
    <row r="517" spans="2:27" ht="18.75" x14ac:dyDescent="0.3">
      <c r="B517" s="49"/>
      <c r="C517" s="76" t="s">
        <v>520</v>
      </c>
      <c r="D517" s="308">
        <f>D516/D490</f>
        <v>32.473919892515916</v>
      </c>
      <c r="E517" s="308"/>
      <c r="F517" s="49"/>
      <c r="G517" s="49"/>
      <c r="H517" s="94"/>
    </row>
    <row r="520" spans="2:27" ht="60.75" x14ac:dyDescent="0.8">
      <c r="B520" s="330" t="str">
        <f>CONCATENATE("ЛОТ № ",K523)</f>
        <v>ЛОТ № 15</v>
      </c>
      <c r="C520" s="330"/>
      <c r="D520" s="330"/>
      <c r="E520" s="330"/>
      <c r="F520" s="330"/>
      <c r="G520" s="330"/>
      <c r="H520" s="330"/>
    </row>
    <row r="521" spans="2:27" ht="18.75" x14ac:dyDescent="0.25">
      <c r="B521" s="331" t="s">
        <v>492</v>
      </c>
      <c r="C521" s="331"/>
      <c r="D521" s="331"/>
      <c r="E521" s="331"/>
      <c r="F521" s="331"/>
      <c r="G521" s="331"/>
      <c r="H521" s="87"/>
    </row>
    <row r="522" spans="2:27" ht="25.5" x14ac:dyDescent="0.25">
      <c r="B522" s="49"/>
      <c r="C522" s="59" t="s">
        <v>493</v>
      </c>
      <c r="D522" s="60"/>
      <c r="E522" s="49"/>
      <c r="F522" s="49"/>
      <c r="G522" s="48"/>
      <c r="H522" s="87"/>
      <c r="I522" s="88"/>
      <c r="J522" s="88"/>
      <c r="K522" s="88"/>
      <c r="L522" s="88" t="s">
        <v>454</v>
      </c>
      <c r="M522" s="88" t="s">
        <v>444</v>
      </c>
      <c r="N522" s="88" t="s">
        <v>445</v>
      </c>
      <c r="O522" s="88" t="s">
        <v>453</v>
      </c>
      <c r="P522" s="89" t="s">
        <v>446</v>
      </c>
      <c r="Q522" s="88" t="s">
        <v>435</v>
      </c>
      <c r="R522" s="40" t="s">
        <v>447</v>
      </c>
      <c r="S522" s="40" t="s">
        <v>522</v>
      </c>
      <c r="T522" s="88" t="s">
        <v>118</v>
      </c>
      <c r="U522" s="88" t="s">
        <v>500</v>
      </c>
      <c r="V522" s="88" t="s">
        <v>450</v>
      </c>
      <c r="W522" s="40" t="s">
        <v>448</v>
      </c>
      <c r="X522" s="40" t="s">
        <v>449</v>
      </c>
      <c r="Y522" s="88" t="s">
        <v>523</v>
      </c>
      <c r="Z522" s="88"/>
    </row>
    <row r="523" spans="2:27" ht="39.950000000000003" customHeight="1" x14ac:dyDescent="0.25">
      <c r="B523" s="50"/>
      <c r="C523" s="332" t="s">
        <v>494</v>
      </c>
      <c r="D523" s="335" t="s">
        <v>521</v>
      </c>
      <c r="E523" s="336"/>
      <c r="F523" s="336"/>
      <c r="G523" s="337"/>
      <c r="H523" s="90"/>
      <c r="I523" s="88" t="s">
        <v>443</v>
      </c>
      <c r="J523" s="88"/>
      <c r="K523" s="43">
        <f>IF(I523="","",COUNTA(I$5:I523))</f>
        <v>15</v>
      </c>
      <c r="L523" s="95" t="str">
        <f>INDEX('Ведомость расчета мин. платы'!$B$10:$T$209,MATCH(ЛОТЫ!$K523,'Ведомость расчета мин. платы'!$B$10:$B$209,0),2)</f>
        <v>Восходское</v>
      </c>
      <c r="M523" s="95">
        <f>INDEX('Ведомость расчета мин. платы'!$B$10:$T$209,MATCH(ЛОТЫ!$K523,'Ведомость расчета мин. платы'!$B$10:$B$209,0),3)</f>
        <v>40</v>
      </c>
      <c r="N523" s="95">
        <f>INDEX('Ведомость расчета мин. платы'!$B$10:$T$209,MATCH(ЛОТЫ!$K523,'Ведомость расчета мин. платы'!$B$10:$B$209,0),4)</f>
        <v>7</v>
      </c>
      <c r="O523" s="95">
        <f>INDEX('Ведомость расчета мин. платы'!$B$10:$T$209,MATCH(ЛОТЫ!$K523,'Ведомость расчета мин. платы'!$B$10:$B$209,0),5)</f>
        <v>1</v>
      </c>
      <c r="P523" s="89">
        <f>IFERROR(INDEX(Коэффициенты!$G$4:$O$106,MATCH(CONCATENATE($L523,"/",$M523,"/",$N523,"/",$O523),Коэффициенты!$O$4:$O$106,0),1),"")</f>
        <v>3.8</v>
      </c>
      <c r="Q523" s="40">
        <f>IFERROR(INDEX(Коэффициенты!$G$4:$O$106,MATCH(CONCATENATE($L523,"/",$M523,"/",$N523,"/",$O523),Коэффициенты!$O$4:$O$106,0),6),"")</f>
        <v>760.73</v>
      </c>
      <c r="R523" s="40">
        <f>IFERROR(INDEX(Коэффициенты!$G$4:$O$106,MATCH(CONCATENATE($L523,"/",$M523,"/",$N523,"/",$O523),Коэффициенты!$O$4:$O$106,0),2),"")</f>
        <v>15382.509999999998</v>
      </c>
      <c r="S523" s="43" t="str">
        <f>IFERROR(INDEX('Такс. опис.'!$A$5:$BW$50,MATCH(CONCATENATE($L523,"/",$M523,"/",$N523),'Такс. опис.'!$C$5:$C$50,0),26),"")</f>
        <v>8ОС2Б</v>
      </c>
      <c r="T523" s="43" t="str">
        <f>IFERROR(INDEX('Такс. опис.'!$A$5:$BW$50,MATCH(CONCATENATE($L523,"/",$M523,"/",$N523),'Такс. опис.'!$C$5:$C$50,0),47),"")</f>
        <v>Осина</v>
      </c>
      <c r="U523" s="43">
        <f>IFERROR(INDEX('Такс. опис.'!$A$5:$BW$50,MATCH(CONCATENATE($L523,"/",$M523,"/",$N523),'Такс. опис.'!$C$5:$C$50,0),49),"")</f>
        <v>55</v>
      </c>
      <c r="V523" s="103">
        <f>IFERROR(INDEX('Ведомость расчета мин. платы'!$AC$10:$AD$214,MATCH(CONCATENATE($L523,"/",$M523,"/",$N523,"/",$O523),'Ведомость расчета мин. платы'!$AC$10:$AC$214,0),2),"")</f>
        <v>0.96</v>
      </c>
      <c r="W523" s="40">
        <f>E551</f>
        <v>1.8600000000000003</v>
      </c>
      <c r="X523" s="40">
        <f>D553</f>
        <v>28611.4686</v>
      </c>
      <c r="Y523" s="91">
        <f>D554</f>
        <v>37.610543293941348</v>
      </c>
      <c r="Z523" s="88"/>
      <c r="AA523" s="86">
        <f t="shared" ref="AA523:AA560" si="22">IF(M523&gt;0,1,0)</f>
        <v>1</v>
      </c>
    </row>
    <row r="524" spans="2:27" ht="19.5" x14ac:dyDescent="0.25">
      <c r="B524" s="50"/>
      <c r="C524" s="333"/>
      <c r="D524" s="338" t="str">
        <f>CONCATENATE(L523, " участковое лесничество")</f>
        <v>Восходское участковое лесничество</v>
      </c>
      <c r="E524" s="338"/>
      <c r="F524" s="338"/>
      <c r="G524" s="338"/>
      <c r="H524" s="90"/>
      <c r="I524" s="88"/>
      <c r="J524" s="88">
        <f>IFERROR(IF(ISBLANK(K523),"",K523),"")</f>
        <v>15</v>
      </c>
      <c r="K524" s="88"/>
      <c r="L524" s="88"/>
      <c r="M524" s="88"/>
      <c r="N524" s="88"/>
      <c r="O524" s="88"/>
      <c r="P524" s="88"/>
      <c r="Q524" s="88"/>
      <c r="R524" s="88"/>
      <c r="S524" s="88"/>
      <c r="T524" s="88"/>
      <c r="U524" s="88"/>
      <c r="V524" s="88"/>
      <c r="W524" s="88"/>
      <c r="X524" s="88"/>
      <c r="Y524" s="88"/>
      <c r="Z524" s="88"/>
    </row>
    <row r="525" spans="2:27" ht="19.5" x14ac:dyDescent="0.25">
      <c r="B525" s="50"/>
      <c r="C525" s="334"/>
      <c r="D525" s="338" t="str">
        <f>CONCATENATE("кв. ",M523," ","выд."," ",N523," ","делянка", " ",O523)</f>
        <v>кв. 40 выд. 7 делянка 1</v>
      </c>
      <c r="E525" s="338"/>
      <c r="F525" s="338"/>
      <c r="G525" s="338"/>
      <c r="H525" s="90"/>
      <c r="I525" s="88"/>
      <c r="J525" s="88"/>
      <c r="K525" s="88"/>
      <c r="L525" s="88"/>
      <c r="M525" s="88"/>
      <c r="N525" s="88"/>
      <c r="O525" s="88"/>
      <c r="P525" s="88"/>
      <c r="Q525" s="88"/>
      <c r="R525" s="88"/>
      <c r="S525" s="88"/>
      <c r="T525" s="88"/>
      <c r="U525" s="88"/>
      <c r="V525" s="88"/>
      <c r="W525" s="88"/>
      <c r="X525" s="88"/>
      <c r="Y525" s="88"/>
      <c r="Z525" s="88"/>
    </row>
    <row r="526" spans="2:27" ht="23.25" x14ac:dyDescent="0.25">
      <c r="B526" s="49"/>
      <c r="C526" s="61" t="s">
        <v>495</v>
      </c>
      <c r="D526" s="51">
        <f>P523</f>
        <v>3.8</v>
      </c>
      <c r="E526" s="62"/>
      <c r="F526" s="50"/>
      <c r="G526" s="48"/>
      <c r="H526" s="87"/>
    </row>
    <row r="527" spans="2:27" ht="22.5" x14ac:dyDescent="0.25">
      <c r="B527" s="49"/>
      <c r="C527" s="63" t="s">
        <v>496</v>
      </c>
      <c r="D527" s="106">
        <f>Q523</f>
        <v>760.73</v>
      </c>
      <c r="E527" s="309" t="s">
        <v>497</v>
      </c>
      <c r="F527" s="310"/>
      <c r="G527" s="313">
        <f>D528/D527</f>
        <v>20.220722201043731</v>
      </c>
      <c r="H527" s="87"/>
    </row>
    <row r="528" spans="2:27" ht="22.5" x14ac:dyDescent="0.25">
      <c r="B528" s="49"/>
      <c r="C528" s="63" t="s">
        <v>498</v>
      </c>
      <c r="D528" s="52">
        <f>R523</f>
        <v>15382.509999999998</v>
      </c>
      <c r="E528" s="311"/>
      <c r="F528" s="312"/>
      <c r="G528" s="314"/>
      <c r="H528" s="87"/>
    </row>
    <row r="529" spans="2:8" ht="23.25" x14ac:dyDescent="0.25">
      <c r="B529" s="49"/>
      <c r="C529" s="64"/>
      <c r="D529" s="53"/>
      <c r="E529" s="65"/>
      <c r="F529" s="49"/>
      <c r="G529" s="48"/>
      <c r="H529" s="87"/>
    </row>
    <row r="530" spans="2:8" ht="23.25" x14ac:dyDescent="0.25">
      <c r="B530" s="49"/>
      <c r="C530" s="82" t="s">
        <v>499</v>
      </c>
      <c r="D530" s="96" t="str">
        <f>S523</f>
        <v>8ОС2Б</v>
      </c>
      <c r="E530" s="49"/>
      <c r="F530" s="49"/>
      <c r="G530" s="48"/>
      <c r="H530" s="87"/>
    </row>
    <row r="531" spans="2:8" ht="23.25" x14ac:dyDescent="0.25">
      <c r="B531" s="49"/>
      <c r="C531" s="82" t="s">
        <v>500</v>
      </c>
      <c r="D531" s="96">
        <f>U523</f>
        <v>55</v>
      </c>
      <c r="E531" s="49"/>
      <c r="F531" s="49"/>
      <c r="G531" s="48"/>
      <c r="H531" s="87"/>
    </row>
    <row r="532" spans="2:8" ht="23.25" x14ac:dyDescent="0.25">
      <c r="B532" s="49"/>
      <c r="C532" s="82" t="s">
        <v>501</v>
      </c>
      <c r="D532" s="83" t="s">
        <v>502</v>
      </c>
      <c r="E532" s="49"/>
      <c r="F532" s="49"/>
      <c r="G532" s="48"/>
      <c r="H532" s="87"/>
    </row>
    <row r="533" spans="2:8" ht="24" thickBot="1" x14ac:dyDescent="0.3">
      <c r="B533" s="49"/>
      <c r="C533" s="49"/>
      <c r="D533" s="49"/>
      <c r="E533" s="49"/>
      <c r="F533" s="49"/>
      <c r="G533" s="48"/>
      <c r="H533" s="87"/>
    </row>
    <row r="534" spans="2:8" ht="48" thickBot="1" x14ac:dyDescent="0.3">
      <c r="B534" s="315" t="s">
        <v>436</v>
      </c>
      <c r="C534" s="316"/>
      <c r="D534" s="54" t="s">
        <v>503</v>
      </c>
      <c r="E534" s="317" t="s">
        <v>504</v>
      </c>
      <c r="F534" s="318"/>
      <c r="G534" s="55" t="s">
        <v>505</v>
      </c>
      <c r="H534" s="87"/>
    </row>
    <row r="535" spans="2:8" ht="24" thickBot="1" x14ac:dyDescent="0.3">
      <c r="B535" s="319" t="s">
        <v>506</v>
      </c>
      <c r="C535" s="320"/>
      <c r="D535" s="136">
        <v>197.93</v>
      </c>
      <c r="E535" s="136">
        <f>D526</f>
        <v>3.8</v>
      </c>
      <c r="F535" s="77" t="s">
        <v>434</v>
      </c>
      <c r="G535" s="142">
        <f t="shared" ref="G535:G542" si="23">D535*E535</f>
        <v>752.13400000000001</v>
      </c>
      <c r="H535" s="321"/>
    </row>
    <row r="536" spans="2:8" ht="23.25" x14ac:dyDescent="0.25">
      <c r="B536" s="322" t="s">
        <v>507</v>
      </c>
      <c r="C536" s="323"/>
      <c r="D536" s="137">
        <v>159.44</v>
      </c>
      <c r="E536" s="137">
        <f>V523</f>
        <v>0.96</v>
      </c>
      <c r="F536" s="78" t="s">
        <v>437</v>
      </c>
      <c r="G536" s="143">
        <f t="shared" si="23"/>
        <v>153.0624</v>
      </c>
      <c r="H536" s="321"/>
    </row>
    <row r="537" spans="2:8" ht="24" thickBot="1" x14ac:dyDescent="0.3">
      <c r="B537" s="324" t="s">
        <v>508</v>
      </c>
      <c r="C537" s="325"/>
      <c r="D537" s="138">
        <v>276.62</v>
      </c>
      <c r="E537" s="138">
        <f>V523</f>
        <v>0.96</v>
      </c>
      <c r="F537" s="79" t="s">
        <v>437</v>
      </c>
      <c r="G537" s="144">
        <f t="shared" si="23"/>
        <v>265.55520000000001</v>
      </c>
      <c r="H537" s="321"/>
    </row>
    <row r="538" spans="2:8" ht="24" thickBot="1" x14ac:dyDescent="0.3">
      <c r="B538" s="326" t="s">
        <v>438</v>
      </c>
      <c r="C538" s="327"/>
      <c r="D538" s="139">
        <v>519</v>
      </c>
      <c r="E538" s="139"/>
      <c r="F538" s="80" t="s">
        <v>434</v>
      </c>
      <c r="G538" s="145">
        <f t="shared" si="23"/>
        <v>0</v>
      </c>
      <c r="H538" s="321"/>
    </row>
    <row r="539" spans="2:8" ht="23.25" x14ac:dyDescent="0.25">
      <c r="B539" s="322" t="s">
        <v>509</v>
      </c>
      <c r="C539" s="323"/>
      <c r="D539" s="137">
        <v>920</v>
      </c>
      <c r="E539" s="137">
        <f>D526*2</f>
        <v>7.6</v>
      </c>
      <c r="F539" s="78" t="s">
        <v>434</v>
      </c>
      <c r="G539" s="143">
        <f t="shared" si="23"/>
        <v>6992</v>
      </c>
      <c r="H539" s="321"/>
    </row>
    <row r="540" spans="2:8" ht="23.25" x14ac:dyDescent="0.25">
      <c r="B540" s="328" t="s">
        <v>510</v>
      </c>
      <c r="C540" s="329"/>
      <c r="D540" s="140">
        <v>1300</v>
      </c>
      <c r="E540" s="140">
        <f>IF(T523="Осина",D526,"0")</f>
        <v>3.8</v>
      </c>
      <c r="F540" s="81" t="s">
        <v>434</v>
      </c>
      <c r="G540" s="146">
        <f t="shared" si="23"/>
        <v>4940</v>
      </c>
      <c r="H540" s="321"/>
    </row>
    <row r="541" spans="2:8" ht="23.25" x14ac:dyDescent="0.25">
      <c r="B541" s="328" t="s">
        <v>439</v>
      </c>
      <c r="C541" s="329"/>
      <c r="D541" s="141">
        <v>5165.12</v>
      </c>
      <c r="E541" s="140" t="str">
        <f>IF(T523="Осина","0",D526)</f>
        <v>0</v>
      </c>
      <c r="F541" s="81" t="s">
        <v>434</v>
      </c>
      <c r="G541" s="146">
        <f t="shared" si="23"/>
        <v>0</v>
      </c>
      <c r="H541" s="321"/>
    </row>
    <row r="542" spans="2:8" ht="23.25" x14ac:dyDescent="0.25">
      <c r="B542" s="328" t="s">
        <v>511</v>
      </c>
      <c r="C542" s="329"/>
      <c r="D542" s="141">
        <v>917</v>
      </c>
      <c r="E542" s="140" t="str">
        <f>IF(T523="Осина","0",D526)</f>
        <v>0</v>
      </c>
      <c r="F542" s="81" t="s">
        <v>434</v>
      </c>
      <c r="G542" s="146">
        <f t="shared" si="23"/>
        <v>0</v>
      </c>
      <c r="H542" s="321"/>
    </row>
    <row r="543" spans="2:8" ht="23.25" x14ac:dyDescent="0.25">
      <c r="B543" s="328" t="s">
        <v>441</v>
      </c>
      <c r="C543" s="329"/>
      <c r="D543" s="141">
        <v>461.56000000000006</v>
      </c>
      <c r="E543" s="140" t="str">
        <f>IF(T523="Осина","0",D526)</f>
        <v>0</v>
      </c>
      <c r="F543" s="81" t="s">
        <v>434</v>
      </c>
      <c r="G543" s="146">
        <f>D543*E543</f>
        <v>0</v>
      </c>
      <c r="H543" s="321"/>
    </row>
    <row r="544" spans="2:8" ht="24" thickBot="1" x14ac:dyDescent="0.3">
      <c r="B544" s="324" t="s">
        <v>440</v>
      </c>
      <c r="C544" s="325"/>
      <c r="D544" s="138">
        <v>353.15</v>
      </c>
      <c r="E544" s="140" t="str">
        <f>IF(T523="Осина","0",D526*4)</f>
        <v>0</v>
      </c>
      <c r="F544" s="79" t="s">
        <v>434</v>
      </c>
      <c r="G544" s="147">
        <f>D544*E544</f>
        <v>0</v>
      </c>
      <c r="H544" s="321"/>
    </row>
    <row r="545" spans="2:27" ht="23.25" x14ac:dyDescent="0.25">
      <c r="B545" s="49"/>
      <c r="C545" s="66"/>
      <c r="D545" s="66"/>
      <c r="E545" s="56"/>
      <c r="F545" s="56"/>
      <c r="G545" s="48"/>
      <c r="H545" s="92"/>
    </row>
    <row r="546" spans="2:27" ht="25.5" x14ac:dyDescent="0.25">
      <c r="B546" s="49"/>
      <c r="C546" s="59" t="s">
        <v>512</v>
      </c>
      <c r="D546" s="60"/>
      <c r="E546" s="49"/>
      <c r="F546" s="49"/>
      <c r="G546" s="48"/>
      <c r="H546" s="87"/>
    </row>
    <row r="547" spans="2:27" ht="18.75" x14ac:dyDescent="0.25">
      <c r="B547" s="49"/>
      <c r="C547" s="306" t="s">
        <v>513</v>
      </c>
      <c r="D547" s="84" t="s">
        <v>514</v>
      </c>
      <c r="E547" s="68">
        <f>ROUND((G535+D528)/D528,2)</f>
        <v>1.05</v>
      </c>
      <c r="F547" s="68"/>
      <c r="G547" s="50"/>
      <c r="H547" s="87"/>
    </row>
    <row r="548" spans="2:27" ht="23.25" x14ac:dyDescent="0.25">
      <c r="B548" s="49"/>
      <c r="C548" s="306"/>
      <c r="D548" s="84" t="s">
        <v>515</v>
      </c>
      <c r="E548" s="68">
        <f>ROUND((G536+G537+D528)/D528,2)</f>
        <v>1.03</v>
      </c>
      <c r="F548" s="68"/>
      <c r="G548" s="57"/>
      <c r="H548" s="93"/>
    </row>
    <row r="549" spans="2:27" ht="23.25" x14ac:dyDescent="0.25">
      <c r="B549" s="49"/>
      <c r="C549" s="306"/>
      <c r="D549" s="84" t="s">
        <v>516</v>
      </c>
      <c r="E549" s="68">
        <f>ROUND((G538+D528)/D528,2)</f>
        <v>1</v>
      </c>
      <c r="F549" s="50"/>
      <c r="G549" s="57"/>
      <c r="H549" s="87"/>
    </row>
    <row r="550" spans="2:27" ht="23.25" x14ac:dyDescent="0.25">
      <c r="B550" s="49"/>
      <c r="C550" s="306"/>
      <c r="D550" s="69" t="s">
        <v>517</v>
      </c>
      <c r="E550" s="70">
        <f>ROUND((SUM(G539:G544)+D528)/D528,2)</f>
        <v>1.78</v>
      </c>
      <c r="F550" s="50"/>
      <c r="G550" s="57"/>
      <c r="H550" s="87"/>
    </row>
    <row r="551" spans="2:27" ht="25.5" x14ac:dyDescent="0.25">
      <c r="B551" s="49"/>
      <c r="C551" s="49"/>
      <c r="D551" s="71" t="s">
        <v>518</v>
      </c>
      <c r="E551" s="72">
        <f>SUM(E547:E550)-IF(D532="сплошная",3,2)</f>
        <v>1.8600000000000003</v>
      </c>
      <c r="F551" s="73"/>
      <c r="G551" s="48"/>
      <c r="H551" s="87"/>
    </row>
    <row r="552" spans="2:27" ht="23.25" x14ac:dyDescent="0.25">
      <c r="B552" s="49"/>
      <c r="C552" s="49"/>
      <c r="D552" s="49"/>
      <c r="E552" s="74"/>
      <c r="F552" s="49"/>
      <c r="G552" s="48"/>
      <c r="H552" s="87"/>
    </row>
    <row r="553" spans="2:27" ht="25.5" x14ac:dyDescent="0.35">
      <c r="B553" s="58"/>
      <c r="C553" s="75" t="s">
        <v>519</v>
      </c>
      <c r="D553" s="307">
        <f>E551*D528</f>
        <v>28611.4686</v>
      </c>
      <c r="E553" s="307"/>
      <c r="F553" s="49"/>
      <c r="G553" s="48"/>
      <c r="H553" s="87"/>
    </row>
    <row r="554" spans="2:27" ht="18.75" x14ac:dyDescent="0.3">
      <c r="B554" s="49"/>
      <c r="C554" s="76" t="s">
        <v>520</v>
      </c>
      <c r="D554" s="308">
        <f>D553/D527</f>
        <v>37.610543293941348</v>
      </c>
      <c r="E554" s="308"/>
      <c r="F554" s="49"/>
      <c r="G554" s="49"/>
      <c r="H554" s="94"/>
    </row>
    <row r="557" spans="2:27" ht="60.75" x14ac:dyDescent="0.8">
      <c r="B557" s="330" t="str">
        <f>CONCATENATE("ЛОТ № ",K560)</f>
        <v>ЛОТ № 16</v>
      </c>
      <c r="C557" s="330"/>
      <c r="D557" s="330"/>
      <c r="E557" s="330"/>
      <c r="F557" s="330"/>
      <c r="G557" s="330"/>
      <c r="H557" s="330"/>
    </row>
    <row r="558" spans="2:27" ht="18.75" x14ac:dyDescent="0.25">
      <c r="B558" s="331" t="s">
        <v>492</v>
      </c>
      <c r="C558" s="331"/>
      <c r="D558" s="331"/>
      <c r="E558" s="331"/>
      <c r="F558" s="331"/>
      <c r="G558" s="331"/>
      <c r="H558" s="87"/>
    </row>
    <row r="559" spans="2:27" ht="25.5" x14ac:dyDescent="0.25">
      <c r="B559" s="49"/>
      <c r="C559" s="59" t="s">
        <v>493</v>
      </c>
      <c r="D559" s="60"/>
      <c r="E559" s="49"/>
      <c r="F559" s="49"/>
      <c r="G559" s="48"/>
      <c r="H559" s="87"/>
      <c r="I559" s="88"/>
      <c r="J559" s="88"/>
      <c r="K559" s="88"/>
      <c r="L559" s="88" t="s">
        <v>454</v>
      </c>
      <c r="M559" s="88" t="s">
        <v>444</v>
      </c>
      <c r="N559" s="88" t="s">
        <v>445</v>
      </c>
      <c r="O559" s="88" t="s">
        <v>453</v>
      </c>
      <c r="P559" s="89" t="s">
        <v>446</v>
      </c>
      <c r="Q559" s="88" t="s">
        <v>435</v>
      </c>
      <c r="R559" s="40" t="s">
        <v>447</v>
      </c>
      <c r="S559" s="40" t="s">
        <v>522</v>
      </c>
      <c r="T559" s="88" t="s">
        <v>118</v>
      </c>
      <c r="U559" s="88" t="s">
        <v>500</v>
      </c>
      <c r="V559" s="88" t="s">
        <v>450</v>
      </c>
      <c r="W559" s="40" t="s">
        <v>448</v>
      </c>
      <c r="X559" s="40" t="s">
        <v>449</v>
      </c>
      <c r="Y559" s="88" t="s">
        <v>523</v>
      </c>
      <c r="Z559" s="88"/>
    </row>
    <row r="560" spans="2:27" ht="39.950000000000003" customHeight="1" x14ac:dyDescent="0.25">
      <c r="B560" s="50"/>
      <c r="C560" s="332" t="s">
        <v>494</v>
      </c>
      <c r="D560" s="335" t="s">
        <v>521</v>
      </c>
      <c r="E560" s="336"/>
      <c r="F560" s="336"/>
      <c r="G560" s="337"/>
      <c r="H560" s="90"/>
      <c r="I560" s="88" t="s">
        <v>443</v>
      </c>
      <c r="J560" s="88"/>
      <c r="K560" s="43">
        <f>IF(I560="","",COUNTA(I$5:I560))</f>
        <v>16</v>
      </c>
      <c r="L560" s="95" t="str">
        <f>INDEX('Ведомость расчета мин. платы'!$B$10:$T$209,MATCH(ЛОТЫ!$K560,'Ведомость расчета мин. платы'!$B$10:$B$209,0),2)</f>
        <v>Восходское</v>
      </c>
      <c r="M560" s="95">
        <f>INDEX('Ведомость расчета мин. платы'!$B$10:$T$209,MATCH(ЛОТЫ!$K560,'Ведомость расчета мин. платы'!$B$10:$B$209,0),3)</f>
        <v>41</v>
      </c>
      <c r="N560" s="95">
        <f>INDEX('Ведомость расчета мин. платы'!$B$10:$T$209,MATCH(ЛОТЫ!$K560,'Ведомость расчета мин. платы'!$B$10:$B$209,0),4)</f>
        <v>7</v>
      </c>
      <c r="O560" s="95">
        <f>INDEX('Ведомость расчета мин. платы'!$B$10:$T$209,MATCH(ЛОТЫ!$K560,'Ведомость расчета мин. платы'!$B$10:$B$209,0),5)</f>
        <v>1</v>
      </c>
      <c r="P560" s="89">
        <f>IFERROR(INDEX(Коэффициенты!$G$4:$O$106,MATCH(CONCATENATE($L560,"/",$M560,"/",$N560,"/",$O560),Коэффициенты!$O$4:$O$106,0),1),"")</f>
        <v>7.2</v>
      </c>
      <c r="Q560" s="40">
        <f>IFERROR(INDEX(Коэффициенты!$G$4:$O$106,MATCH(CONCATENATE($L560,"/",$M560,"/",$N560,"/",$O560),Коэффициенты!$O$4:$O$106,0),6),"")</f>
        <v>1272.68</v>
      </c>
      <c r="R560" s="40">
        <f>IFERROR(INDEX(Коэффициенты!$G$4:$O$106,MATCH(CONCATENATE($L560,"/",$M560,"/",$N560,"/",$O560),Коэффициенты!$O$4:$O$106,0),2),"")</f>
        <v>20466.559999999998</v>
      </c>
      <c r="S560" s="43" t="str">
        <f>IFERROR(INDEX('Такс. опис.'!$A$5:$BW$50,MATCH(CONCATENATE($L560,"/",$M560,"/",$N560),'Такс. опис.'!$C$5:$C$50,0),26),"")</f>
        <v>9ОС1Б+ЛП</v>
      </c>
      <c r="T560" s="43" t="str">
        <f>IFERROR(INDEX('Такс. опис.'!$A$5:$BW$50,MATCH(CONCATENATE($L560,"/",$M560,"/",$N560),'Такс. опис.'!$C$5:$C$50,0),47),"")</f>
        <v>Осина</v>
      </c>
      <c r="U560" s="43">
        <f>IFERROR(INDEX('Такс. опис.'!$A$5:$BW$50,MATCH(CONCATENATE($L560,"/",$M560,"/",$N560),'Такс. опис.'!$C$5:$C$50,0),49),"")</f>
        <v>50</v>
      </c>
      <c r="V560" s="103">
        <f>IFERROR(INDEX('Ведомость расчета мин. платы'!$AC$10:$AD$214,MATCH(CONCATENATE($L560,"/",$M560,"/",$N560,"/",$O560),'Ведомость расчета мин. платы'!$AC$10:$AC$214,0),2),"")</f>
        <v>1.64</v>
      </c>
      <c r="W560" s="40">
        <f>E588</f>
        <v>2.2000000000000002</v>
      </c>
      <c r="X560" s="40">
        <f>D590</f>
        <v>45026.432000000001</v>
      </c>
      <c r="Y560" s="91">
        <f>D591</f>
        <v>35.379224942640725</v>
      </c>
      <c r="Z560" s="88"/>
      <c r="AA560" s="86">
        <f t="shared" si="22"/>
        <v>1</v>
      </c>
    </row>
    <row r="561" spans="2:26" ht="19.5" x14ac:dyDescent="0.25">
      <c r="B561" s="50"/>
      <c r="C561" s="333"/>
      <c r="D561" s="338" t="str">
        <f>CONCATENATE(L560, " участковое лесничество")</f>
        <v>Восходское участковое лесничество</v>
      </c>
      <c r="E561" s="338"/>
      <c r="F561" s="338"/>
      <c r="G561" s="338"/>
      <c r="H561" s="90"/>
      <c r="I561" s="88"/>
      <c r="J561" s="88">
        <f>IFERROR(IF(ISBLANK(K560),"",K560),"")</f>
        <v>16</v>
      </c>
      <c r="K561" s="88"/>
      <c r="L561" s="88"/>
      <c r="M561" s="88"/>
      <c r="N561" s="88"/>
      <c r="O561" s="88"/>
      <c r="P561" s="88"/>
      <c r="Q561" s="88"/>
      <c r="R561" s="88"/>
      <c r="S561" s="88"/>
      <c r="T561" s="88"/>
      <c r="U561" s="88"/>
      <c r="V561" s="88"/>
      <c r="W561" s="88"/>
      <c r="X561" s="88"/>
      <c r="Y561" s="88"/>
      <c r="Z561" s="88"/>
    </row>
    <row r="562" spans="2:26" ht="19.5" x14ac:dyDescent="0.25">
      <c r="B562" s="50"/>
      <c r="C562" s="334"/>
      <c r="D562" s="338" t="str">
        <f>CONCATENATE("кв. ",M560," ","выд."," ",N560," ","делянка", " ",O560)</f>
        <v>кв. 41 выд. 7 делянка 1</v>
      </c>
      <c r="E562" s="338"/>
      <c r="F562" s="338"/>
      <c r="G562" s="338"/>
      <c r="H562" s="90"/>
      <c r="I562" s="88"/>
      <c r="J562" s="88"/>
      <c r="K562" s="88"/>
      <c r="L562" s="88"/>
      <c r="M562" s="88"/>
      <c r="N562" s="88"/>
      <c r="O562" s="88"/>
      <c r="P562" s="88"/>
      <c r="Q562" s="88"/>
      <c r="R562" s="88"/>
      <c r="S562" s="88"/>
      <c r="T562" s="88"/>
      <c r="U562" s="88"/>
      <c r="V562" s="88"/>
      <c r="W562" s="88"/>
      <c r="X562" s="88"/>
      <c r="Y562" s="88"/>
      <c r="Z562" s="88"/>
    </row>
    <row r="563" spans="2:26" ht="23.25" x14ac:dyDescent="0.25">
      <c r="B563" s="49"/>
      <c r="C563" s="61" t="s">
        <v>495</v>
      </c>
      <c r="D563" s="51">
        <f>P560</f>
        <v>7.2</v>
      </c>
      <c r="E563" s="62"/>
      <c r="F563" s="50"/>
      <c r="G563" s="48"/>
      <c r="H563" s="87"/>
    </row>
    <row r="564" spans="2:26" ht="22.5" x14ac:dyDescent="0.25">
      <c r="B564" s="49"/>
      <c r="C564" s="63" t="s">
        <v>496</v>
      </c>
      <c r="D564" s="106">
        <f>Q560</f>
        <v>1272.68</v>
      </c>
      <c r="E564" s="309" t="s">
        <v>497</v>
      </c>
      <c r="F564" s="310"/>
      <c r="G564" s="313">
        <f>D565/D564</f>
        <v>16.08146588301851</v>
      </c>
      <c r="H564" s="87"/>
    </row>
    <row r="565" spans="2:26" ht="22.5" x14ac:dyDescent="0.25">
      <c r="B565" s="49"/>
      <c r="C565" s="63" t="s">
        <v>498</v>
      </c>
      <c r="D565" s="52">
        <f>R560</f>
        <v>20466.559999999998</v>
      </c>
      <c r="E565" s="311"/>
      <c r="F565" s="312"/>
      <c r="G565" s="314"/>
      <c r="H565" s="87"/>
    </row>
    <row r="566" spans="2:26" ht="23.25" x14ac:dyDescent="0.25">
      <c r="B566" s="49"/>
      <c r="C566" s="64"/>
      <c r="D566" s="53"/>
      <c r="E566" s="65"/>
      <c r="F566" s="49"/>
      <c r="G566" s="48"/>
      <c r="H566" s="87"/>
    </row>
    <row r="567" spans="2:26" ht="23.25" x14ac:dyDescent="0.25">
      <c r="B567" s="49"/>
      <c r="C567" s="82" t="s">
        <v>499</v>
      </c>
      <c r="D567" s="96" t="str">
        <f>S560</f>
        <v>9ОС1Б+ЛП</v>
      </c>
      <c r="E567" s="49"/>
      <c r="F567" s="49"/>
      <c r="G567" s="48"/>
      <c r="H567" s="87"/>
    </row>
    <row r="568" spans="2:26" ht="23.25" x14ac:dyDescent="0.25">
      <c r="B568" s="49"/>
      <c r="C568" s="82" t="s">
        <v>500</v>
      </c>
      <c r="D568" s="96">
        <f>U560</f>
        <v>50</v>
      </c>
      <c r="E568" s="49"/>
      <c r="F568" s="49"/>
      <c r="G568" s="48"/>
      <c r="H568" s="87"/>
    </row>
    <row r="569" spans="2:26" ht="23.25" x14ac:dyDescent="0.25">
      <c r="B569" s="49"/>
      <c r="C569" s="82" t="s">
        <v>501</v>
      </c>
      <c r="D569" s="83" t="s">
        <v>502</v>
      </c>
      <c r="E569" s="49"/>
      <c r="F569" s="49"/>
      <c r="G569" s="48"/>
      <c r="H569" s="87"/>
    </row>
    <row r="570" spans="2:26" ht="24" thickBot="1" x14ac:dyDescent="0.3">
      <c r="B570" s="49"/>
      <c r="C570" s="49"/>
      <c r="D570" s="49"/>
      <c r="E570" s="49"/>
      <c r="F570" s="49"/>
      <c r="G570" s="48"/>
      <c r="H570" s="87"/>
    </row>
    <row r="571" spans="2:26" ht="48" thickBot="1" x14ac:dyDescent="0.3">
      <c r="B571" s="315" t="s">
        <v>436</v>
      </c>
      <c r="C571" s="316"/>
      <c r="D571" s="54" t="s">
        <v>503</v>
      </c>
      <c r="E571" s="317" t="s">
        <v>504</v>
      </c>
      <c r="F571" s="318"/>
      <c r="G571" s="55" t="s">
        <v>505</v>
      </c>
      <c r="H571" s="87"/>
    </row>
    <row r="572" spans="2:26" ht="24" thickBot="1" x14ac:dyDescent="0.3">
      <c r="B572" s="319" t="s">
        <v>506</v>
      </c>
      <c r="C572" s="320"/>
      <c r="D572" s="136">
        <v>197.93</v>
      </c>
      <c r="E572" s="136">
        <f>D563</f>
        <v>7.2</v>
      </c>
      <c r="F572" s="77" t="s">
        <v>434</v>
      </c>
      <c r="G572" s="142">
        <f t="shared" ref="G572:G579" si="24">D572*E572</f>
        <v>1425.096</v>
      </c>
      <c r="H572" s="321"/>
    </row>
    <row r="573" spans="2:26" ht="23.25" x14ac:dyDescent="0.25">
      <c r="B573" s="322" t="s">
        <v>507</v>
      </c>
      <c r="C573" s="323"/>
      <c r="D573" s="137">
        <v>159.44</v>
      </c>
      <c r="E573" s="137">
        <f>V560</f>
        <v>1.64</v>
      </c>
      <c r="F573" s="78" t="s">
        <v>437</v>
      </c>
      <c r="G573" s="143">
        <f t="shared" si="24"/>
        <v>261.48159999999996</v>
      </c>
      <c r="H573" s="321"/>
    </row>
    <row r="574" spans="2:26" ht="24" thickBot="1" x14ac:dyDescent="0.3">
      <c r="B574" s="324" t="s">
        <v>508</v>
      </c>
      <c r="C574" s="325"/>
      <c r="D574" s="138">
        <v>276.62</v>
      </c>
      <c r="E574" s="138">
        <f>V560</f>
        <v>1.64</v>
      </c>
      <c r="F574" s="79" t="s">
        <v>437</v>
      </c>
      <c r="G574" s="144">
        <f t="shared" si="24"/>
        <v>453.65679999999998</v>
      </c>
      <c r="H574" s="321"/>
    </row>
    <row r="575" spans="2:26" ht="24" thickBot="1" x14ac:dyDescent="0.3">
      <c r="B575" s="326" t="s">
        <v>438</v>
      </c>
      <c r="C575" s="327"/>
      <c r="D575" s="139">
        <v>519</v>
      </c>
      <c r="E575" s="139"/>
      <c r="F575" s="80" t="s">
        <v>434</v>
      </c>
      <c r="G575" s="145">
        <f t="shared" si="24"/>
        <v>0</v>
      </c>
      <c r="H575" s="321"/>
    </row>
    <row r="576" spans="2:26" ht="23.25" x14ac:dyDescent="0.25">
      <c r="B576" s="322" t="s">
        <v>509</v>
      </c>
      <c r="C576" s="323"/>
      <c r="D576" s="137">
        <v>920</v>
      </c>
      <c r="E576" s="137">
        <f>D563*2</f>
        <v>14.4</v>
      </c>
      <c r="F576" s="78" t="s">
        <v>434</v>
      </c>
      <c r="G576" s="143">
        <f t="shared" si="24"/>
        <v>13248</v>
      </c>
      <c r="H576" s="321"/>
    </row>
    <row r="577" spans="2:8" ht="23.25" x14ac:dyDescent="0.25">
      <c r="B577" s="328" t="s">
        <v>510</v>
      </c>
      <c r="C577" s="329"/>
      <c r="D577" s="140">
        <v>1300</v>
      </c>
      <c r="E577" s="140">
        <f>IF(T560="Осина",D563,"0")</f>
        <v>7.2</v>
      </c>
      <c r="F577" s="81" t="s">
        <v>434</v>
      </c>
      <c r="G577" s="146">
        <f t="shared" si="24"/>
        <v>9360</v>
      </c>
      <c r="H577" s="321"/>
    </row>
    <row r="578" spans="2:8" ht="23.25" x14ac:dyDescent="0.25">
      <c r="B578" s="328" t="s">
        <v>439</v>
      </c>
      <c r="C578" s="329"/>
      <c r="D578" s="141">
        <v>5165.12</v>
      </c>
      <c r="E578" s="140" t="str">
        <f>IF(T560="Осина","0",D563)</f>
        <v>0</v>
      </c>
      <c r="F578" s="81" t="s">
        <v>434</v>
      </c>
      <c r="G578" s="146">
        <f t="shared" si="24"/>
        <v>0</v>
      </c>
      <c r="H578" s="321"/>
    </row>
    <row r="579" spans="2:8" ht="23.25" x14ac:dyDescent="0.25">
      <c r="B579" s="328" t="s">
        <v>511</v>
      </c>
      <c r="C579" s="329"/>
      <c r="D579" s="141">
        <v>917</v>
      </c>
      <c r="E579" s="140" t="str">
        <f>IF(T560="Осина","0",D563)</f>
        <v>0</v>
      </c>
      <c r="F579" s="81" t="s">
        <v>434</v>
      </c>
      <c r="G579" s="146">
        <f t="shared" si="24"/>
        <v>0</v>
      </c>
      <c r="H579" s="321"/>
    </row>
    <row r="580" spans="2:8" ht="23.25" x14ac:dyDescent="0.25">
      <c r="B580" s="328" t="s">
        <v>441</v>
      </c>
      <c r="C580" s="329"/>
      <c r="D580" s="141">
        <v>461.56000000000006</v>
      </c>
      <c r="E580" s="140" t="str">
        <f>IF(T560="Осина","0",D563)</f>
        <v>0</v>
      </c>
      <c r="F580" s="81" t="s">
        <v>434</v>
      </c>
      <c r="G580" s="146">
        <f>D580*E580</f>
        <v>0</v>
      </c>
      <c r="H580" s="321"/>
    </row>
    <row r="581" spans="2:8" ht="24" thickBot="1" x14ac:dyDescent="0.3">
      <c r="B581" s="324" t="s">
        <v>440</v>
      </c>
      <c r="C581" s="325"/>
      <c r="D581" s="138">
        <v>353.15</v>
      </c>
      <c r="E581" s="140" t="str">
        <f>IF(T560="Осина","0",D563*4)</f>
        <v>0</v>
      </c>
      <c r="F581" s="79" t="s">
        <v>434</v>
      </c>
      <c r="G581" s="147">
        <f>D581*E581</f>
        <v>0</v>
      </c>
      <c r="H581" s="321"/>
    </row>
    <row r="582" spans="2:8" ht="23.25" x14ac:dyDescent="0.25">
      <c r="B582" s="49"/>
      <c r="C582" s="66"/>
      <c r="D582" s="66"/>
      <c r="E582" s="56"/>
      <c r="F582" s="56"/>
      <c r="G582" s="48"/>
      <c r="H582" s="92"/>
    </row>
    <row r="583" spans="2:8" ht="25.5" x14ac:dyDescent="0.25">
      <c r="B583" s="49"/>
      <c r="C583" s="59" t="s">
        <v>512</v>
      </c>
      <c r="D583" s="60"/>
      <c r="E583" s="49"/>
      <c r="F583" s="49"/>
      <c r="G583" s="48"/>
      <c r="H583" s="87"/>
    </row>
    <row r="584" spans="2:8" ht="18.75" x14ac:dyDescent="0.25">
      <c r="B584" s="49"/>
      <c r="C584" s="306" t="s">
        <v>513</v>
      </c>
      <c r="D584" s="84" t="s">
        <v>514</v>
      </c>
      <c r="E584" s="68">
        <f>ROUND((G572+D565)/D565,2)</f>
        <v>1.07</v>
      </c>
      <c r="F584" s="68"/>
      <c r="G584" s="50"/>
      <c r="H584" s="87"/>
    </row>
    <row r="585" spans="2:8" ht="23.25" x14ac:dyDescent="0.25">
      <c r="B585" s="49"/>
      <c r="C585" s="306"/>
      <c r="D585" s="84" t="s">
        <v>515</v>
      </c>
      <c r="E585" s="68">
        <f>ROUND((G573+G574+D565)/D565,2)</f>
        <v>1.03</v>
      </c>
      <c r="F585" s="68"/>
      <c r="G585" s="57"/>
      <c r="H585" s="93"/>
    </row>
    <row r="586" spans="2:8" ht="23.25" x14ac:dyDescent="0.25">
      <c r="B586" s="49"/>
      <c r="C586" s="306"/>
      <c r="D586" s="84" t="s">
        <v>516</v>
      </c>
      <c r="E586" s="68">
        <f>ROUND((G575+D565)/D565,2)</f>
        <v>1</v>
      </c>
      <c r="F586" s="50"/>
      <c r="G586" s="57"/>
      <c r="H586" s="87"/>
    </row>
    <row r="587" spans="2:8" ht="23.25" x14ac:dyDescent="0.25">
      <c r="B587" s="49"/>
      <c r="C587" s="306"/>
      <c r="D587" s="69" t="s">
        <v>517</v>
      </c>
      <c r="E587" s="70">
        <f>ROUND((SUM(G576:G581)+D565)/D565,2)</f>
        <v>2.1</v>
      </c>
      <c r="F587" s="50"/>
      <c r="G587" s="57"/>
      <c r="H587" s="87"/>
    </row>
    <row r="588" spans="2:8" ht="25.5" x14ac:dyDescent="0.25">
      <c r="B588" s="49"/>
      <c r="C588" s="49"/>
      <c r="D588" s="71" t="s">
        <v>518</v>
      </c>
      <c r="E588" s="72">
        <f>SUM(E584:E587)-IF(D569="сплошная",3,2)</f>
        <v>2.2000000000000002</v>
      </c>
      <c r="F588" s="73"/>
      <c r="G588" s="48"/>
      <c r="H588" s="87"/>
    </row>
    <row r="589" spans="2:8" ht="23.25" x14ac:dyDescent="0.25">
      <c r="B589" s="49"/>
      <c r="C589" s="49"/>
      <c r="D589" s="49"/>
      <c r="E589" s="74"/>
      <c r="F589" s="49"/>
      <c r="G589" s="48"/>
      <c r="H589" s="87"/>
    </row>
    <row r="590" spans="2:8" ht="25.5" x14ac:dyDescent="0.35">
      <c r="B590" s="58"/>
      <c r="C590" s="75" t="s">
        <v>519</v>
      </c>
      <c r="D590" s="307">
        <f>E588*D565</f>
        <v>45026.432000000001</v>
      </c>
      <c r="E590" s="307"/>
      <c r="F590" s="49"/>
      <c r="G590" s="48"/>
      <c r="H590" s="87"/>
    </row>
    <row r="591" spans="2:8" ht="18.75" x14ac:dyDescent="0.3">
      <c r="B591" s="49"/>
      <c r="C591" s="76" t="s">
        <v>520</v>
      </c>
      <c r="D591" s="308">
        <f>D590/D564</f>
        <v>35.379224942640725</v>
      </c>
      <c r="E591" s="308"/>
      <c r="F591" s="49"/>
      <c r="G591" s="49"/>
      <c r="H591" s="94"/>
    </row>
    <row r="594" spans="2:27" ht="60.75" x14ac:dyDescent="0.8">
      <c r="B594" s="330" t="str">
        <f>CONCATENATE("ЛОТ № ",K597)</f>
        <v>ЛОТ № 17</v>
      </c>
      <c r="C594" s="330"/>
      <c r="D594" s="330"/>
      <c r="E594" s="330"/>
      <c r="F594" s="330"/>
      <c r="G594" s="330"/>
      <c r="H594" s="330"/>
    </row>
    <row r="595" spans="2:27" ht="18.75" x14ac:dyDescent="0.25">
      <c r="B595" s="331" t="s">
        <v>492</v>
      </c>
      <c r="C595" s="331"/>
      <c r="D595" s="331"/>
      <c r="E595" s="331"/>
      <c r="F595" s="331"/>
      <c r="G595" s="331"/>
      <c r="H595" s="87"/>
    </row>
    <row r="596" spans="2:27" ht="25.5" x14ac:dyDescent="0.25">
      <c r="B596" s="49"/>
      <c r="C596" s="59" t="s">
        <v>493</v>
      </c>
      <c r="D596" s="60"/>
      <c r="E596" s="49"/>
      <c r="F596" s="49"/>
      <c r="G596" s="48"/>
      <c r="H596" s="87"/>
      <c r="I596" s="88"/>
      <c r="J596" s="88"/>
      <c r="K596" s="88"/>
      <c r="L596" s="88" t="s">
        <v>454</v>
      </c>
      <c r="M596" s="88" t="s">
        <v>444</v>
      </c>
      <c r="N596" s="88" t="s">
        <v>445</v>
      </c>
      <c r="O596" s="88" t="s">
        <v>453</v>
      </c>
      <c r="P596" s="89" t="s">
        <v>446</v>
      </c>
      <c r="Q596" s="88" t="s">
        <v>435</v>
      </c>
      <c r="R596" s="40" t="s">
        <v>447</v>
      </c>
      <c r="S596" s="40" t="s">
        <v>522</v>
      </c>
      <c r="T596" s="88" t="s">
        <v>118</v>
      </c>
      <c r="U596" s="88" t="s">
        <v>500</v>
      </c>
      <c r="V596" s="88" t="s">
        <v>450</v>
      </c>
      <c r="W596" s="40" t="s">
        <v>448</v>
      </c>
      <c r="X596" s="40" t="s">
        <v>449</v>
      </c>
      <c r="Y596" s="88" t="s">
        <v>523</v>
      </c>
      <c r="Z596" s="88"/>
    </row>
    <row r="597" spans="2:27" ht="39.950000000000003" customHeight="1" x14ac:dyDescent="0.25">
      <c r="B597" s="50"/>
      <c r="C597" s="332" t="s">
        <v>494</v>
      </c>
      <c r="D597" s="335" t="s">
        <v>521</v>
      </c>
      <c r="E597" s="336"/>
      <c r="F597" s="336"/>
      <c r="G597" s="337"/>
      <c r="H597" s="90"/>
      <c r="I597" s="88" t="s">
        <v>443</v>
      </c>
      <c r="J597" s="88"/>
      <c r="K597" s="43">
        <f>IF(I597="","",COUNTA(I$5:I597))</f>
        <v>17</v>
      </c>
      <c r="L597" s="95" t="str">
        <f>INDEX('Ведомость расчета мин. платы'!$B$10:$T$209,MATCH(ЛОТЫ!$K597,'Ведомость расчета мин. платы'!$B$10:$B$209,0),2)</f>
        <v>Восходское</v>
      </c>
      <c r="M597" s="95">
        <f>INDEX('Ведомость расчета мин. платы'!$B$10:$T$209,MATCH(ЛОТЫ!$K597,'Ведомость расчета мин. платы'!$B$10:$B$209,0),3)</f>
        <v>42</v>
      </c>
      <c r="N597" s="95">
        <f>INDEX('Ведомость расчета мин. платы'!$B$10:$T$209,MATCH(ЛОТЫ!$K597,'Ведомость расчета мин. платы'!$B$10:$B$209,0),4)</f>
        <v>10</v>
      </c>
      <c r="O597" s="95">
        <f>INDEX('Ведомость расчета мин. платы'!$B$10:$T$209,MATCH(ЛОТЫ!$K597,'Ведомость расчета мин. платы'!$B$10:$B$209,0),5)</f>
        <v>1</v>
      </c>
      <c r="P597" s="89">
        <f>IFERROR(INDEX(Коэффициенты!$G$4:$O$106,MATCH(CONCATENATE($L597,"/",$M597,"/",$N597,"/",$O597),Коэффициенты!$O$4:$O$106,0),1),"")</f>
        <v>4.2</v>
      </c>
      <c r="Q597" s="40">
        <f>IFERROR(INDEX(Коэффициенты!$G$4:$O$106,MATCH(CONCATENATE($L597,"/",$M597,"/",$N597,"/",$O597),Коэффициенты!$O$4:$O$106,0),6),"")</f>
        <v>780.28</v>
      </c>
      <c r="R597" s="40">
        <f>IFERROR(INDEX(Коэффициенты!$G$4:$O$106,MATCH(CONCATENATE($L597,"/",$M597,"/",$N597,"/",$O597),Коэффициенты!$O$4:$O$106,0),2),"")</f>
        <v>13420.579999999998</v>
      </c>
      <c r="S597" s="43" t="str">
        <f>IFERROR(INDEX('Такс. опис.'!$A$5:$BW$50,MATCH(CONCATENATE($L597,"/",$M597,"/",$N597),'Такс. опис.'!$C$5:$C$50,0),26),"")</f>
        <v>9ОС1Б+ЛП</v>
      </c>
      <c r="T597" s="43" t="str">
        <f>IFERROR(INDEX('Такс. опис.'!$A$5:$BW$50,MATCH(CONCATENATE($L597,"/",$M597,"/",$N597),'Такс. опис.'!$C$5:$C$50,0),47),"")</f>
        <v>Осина</v>
      </c>
      <c r="U597" s="43">
        <f>IFERROR(INDEX('Такс. опис.'!$A$5:$BW$50,MATCH(CONCATENATE($L597,"/",$M597,"/",$N597),'Такс. опис.'!$C$5:$C$50,0),49),"")</f>
        <v>50</v>
      </c>
      <c r="V597" s="103">
        <f>IFERROR(INDEX('Ведомость расчета мин. платы'!$AC$10:$AD$214,MATCH(CONCATENATE($L597,"/",$M597,"/",$N597,"/",$O597),'Ведомость расчета мин. платы'!$AC$10:$AC$214,0),2),"")</f>
        <v>1.04</v>
      </c>
      <c r="W597" s="40">
        <f>E625</f>
        <v>2.0700000000000003</v>
      </c>
      <c r="X597" s="40">
        <f>D627</f>
        <v>27780.600600000002</v>
      </c>
      <c r="Y597" s="91">
        <f>D628</f>
        <v>35.603373917055421</v>
      </c>
      <c r="Z597" s="88"/>
      <c r="AA597" s="86">
        <f t="shared" ref="AA597:AA634" si="25">IF(M597&gt;0,1,0)</f>
        <v>1</v>
      </c>
    </row>
    <row r="598" spans="2:27" ht="19.5" x14ac:dyDescent="0.25">
      <c r="B598" s="50"/>
      <c r="C598" s="333"/>
      <c r="D598" s="338" t="str">
        <f>CONCATENATE(L597, " участковое лесничество")</f>
        <v>Восходское участковое лесничество</v>
      </c>
      <c r="E598" s="338"/>
      <c r="F598" s="338"/>
      <c r="G598" s="338"/>
      <c r="H598" s="90"/>
      <c r="I598" s="88"/>
      <c r="J598" s="88">
        <f>IFERROR(IF(ISBLANK(K597),"",K597),"")</f>
        <v>17</v>
      </c>
      <c r="K598" s="88"/>
      <c r="L598" s="88"/>
      <c r="M598" s="88"/>
      <c r="N598" s="88"/>
      <c r="O598" s="88"/>
      <c r="P598" s="88"/>
      <c r="Q598" s="88"/>
      <c r="R598" s="88"/>
      <c r="S598" s="88"/>
      <c r="T598" s="88"/>
      <c r="U598" s="88"/>
      <c r="V598" s="88"/>
      <c r="W598" s="88"/>
      <c r="X598" s="88"/>
      <c r="Y598" s="88"/>
      <c r="Z598" s="88"/>
    </row>
    <row r="599" spans="2:27" ht="19.5" x14ac:dyDescent="0.25">
      <c r="B599" s="50"/>
      <c r="C599" s="334"/>
      <c r="D599" s="338" t="str">
        <f>CONCATENATE("кв. ",M597," ","выд."," ",N597," ","делянка", " ",O597)</f>
        <v>кв. 42 выд. 10 делянка 1</v>
      </c>
      <c r="E599" s="338"/>
      <c r="F599" s="338"/>
      <c r="G599" s="338"/>
      <c r="H599" s="90"/>
      <c r="I599" s="88"/>
      <c r="J599" s="88"/>
      <c r="K599" s="88"/>
      <c r="L599" s="88"/>
      <c r="M599" s="88"/>
      <c r="N599" s="88"/>
      <c r="O599" s="88"/>
      <c r="P599" s="88"/>
      <c r="Q599" s="88"/>
      <c r="R599" s="88"/>
      <c r="S599" s="88"/>
      <c r="T599" s="88"/>
      <c r="U599" s="88"/>
      <c r="V599" s="88"/>
      <c r="W599" s="88"/>
      <c r="X599" s="88"/>
      <c r="Y599" s="88"/>
      <c r="Z599" s="88"/>
    </row>
    <row r="600" spans="2:27" ht="23.25" x14ac:dyDescent="0.25">
      <c r="B600" s="49"/>
      <c r="C600" s="61" t="s">
        <v>495</v>
      </c>
      <c r="D600" s="51">
        <f>P597</f>
        <v>4.2</v>
      </c>
      <c r="E600" s="62"/>
      <c r="F600" s="50"/>
      <c r="G600" s="48"/>
      <c r="H600" s="87"/>
    </row>
    <row r="601" spans="2:27" ht="22.5" x14ac:dyDescent="0.25">
      <c r="B601" s="49"/>
      <c r="C601" s="63" t="s">
        <v>496</v>
      </c>
      <c r="D601" s="106">
        <f>Q597</f>
        <v>780.28</v>
      </c>
      <c r="E601" s="309" t="s">
        <v>497</v>
      </c>
      <c r="F601" s="310"/>
      <c r="G601" s="313">
        <f>D602/D601</f>
        <v>17.199697544471213</v>
      </c>
      <c r="H601" s="87"/>
    </row>
    <row r="602" spans="2:27" ht="22.5" x14ac:dyDescent="0.25">
      <c r="B602" s="49"/>
      <c r="C602" s="63" t="s">
        <v>498</v>
      </c>
      <c r="D602" s="52">
        <f>R597</f>
        <v>13420.579999999998</v>
      </c>
      <c r="E602" s="311"/>
      <c r="F602" s="312"/>
      <c r="G602" s="314"/>
      <c r="H602" s="87"/>
    </row>
    <row r="603" spans="2:27" ht="23.25" x14ac:dyDescent="0.25">
      <c r="B603" s="49"/>
      <c r="C603" s="64"/>
      <c r="D603" s="53"/>
      <c r="E603" s="65"/>
      <c r="F603" s="49"/>
      <c r="G603" s="48"/>
      <c r="H603" s="87"/>
    </row>
    <row r="604" spans="2:27" ht="23.25" x14ac:dyDescent="0.25">
      <c r="B604" s="49"/>
      <c r="C604" s="82" t="s">
        <v>499</v>
      </c>
      <c r="D604" s="96" t="str">
        <f>S597</f>
        <v>9ОС1Б+ЛП</v>
      </c>
      <c r="E604" s="49"/>
      <c r="F604" s="49"/>
      <c r="G604" s="48"/>
      <c r="H604" s="87"/>
    </row>
    <row r="605" spans="2:27" ht="23.25" x14ac:dyDescent="0.25">
      <c r="B605" s="49"/>
      <c r="C605" s="82" t="s">
        <v>500</v>
      </c>
      <c r="D605" s="96">
        <f>U597</f>
        <v>50</v>
      </c>
      <c r="E605" s="49"/>
      <c r="F605" s="49"/>
      <c r="G605" s="48"/>
      <c r="H605" s="87"/>
    </row>
    <row r="606" spans="2:27" ht="23.25" x14ac:dyDescent="0.25">
      <c r="B606" s="49"/>
      <c r="C606" s="82" t="s">
        <v>501</v>
      </c>
      <c r="D606" s="83" t="s">
        <v>502</v>
      </c>
      <c r="E606" s="49"/>
      <c r="F606" s="49"/>
      <c r="G606" s="48"/>
      <c r="H606" s="87"/>
    </row>
    <row r="607" spans="2:27" ht="24" thickBot="1" x14ac:dyDescent="0.3">
      <c r="B607" s="49"/>
      <c r="C607" s="49"/>
      <c r="D607" s="49"/>
      <c r="E607" s="49"/>
      <c r="F607" s="49"/>
      <c r="G607" s="48"/>
      <c r="H607" s="87"/>
    </row>
    <row r="608" spans="2:27" ht="48" thickBot="1" x14ac:dyDescent="0.3">
      <c r="B608" s="315" t="s">
        <v>436</v>
      </c>
      <c r="C608" s="316"/>
      <c r="D608" s="54" t="s">
        <v>503</v>
      </c>
      <c r="E608" s="317" t="s">
        <v>504</v>
      </c>
      <c r="F608" s="318"/>
      <c r="G608" s="55" t="s">
        <v>505</v>
      </c>
      <c r="H608" s="87"/>
    </row>
    <row r="609" spans="2:8" ht="24" thickBot="1" x14ac:dyDescent="0.3">
      <c r="B609" s="319" t="s">
        <v>506</v>
      </c>
      <c r="C609" s="320"/>
      <c r="D609" s="136">
        <v>197.93</v>
      </c>
      <c r="E609" s="136">
        <f>D600</f>
        <v>4.2</v>
      </c>
      <c r="F609" s="77" t="s">
        <v>434</v>
      </c>
      <c r="G609" s="142">
        <f t="shared" ref="G609:G616" si="26">D609*E609</f>
        <v>831.30600000000004</v>
      </c>
      <c r="H609" s="321"/>
    </row>
    <row r="610" spans="2:8" ht="23.25" x14ac:dyDescent="0.25">
      <c r="B610" s="322" t="s">
        <v>507</v>
      </c>
      <c r="C610" s="323"/>
      <c r="D610" s="137">
        <v>159.44</v>
      </c>
      <c r="E610" s="137">
        <f>V597</f>
        <v>1.04</v>
      </c>
      <c r="F610" s="78" t="s">
        <v>437</v>
      </c>
      <c r="G610" s="143">
        <f t="shared" si="26"/>
        <v>165.8176</v>
      </c>
      <c r="H610" s="321"/>
    </row>
    <row r="611" spans="2:8" ht="24" thickBot="1" x14ac:dyDescent="0.3">
      <c r="B611" s="324" t="s">
        <v>508</v>
      </c>
      <c r="C611" s="325"/>
      <c r="D611" s="138">
        <v>276.62</v>
      </c>
      <c r="E611" s="138">
        <f>V597</f>
        <v>1.04</v>
      </c>
      <c r="F611" s="79" t="s">
        <v>437</v>
      </c>
      <c r="G611" s="144">
        <f t="shared" si="26"/>
        <v>287.6848</v>
      </c>
      <c r="H611" s="321"/>
    </row>
    <row r="612" spans="2:8" ht="24" thickBot="1" x14ac:dyDescent="0.3">
      <c r="B612" s="326" t="s">
        <v>438</v>
      </c>
      <c r="C612" s="327"/>
      <c r="D612" s="139">
        <v>519</v>
      </c>
      <c r="E612" s="139"/>
      <c r="F612" s="80" t="s">
        <v>434</v>
      </c>
      <c r="G612" s="145">
        <f t="shared" si="26"/>
        <v>0</v>
      </c>
      <c r="H612" s="321"/>
    </row>
    <row r="613" spans="2:8" ht="23.25" x14ac:dyDescent="0.25">
      <c r="B613" s="322" t="s">
        <v>509</v>
      </c>
      <c r="C613" s="323"/>
      <c r="D613" s="137">
        <v>920</v>
      </c>
      <c r="E613" s="137">
        <f>D600*2</f>
        <v>8.4</v>
      </c>
      <c r="F613" s="78" t="s">
        <v>434</v>
      </c>
      <c r="G613" s="143">
        <f t="shared" si="26"/>
        <v>7728</v>
      </c>
      <c r="H613" s="321"/>
    </row>
    <row r="614" spans="2:8" ht="23.25" x14ac:dyDescent="0.25">
      <c r="B614" s="328" t="s">
        <v>510</v>
      </c>
      <c r="C614" s="329"/>
      <c r="D614" s="140">
        <v>1300</v>
      </c>
      <c r="E614" s="140">
        <f>IF(T597="Осина",D600,"0")</f>
        <v>4.2</v>
      </c>
      <c r="F614" s="81" t="s">
        <v>434</v>
      </c>
      <c r="G614" s="146">
        <f t="shared" si="26"/>
        <v>5460</v>
      </c>
      <c r="H614" s="321"/>
    </row>
    <row r="615" spans="2:8" ht="23.25" x14ac:dyDescent="0.25">
      <c r="B615" s="328" t="s">
        <v>439</v>
      </c>
      <c r="C615" s="329"/>
      <c r="D615" s="141">
        <v>5165.12</v>
      </c>
      <c r="E615" s="140" t="str">
        <f>IF(T597="Осина","0",D600)</f>
        <v>0</v>
      </c>
      <c r="F615" s="81" t="s">
        <v>434</v>
      </c>
      <c r="G615" s="146">
        <f t="shared" si="26"/>
        <v>0</v>
      </c>
      <c r="H615" s="321"/>
    </row>
    <row r="616" spans="2:8" ht="23.25" x14ac:dyDescent="0.25">
      <c r="B616" s="328" t="s">
        <v>511</v>
      </c>
      <c r="C616" s="329"/>
      <c r="D616" s="141">
        <v>917</v>
      </c>
      <c r="E616" s="140" t="str">
        <f>IF(T597="Осина","0",D600)</f>
        <v>0</v>
      </c>
      <c r="F616" s="81" t="s">
        <v>434</v>
      </c>
      <c r="G616" s="146">
        <f t="shared" si="26"/>
        <v>0</v>
      </c>
      <c r="H616" s="321"/>
    </row>
    <row r="617" spans="2:8" ht="23.25" x14ac:dyDescent="0.25">
      <c r="B617" s="328" t="s">
        <v>441</v>
      </c>
      <c r="C617" s="329"/>
      <c r="D617" s="141">
        <v>461.56000000000006</v>
      </c>
      <c r="E617" s="140" t="str">
        <f>IF(T597="Осина","0",D600)</f>
        <v>0</v>
      </c>
      <c r="F617" s="81" t="s">
        <v>434</v>
      </c>
      <c r="G617" s="146">
        <f>D617*E617</f>
        <v>0</v>
      </c>
      <c r="H617" s="321"/>
    </row>
    <row r="618" spans="2:8" ht="24" thickBot="1" x14ac:dyDescent="0.3">
      <c r="B618" s="324" t="s">
        <v>440</v>
      </c>
      <c r="C618" s="325"/>
      <c r="D618" s="138">
        <v>353.15</v>
      </c>
      <c r="E618" s="140" t="str">
        <f>IF(T597="Осина","0",D600*4)</f>
        <v>0</v>
      </c>
      <c r="F618" s="79" t="s">
        <v>434</v>
      </c>
      <c r="G618" s="147">
        <f>D618*E618</f>
        <v>0</v>
      </c>
      <c r="H618" s="321"/>
    </row>
    <row r="619" spans="2:8" ht="23.25" x14ac:dyDescent="0.25">
      <c r="B619" s="49"/>
      <c r="C619" s="66"/>
      <c r="D619" s="66"/>
      <c r="E619" s="56"/>
      <c r="F619" s="56"/>
      <c r="G619" s="48"/>
      <c r="H619" s="92"/>
    </row>
    <row r="620" spans="2:8" ht="25.5" x14ac:dyDescent="0.25">
      <c r="B620" s="49"/>
      <c r="C620" s="59" t="s">
        <v>512</v>
      </c>
      <c r="D620" s="60"/>
      <c r="E620" s="49"/>
      <c r="F620" s="49"/>
      <c r="G620" s="48"/>
      <c r="H620" s="87"/>
    </row>
    <row r="621" spans="2:8" ht="18.75" x14ac:dyDescent="0.25">
      <c r="B621" s="49"/>
      <c r="C621" s="306" t="s">
        <v>513</v>
      </c>
      <c r="D621" s="84" t="s">
        <v>514</v>
      </c>
      <c r="E621" s="68">
        <f>ROUND((G609+D602)/D602,2)</f>
        <v>1.06</v>
      </c>
      <c r="F621" s="68"/>
      <c r="G621" s="50"/>
      <c r="H621" s="87"/>
    </row>
    <row r="622" spans="2:8" ht="23.25" x14ac:dyDescent="0.25">
      <c r="B622" s="49"/>
      <c r="C622" s="306"/>
      <c r="D622" s="84" t="s">
        <v>515</v>
      </c>
      <c r="E622" s="68">
        <f>ROUND((G610+G611+D602)/D602,2)</f>
        <v>1.03</v>
      </c>
      <c r="F622" s="68"/>
      <c r="G622" s="57"/>
      <c r="H622" s="93"/>
    </row>
    <row r="623" spans="2:8" ht="23.25" x14ac:dyDescent="0.25">
      <c r="B623" s="49"/>
      <c r="C623" s="306"/>
      <c r="D623" s="84" t="s">
        <v>516</v>
      </c>
      <c r="E623" s="68">
        <f>ROUND((G612+D602)/D602,2)</f>
        <v>1</v>
      </c>
      <c r="F623" s="50"/>
      <c r="G623" s="57"/>
      <c r="H623" s="87"/>
    </row>
    <row r="624" spans="2:8" ht="23.25" x14ac:dyDescent="0.25">
      <c r="B624" s="49"/>
      <c r="C624" s="306"/>
      <c r="D624" s="69" t="s">
        <v>517</v>
      </c>
      <c r="E624" s="70">
        <f>ROUND((SUM(G613:G618)+D602)/D602,2)</f>
        <v>1.98</v>
      </c>
      <c r="F624" s="50"/>
      <c r="G624" s="57"/>
      <c r="H624" s="87"/>
    </row>
    <row r="625" spans="2:27" ht="25.5" x14ac:dyDescent="0.25">
      <c r="B625" s="49"/>
      <c r="C625" s="49"/>
      <c r="D625" s="71" t="s">
        <v>518</v>
      </c>
      <c r="E625" s="72">
        <f>SUM(E621:E624)-IF(D606="сплошная",3,2)</f>
        <v>2.0700000000000003</v>
      </c>
      <c r="F625" s="73"/>
      <c r="G625" s="48"/>
      <c r="H625" s="87"/>
    </row>
    <row r="626" spans="2:27" ht="23.25" x14ac:dyDescent="0.25">
      <c r="B626" s="49"/>
      <c r="C626" s="49"/>
      <c r="D626" s="49"/>
      <c r="E626" s="74"/>
      <c r="F626" s="49"/>
      <c r="G626" s="48"/>
      <c r="H626" s="87"/>
    </row>
    <row r="627" spans="2:27" ht="25.5" x14ac:dyDescent="0.35">
      <c r="B627" s="58"/>
      <c r="C627" s="75" t="s">
        <v>519</v>
      </c>
      <c r="D627" s="307">
        <f>E625*D602</f>
        <v>27780.600600000002</v>
      </c>
      <c r="E627" s="307"/>
      <c r="F627" s="49"/>
      <c r="G627" s="48"/>
      <c r="H627" s="87"/>
    </row>
    <row r="628" spans="2:27" ht="18.75" x14ac:dyDescent="0.3">
      <c r="B628" s="49"/>
      <c r="C628" s="76" t="s">
        <v>520</v>
      </c>
      <c r="D628" s="308">
        <f>D627/D601</f>
        <v>35.603373917055421</v>
      </c>
      <c r="E628" s="308"/>
      <c r="F628" s="49"/>
      <c r="G628" s="49"/>
      <c r="H628" s="94"/>
    </row>
    <row r="631" spans="2:27" ht="60.75" x14ac:dyDescent="0.8">
      <c r="B631" s="330" t="str">
        <f>CONCATENATE("ЛОТ № ",K634)</f>
        <v>ЛОТ № 18</v>
      </c>
      <c r="C631" s="330"/>
      <c r="D631" s="330"/>
      <c r="E631" s="330"/>
      <c r="F631" s="330"/>
      <c r="G631" s="330"/>
      <c r="H631" s="330"/>
    </row>
    <row r="632" spans="2:27" ht="18.75" x14ac:dyDescent="0.25">
      <c r="B632" s="331" t="s">
        <v>492</v>
      </c>
      <c r="C632" s="331"/>
      <c r="D632" s="331"/>
      <c r="E632" s="331"/>
      <c r="F632" s="331"/>
      <c r="G632" s="331"/>
      <c r="H632" s="87"/>
    </row>
    <row r="633" spans="2:27" ht="25.5" x14ac:dyDescent="0.25">
      <c r="B633" s="49"/>
      <c r="C633" s="59" t="s">
        <v>493</v>
      </c>
      <c r="D633" s="60"/>
      <c r="E633" s="49"/>
      <c r="F633" s="49"/>
      <c r="G633" s="48"/>
      <c r="H633" s="87"/>
      <c r="I633" s="88"/>
      <c r="J633" s="88"/>
      <c r="K633" s="88"/>
      <c r="L633" s="88" t="s">
        <v>454</v>
      </c>
      <c r="M633" s="88" t="s">
        <v>444</v>
      </c>
      <c r="N633" s="88" t="s">
        <v>445</v>
      </c>
      <c r="O633" s="88" t="s">
        <v>453</v>
      </c>
      <c r="P633" s="89" t="s">
        <v>446</v>
      </c>
      <c r="Q633" s="88" t="s">
        <v>435</v>
      </c>
      <c r="R633" s="40" t="s">
        <v>447</v>
      </c>
      <c r="S633" s="40" t="s">
        <v>522</v>
      </c>
      <c r="T633" s="88" t="s">
        <v>118</v>
      </c>
      <c r="U633" s="88" t="s">
        <v>500</v>
      </c>
      <c r="V633" s="88" t="s">
        <v>450</v>
      </c>
      <c r="W633" s="40" t="s">
        <v>448</v>
      </c>
      <c r="X633" s="40" t="s">
        <v>449</v>
      </c>
      <c r="Y633" s="88" t="s">
        <v>523</v>
      </c>
      <c r="Z633" s="88"/>
    </row>
    <row r="634" spans="2:27" ht="39.950000000000003" customHeight="1" x14ac:dyDescent="0.25">
      <c r="B634" s="50"/>
      <c r="C634" s="332" t="s">
        <v>494</v>
      </c>
      <c r="D634" s="335" t="s">
        <v>521</v>
      </c>
      <c r="E634" s="336"/>
      <c r="F634" s="336"/>
      <c r="G634" s="337"/>
      <c r="H634" s="90"/>
      <c r="I634" s="88" t="s">
        <v>443</v>
      </c>
      <c r="J634" s="88"/>
      <c r="K634" s="43">
        <f>IF(I634="","",COUNTA(I$5:I634))</f>
        <v>18</v>
      </c>
      <c r="L634" s="95" t="str">
        <f>INDEX('Ведомость расчета мин. платы'!$B$10:$T$209,MATCH(ЛОТЫ!$K634,'Ведомость расчета мин. платы'!$B$10:$B$209,0),2)</f>
        <v>Восходское</v>
      </c>
      <c r="M634" s="95">
        <f>INDEX('Ведомость расчета мин. платы'!$B$10:$T$209,MATCH(ЛОТЫ!$K634,'Ведомость расчета мин. платы'!$B$10:$B$209,0),3)</f>
        <v>42</v>
      </c>
      <c r="N634" s="95">
        <f>INDEX('Ведомость расчета мин. платы'!$B$10:$T$209,MATCH(ЛОТЫ!$K634,'Ведомость расчета мин. платы'!$B$10:$B$209,0),4)</f>
        <v>12</v>
      </c>
      <c r="O634" s="95">
        <f>INDEX('Ведомость расчета мин. платы'!$B$10:$T$209,MATCH(ЛОТЫ!$K634,'Ведомость расчета мин. платы'!$B$10:$B$209,0),5)</f>
        <v>2</v>
      </c>
      <c r="P634" s="89">
        <f>IFERROR(INDEX(Коэффициенты!$G$4:$O$106,MATCH(CONCATENATE($L634,"/",$M634,"/",$N634,"/",$O634),Коэффициенты!$O$4:$O$106,0),1),"")</f>
        <v>4</v>
      </c>
      <c r="Q634" s="40">
        <f>IFERROR(INDEX(Коэффициенты!$G$4:$O$106,MATCH(CONCATENATE($L634,"/",$M634,"/",$N634,"/",$O634),Коэффициенты!$O$4:$O$106,0),6),"")</f>
        <v>838.09</v>
      </c>
      <c r="R634" s="40">
        <f>IFERROR(INDEX(Коэффициенты!$G$4:$O$106,MATCH(CONCATENATE($L634,"/",$M634,"/",$N634,"/",$O634),Коэффициенты!$O$4:$O$106,0),2),"")</f>
        <v>14497.77</v>
      </c>
      <c r="S634" s="43" t="str">
        <f>IFERROR(INDEX('Такс. опис.'!$A$5:$BW$50,MATCH(CONCATENATE($L634,"/",$M634,"/",$N634),'Такс. опис.'!$C$5:$C$50,0),26),"")</f>
        <v>8ОС2Б+ЛП</v>
      </c>
      <c r="T634" s="43" t="str">
        <f>IFERROR(INDEX('Такс. опис.'!$A$5:$BW$50,MATCH(CONCATENATE($L634,"/",$M634,"/",$N634),'Такс. опис.'!$C$5:$C$50,0),47),"")</f>
        <v>Осина</v>
      </c>
      <c r="U634" s="43">
        <f>IFERROR(INDEX('Такс. опис.'!$A$5:$BW$50,MATCH(CONCATENATE($L634,"/",$M634,"/",$N634),'Такс. опис.'!$C$5:$C$50,0),49),"")</f>
        <v>55</v>
      </c>
      <c r="V634" s="103">
        <f>IFERROR(INDEX('Ведомость расчета мин. платы'!$AC$10:$AD$214,MATCH(CONCATENATE($L634,"/",$M634,"/",$N634,"/",$O634),'Ведомость расчета мин. платы'!$AC$10:$AC$214,0),2),"")</f>
        <v>1</v>
      </c>
      <c r="W634" s="40">
        <f>E662</f>
        <v>1.9500000000000002</v>
      </c>
      <c r="X634" s="40">
        <f>D664</f>
        <v>28270.651500000004</v>
      </c>
      <c r="Y634" s="91">
        <f>D665</f>
        <v>33.732238184443204</v>
      </c>
      <c r="Z634" s="88"/>
      <c r="AA634" s="86">
        <f t="shared" si="25"/>
        <v>1</v>
      </c>
    </row>
    <row r="635" spans="2:27" ht="19.5" x14ac:dyDescent="0.25">
      <c r="B635" s="50"/>
      <c r="C635" s="333"/>
      <c r="D635" s="338" t="str">
        <f>CONCATENATE(L634, " участковое лесничество")</f>
        <v>Восходское участковое лесничество</v>
      </c>
      <c r="E635" s="338"/>
      <c r="F635" s="338"/>
      <c r="G635" s="338"/>
      <c r="H635" s="90"/>
      <c r="I635" s="88"/>
      <c r="J635" s="88">
        <f>IFERROR(IF(ISBLANK(K634),"",K634),"")</f>
        <v>18</v>
      </c>
      <c r="K635" s="88"/>
      <c r="L635" s="88"/>
      <c r="M635" s="88"/>
      <c r="N635" s="88"/>
      <c r="O635" s="88"/>
      <c r="P635" s="88"/>
      <c r="Q635" s="88"/>
      <c r="R635" s="88"/>
      <c r="S635" s="88"/>
      <c r="T635" s="88"/>
      <c r="U635" s="88"/>
      <c r="V635" s="88"/>
      <c r="W635" s="88"/>
      <c r="X635" s="88"/>
      <c r="Y635" s="88"/>
      <c r="Z635" s="88"/>
    </row>
    <row r="636" spans="2:27" ht="19.5" x14ac:dyDescent="0.25">
      <c r="B636" s="50"/>
      <c r="C636" s="334"/>
      <c r="D636" s="338" t="str">
        <f>CONCATENATE("кв. ",M634," ","выд."," ",N634," ","делянка", " ",O634)</f>
        <v>кв. 42 выд. 12 делянка 2</v>
      </c>
      <c r="E636" s="338"/>
      <c r="F636" s="338"/>
      <c r="G636" s="338"/>
      <c r="H636" s="90"/>
      <c r="I636" s="88"/>
      <c r="J636" s="88"/>
      <c r="K636" s="88"/>
      <c r="L636" s="88"/>
      <c r="M636" s="88"/>
      <c r="N636" s="88"/>
      <c r="O636" s="88"/>
      <c r="P636" s="88"/>
      <c r="Q636" s="88"/>
      <c r="R636" s="88"/>
      <c r="S636" s="88"/>
      <c r="T636" s="88"/>
      <c r="U636" s="88"/>
      <c r="V636" s="88"/>
      <c r="W636" s="88"/>
      <c r="X636" s="88"/>
      <c r="Y636" s="88"/>
      <c r="Z636" s="88"/>
    </row>
    <row r="637" spans="2:27" ht="23.25" x14ac:dyDescent="0.25">
      <c r="B637" s="49"/>
      <c r="C637" s="61" t="s">
        <v>495</v>
      </c>
      <c r="D637" s="51">
        <f>P634</f>
        <v>4</v>
      </c>
      <c r="E637" s="62"/>
      <c r="F637" s="50"/>
      <c r="G637" s="48"/>
      <c r="H637" s="87"/>
    </row>
    <row r="638" spans="2:27" ht="22.5" x14ac:dyDescent="0.25">
      <c r="B638" s="49"/>
      <c r="C638" s="63" t="s">
        <v>496</v>
      </c>
      <c r="D638" s="106">
        <f>Q634</f>
        <v>838.09</v>
      </c>
      <c r="E638" s="309" t="s">
        <v>497</v>
      </c>
      <c r="F638" s="310"/>
      <c r="G638" s="313">
        <f>D639/D638</f>
        <v>17.298583684329845</v>
      </c>
      <c r="H638" s="87"/>
    </row>
    <row r="639" spans="2:27" ht="22.5" x14ac:dyDescent="0.25">
      <c r="B639" s="49"/>
      <c r="C639" s="63" t="s">
        <v>498</v>
      </c>
      <c r="D639" s="52">
        <f>R634</f>
        <v>14497.77</v>
      </c>
      <c r="E639" s="311"/>
      <c r="F639" s="312"/>
      <c r="G639" s="314"/>
      <c r="H639" s="87"/>
    </row>
    <row r="640" spans="2:27" ht="23.25" x14ac:dyDescent="0.25">
      <c r="B640" s="49"/>
      <c r="C640" s="64"/>
      <c r="D640" s="53"/>
      <c r="E640" s="65"/>
      <c r="F640" s="49"/>
      <c r="G640" s="48"/>
      <c r="H640" s="87"/>
    </row>
    <row r="641" spans="2:8" ht="23.25" x14ac:dyDescent="0.25">
      <c r="B641" s="49"/>
      <c r="C641" s="82" t="s">
        <v>499</v>
      </c>
      <c r="D641" s="96" t="str">
        <f>S634</f>
        <v>8ОС2Б+ЛП</v>
      </c>
      <c r="E641" s="49"/>
      <c r="F641" s="49"/>
      <c r="G641" s="48"/>
      <c r="H641" s="87"/>
    </row>
    <row r="642" spans="2:8" ht="23.25" x14ac:dyDescent="0.25">
      <c r="B642" s="49"/>
      <c r="C642" s="82" t="s">
        <v>500</v>
      </c>
      <c r="D642" s="96">
        <f>U634</f>
        <v>55</v>
      </c>
      <c r="E642" s="49"/>
      <c r="F642" s="49"/>
      <c r="G642" s="48"/>
      <c r="H642" s="87"/>
    </row>
    <row r="643" spans="2:8" ht="23.25" x14ac:dyDescent="0.25">
      <c r="B643" s="49"/>
      <c r="C643" s="82" t="s">
        <v>501</v>
      </c>
      <c r="D643" s="83" t="s">
        <v>502</v>
      </c>
      <c r="E643" s="49"/>
      <c r="F643" s="49"/>
      <c r="G643" s="48"/>
      <c r="H643" s="87"/>
    </row>
    <row r="644" spans="2:8" ht="24" thickBot="1" x14ac:dyDescent="0.3">
      <c r="B644" s="49"/>
      <c r="C644" s="49"/>
      <c r="D644" s="49"/>
      <c r="E644" s="49"/>
      <c r="F644" s="49"/>
      <c r="G644" s="48"/>
      <c r="H644" s="87"/>
    </row>
    <row r="645" spans="2:8" ht="48" thickBot="1" x14ac:dyDescent="0.3">
      <c r="B645" s="315" t="s">
        <v>436</v>
      </c>
      <c r="C645" s="316"/>
      <c r="D645" s="54" t="s">
        <v>503</v>
      </c>
      <c r="E645" s="317" t="s">
        <v>504</v>
      </c>
      <c r="F645" s="318"/>
      <c r="G645" s="55" t="s">
        <v>505</v>
      </c>
      <c r="H645" s="87"/>
    </row>
    <row r="646" spans="2:8" ht="24" thickBot="1" x14ac:dyDescent="0.3">
      <c r="B646" s="319" t="s">
        <v>506</v>
      </c>
      <c r="C646" s="320"/>
      <c r="D646" s="136">
        <v>197.93</v>
      </c>
      <c r="E646" s="136">
        <f>D637</f>
        <v>4</v>
      </c>
      <c r="F646" s="77" t="s">
        <v>434</v>
      </c>
      <c r="G646" s="142">
        <f t="shared" ref="G646:G653" si="27">D646*E646</f>
        <v>791.72</v>
      </c>
      <c r="H646" s="321"/>
    </row>
    <row r="647" spans="2:8" ht="23.25" x14ac:dyDescent="0.25">
      <c r="B647" s="322" t="s">
        <v>507</v>
      </c>
      <c r="C647" s="323"/>
      <c r="D647" s="137">
        <v>159.44</v>
      </c>
      <c r="E647" s="137">
        <f>V634</f>
        <v>1</v>
      </c>
      <c r="F647" s="78" t="s">
        <v>437</v>
      </c>
      <c r="G647" s="143">
        <f t="shared" si="27"/>
        <v>159.44</v>
      </c>
      <c r="H647" s="321"/>
    </row>
    <row r="648" spans="2:8" ht="24" thickBot="1" x14ac:dyDescent="0.3">
      <c r="B648" s="324" t="s">
        <v>508</v>
      </c>
      <c r="C648" s="325"/>
      <c r="D648" s="138">
        <v>276.62</v>
      </c>
      <c r="E648" s="138">
        <f>V634</f>
        <v>1</v>
      </c>
      <c r="F648" s="79" t="s">
        <v>437</v>
      </c>
      <c r="G648" s="144">
        <f t="shared" si="27"/>
        <v>276.62</v>
      </c>
      <c r="H648" s="321"/>
    </row>
    <row r="649" spans="2:8" ht="24" thickBot="1" x14ac:dyDescent="0.3">
      <c r="B649" s="326" t="s">
        <v>438</v>
      </c>
      <c r="C649" s="327"/>
      <c r="D649" s="139">
        <v>519</v>
      </c>
      <c r="E649" s="139"/>
      <c r="F649" s="80" t="s">
        <v>434</v>
      </c>
      <c r="G649" s="145">
        <f t="shared" si="27"/>
        <v>0</v>
      </c>
      <c r="H649" s="321"/>
    </row>
    <row r="650" spans="2:8" ht="23.25" x14ac:dyDescent="0.25">
      <c r="B650" s="322" t="s">
        <v>509</v>
      </c>
      <c r="C650" s="323"/>
      <c r="D650" s="137">
        <v>920</v>
      </c>
      <c r="E650" s="137">
        <f>D637*2</f>
        <v>8</v>
      </c>
      <c r="F650" s="78" t="s">
        <v>434</v>
      </c>
      <c r="G650" s="143">
        <f t="shared" si="27"/>
        <v>7360</v>
      </c>
      <c r="H650" s="321"/>
    </row>
    <row r="651" spans="2:8" ht="23.25" x14ac:dyDescent="0.25">
      <c r="B651" s="328" t="s">
        <v>510</v>
      </c>
      <c r="C651" s="329"/>
      <c r="D651" s="140">
        <v>1300</v>
      </c>
      <c r="E651" s="140">
        <f>IF(T634="Осина",D637,"0")</f>
        <v>4</v>
      </c>
      <c r="F651" s="81" t="s">
        <v>434</v>
      </c>
      <c r="G651" s="146">
        <f t="shared" si="27"/>
        <v>5200</v>
      </c>
      <c r="H651" s="321"/>
    </row>
    <row r="652" spans="2:8" ht="23.25" x14ac:dyDescent="0.25">
      <c r="B652" s="328" t="s">
        <v>439</v>
      </c>
      <c r="C652" s="329"/>
      <c r="D652" s="141">
        <v>5165.12</v>
      </c>
      <c r="E652" s="140" t="str">
        <f>IF(T634="Осина","0",D637)</f>
        <v>0</v>
      </c>
      <c r="F652" s="81" t="s">
        <v>434</v>
      </c>
      <c r="G652" s="146">
        <f t="shared" si="27"/>
        <v>0</v>
      </c>
      <c r="H652" s="321"/>
    </row>
    <row r="653" spans="2:8" ht="23.25" x14ac:dyDescent="0.25">
      <c r="B653" s="328" t="s">
        <v>511</v>
      </c>
      <c r="C653" s="329"/>
      <c r="D653" s="141">
        <v>917</v>
      </c>
      <c r="E653" s="140" t="str">
        <f>IF(T634="Осина","0",D637)</f>
        <v>0</v>
      </c>
      <c r="F653" s="81" t="s">
        <v>434</v>
      </c>
      <c r="G653" s="146">
        <f t="shared" si="27"/>
        <v>0</v>
      </c>
      <c r="H653" s="321"/>
    </row>
    <row r="654" spans="2:8" ht="23.25" x14ac:dyDescent="0.25">
      <c r="B654" s="328" t="s">
        <v>441</v>
      </c>
      <c r="C654" s="329"/>
      <c r="D654" s="141">
        <v>461.56000000000006</v>
      </c>
      <c r="E654" s="140" t="str">
        <f>IF(T634="Осина","0",D637)</f>
        <v>0</v>
      </c>
      <c r="F654" s="81" t="s">
        <v>434</v>
      </c>
      <c r="G654" s="146">
        <f>D654*E654</f>
        <v>0</v>
      </c>
      <c r="H654" s="321"/>
    </row>
    <row r="655" spans="2:8" ht="24" thickBot="1" x14ac:dyDescent="0.3">
      <c r="B655" s="324" t="s">
        <v>440</v>
      </c>
      <c r="C655" s="325"/>
      <c r="D655" s="138">
        <v>353.15</v>
      </c>
      <c r="E655" s="140" t="str">
        <f>IF(T634="Осина","0",D637*4)</f>
        <v>0</v>
      </c>
      <c r="F655" s="79" t="s">
        <v>434</v>
      </c>
      <c r="G655" s="147">
        <f>D655*E655</f>
        <v>0</v>
      </c>
      <c r="H655" s="321"/>
    </row>
    <row r="656" spans="2:8" ht="23.25" x14ac:dyDescent="0.25">
      <c r="B656" s="49"/>
      <c r="C656" s="66"/>
      <c r="D656" s="66"/>
      <c r="E656" s="56"/>
      <c r="F656" s="56"/>
      <c r="G656" s="48"/>
      <c r="H656" s="92"/>
    </row>
    <row r="657" spans="2:27" ht="25.5" x14ac:dyDescent="0.25">
      <c r="B657" s="49"/>
      <c r="C657" s="59" t="s">
        <v>512</v>
      </c>
      <c r="D657" s="60"/>
      <c r="E657" s="49"/>
      <c r="F657" s="49"/>
      <c r="G657" s="48"/>
      <c r="H657" s="87"/>
    </row>
    <row r="658" spans="2:27" ht="18.75" x14ac:dyDescent="0.25">
      <c r="B658" s="49"/>
      <c r="C658" s="306" t="s">
        <v>513</v>
      </c>
      <c r="D658" s="84" t="s">
        <v>514</v>
      </c>
      <c r="E658" s="68">
        <f>ROUND((G646+D639)/D639,2)</f>
        <v>1.05</v>
      </c>
      <c r="F658" s="68"/>
      <c r="G658" s="50"/>
      <c r="H658" s="87"/>
    </row>
    <row r="659" spans="2:27" ht="23.25" x14ac:dyDescent="0.25">
      <c r="B659" s="49"/>
      <c r="C659" s="306"/>
      <c r="D659" s="84" t="s">
        <v>515</v>
      </c>
      <c r="E659" s="68">
        <f>ROUND((G647+G648+D639)/D639,2)</f>
        <v>1.03</v>
      </c>
      <c r="F659" s="68"/>
      <c r="G659" s="57"/>
      <c r="H659" s="93"/>
    </row>
    <row r="660" spans="2:27" ht="23.25" x14ac:dyDescent="0.25">
      <c r="B660" s="49"/>
      <c r="C660" s="306"/>
      <c r="D660" s="84" t="s">
        <v>516</v>
      </c>
      <c r="E660" s="68">
        <f>ROUND((G649+D639)/D639,2)</f>
        <v>1</v>
      </c>
      <c r="F660" s="50"/>
      <c r="G660" s="57"/>
      <c r="H660" s="87"/>
    </row>
    <row r="661" spans="2:27" ht="23.25" x14ac:dyDescent="0.25">
      <c r="B661" s="49"/>
      <c r="C661" s="306"/>
      <c r="D661" s="69" t="s">
        <v>517</v>
      </c>
      <c r="E661" s="70">
        <f>ROUND((SUM(G650:G655)+D639)/D639,2)</f>
        <v>1.87</v>
      </c>
      <c r="F661" s="50"/>
      <c r="G661" s="57"/>
      <c r="H661" s="87"/>
    </row>
    <row r="662" spans="2:27" ht="25.5" x14ac:dyDescent="0.25">
      <c r="B662" s="49"/>
      <c r="C662" s="49"/>
      <c r="D662" s="71" t="s">
        <v>518</v>
      </c>
      <c r="E662" s="72">
        <f>SUM(E658:E661)-IF(D643="сплошная",3,2)</f>
        <v>1.9500000000000002</v>
      </c>
      <c r="F662" s="73"/>
      <c r="G662" s="48"/>
      <c r="H662" s="87"/>
    </row>
    <row r="663" spans="2:27" ht="23.25" x14ac:dyDescent="0.25">
      <c r="B663" s="49"/>
      <c r="C663" s="49"/>
      <c r="D663" s="49"/>
      <c r="E663" s="74"/>
      <c r="F663" s="49"/>
      <c r="G663" s="48"/>
      <c r="H663" s="87"/>
    </row>
    <row r="664" spans="2:27" ht="25.5" x14ac:dyDescent="0.35">
      <c r="B664" s="58"/>
      <c r="C664" s="75" t="s">
        <v>519</v>
      </c>
      <c r="D664" s="307">
        <f>E662*D639</f>
        <v>28270.651500000004</v>
      </c>
      <c r="E664" s="307"/>
      <c r="F664" s="49"/>
      <c r="G664" s="48"/>
      <c r="H664" s="87"/>
    </row>
    <row r="665" spans="2:27" ht="18.75" x14ac:dyDescent="0.3">
      <c r="B665" s="49"/>
      <c r="C665" s="76" t="s">
        <v>520</v>
      </c>
      <c r="D665" s="308">
        <f>D664/D638</f>
        <v>33.732238184443204</v>
      </c>
      <c r="E665" s="308"/>
      <c r="F665" s="49"/>
      <c r="G665" s="49"/>
      <c r="H665" s="94"/>
    </row>
    <row r="668" spans="2:27" ht="60.75" x14ac:dyDescent="0.8">
      <c r="B668" s="330" t="str">
        <f>CONCATENATE("ЛОТ № ",K671)</f>
        <v>ЛОТ № 19</v>
      </c>
      <c r="C668" s="330"/>
      <c r="D668" s="330"/>
      <c r="E668" s="330"/>
      <c r="F668" s="330"/>
      <c r="G668" s="330"/>
      <c r="H668" s="330"/>
    </row>
    <row r="669" spans="2:27" ht="18.75" x14ac:dyDescent="0.25">
      <c r="B669" s="331" t="s">
        <v>492</v>
      </c>
      <c r="C669" s="331"/>
      <c r="D669" s="331"/>
      <c r="E669" s="331"/>
      <c r="F669" s="331"/>
      <c r="G669" s="331"/>
      <c r="H669" s="87"/>
    </row>
    <row r="670" spans="2:27" ht="25.5" x14ac:dyDescent="0.25">
      <c r="B670" s="49"/>
      <c r="C670" s="59" t="s">
        <v>493</v>
      </c>
      <c r="D670" s="60"/>
      <c r="E670" s="49"/>
      <c r="F670" s="49"/>
      <c r="G670" s="48"/>
      <c r="H670" s="87"/>
      <c r="I670" s="88"/>
      <c r="J670" s="88"/>
      <c r="K670" s="88"/>
      <c r="L670" s="88" t="s">
        <v>454</v>
      </c>
      <c r="M670" s="88" t="s">
        <v>444</v>
      </c>
      <c r="N670" s="88" t="s">
        <v>445</v>
      </c>
      <c r="O670" s="88" t="s">
        <v>453</v>
      </c>
      <c r="P670" s="89" t="s">
        <v>446</v>
      </c>
      <c r="Q670" s="88" t="s">
        <v>435</v>
      </c>
      <c r="R670" s="40" t="s">
        <v>447</v>
      </c>
      <c r="S670" s="40" t="s">
        <v>522</v>
      </c>
      <c r="T670" s="88" t="s">
        <v>118</v>
      </c>
      <c r="U670" s="88" t="s">
        <v>500</v>
      </c>
      <c r="V670" s="88" t="s">
        <v>450</v>
      </c>
      <c r="W670" s="40" t="s">
        <v>448</v>
      </c>
      <c r="X670" s="40" t="s">
        <v>449</v>
      </c>
      <c r="Y670" s="88" t="s">
        <v>523</v>
      </c>
      <c r="Z670" s="88"/>
    </row>
    <row r="671" spans="2:27" ht="39.950000000000003" customHeight="1" x14ac:dyDescent="0.25">
      <c r="B671" s="50"/>
      <c r="C671" s="332" t="s">
        <v>494</v>
      </c>
      <c r="D671" s="335" t="s">
        <v>521</v>
      </c>
      <c r="E671" s="336"/>
      <c r="F671" s="336"/>
      <c r="G671" s="337"/>
      <c r="H671" s="90"/>
      <c r="I671" s="88" t="s">
        <v>443</v>
      </c>
      <c r="J671" s="88"/>
      <c r="K671" s="43">
        <f>IF(I671="","",COUNTA(I$5:I671))</f>
        <v>19</v>
      </c>
      <c r="L671" s="95" t="str">
        <f>INDEX('Ведомость расчета мин. платы'!$B$10:$T$209,MATCH(ЛОТЫ!$K671,'Ведомость расчета мин. платы'!$B$10:$B$209,0),2)</f>
        <v>Восходское</v>
      </c>
      <c r="M671" s="95">
        <f>INDEX('Ведомость расчета мин. платы'!$B$10:$T$209,MATCH(ЛОТЫ!$K671,'Ведомость расчета мин. платы'!$B$10:$B$209,0),3)</f>
        <v>45</v>
      </c>
      <c r="N671" s="95">
        <f>INDEX('Ведомость расчета мин. платы'!$B$10:$T$209,MATCH(ЛОТЫ!$K671,'Ведомость расчета мин. платы'!$B$10:$B$209,0),4)</f>
        <v>8</v>
      </c>
      <c r="O671" s="95">
        <f>INDEX('Ведомость расчета мин. платы'!$B$10:$T$209,MATCH(ЛОТЫ!$K671,'Ведомость расчета мин. платы'!$B$10:$B$209,0),5)</f>
        <v>1</v>
      </c>
      <c r="P671" s="89">
        <f>IFERROR(INDEX(Коэффициенты!$G$4:$O$106,MATCH(CONCATENATE($L671,"/",$M671,"/",$N671,"/",$O671),Коэффициенты!$O$4:$O$106,0),1),"")</f>
        <v>7</v>
      </c>
      <c r="Q671" s="40">
        <f>IFERROR(INDEX(Коэффициенты!$G$4:$O$106,MATCH(CONCATENATE($L671,"/",$M671,"/",$N671,"/",$O671),Коэффициенты!$O$4:$O$106,0),6),"")</f>
        <v>1484.82</v>
      </c>
      <c r="R671" s="40">
        <f>IFERROR(INDEX(Коэффициенты!$G$4:$O$106,MATCH(CONCATENATE($L671,"/",$M671,"/",$N671,"/",$O671),Коэффициенты!$O$4:$O$106,0),2),"")</f>
        <v>26076.519999999997</v>
      </c>
      <c r="S671" s="43" t="str">
        <f>IFERROR(INDEX('Такс. опис.'!$A$5:$BW$50,MATCH(CONCATENATE($L671,"/",$M671,"/",$N671),'Такс. опис.'!$C$5:$C$50,0),26),"")</f>
        <v>7ОС3Б+ЛП</v>
      </c>
      <c r="T671" s="43" t="str">
        <f>IFERROR(INDEX('Такс. опис.'!$A$5:$BW$50,MATCH(CONCATENATE($L671,"/",$M671,"/",$N671),'Такс. опис.'!$C$5:$C$50,0),47),"")</f>
        <v>Осина</v>
      </c>
      <c r="U671" s="43">
        <f>IFERROR(INDEX('Такс. опис.'!$A$5:$BW$50,MATCH(CONCATENATE($L671,"/",$M671,"/",$N671),'Такс. опис.'!$C$5:$C$50,0),49),"")</f>
        <v>55</v>
      </c>
      <c r="V671" s="103">
        <f>IFERROR(INDEX('Ведомость расчета мин. платы'!$AC$10:$AD$214,MATCH(CONCATENATE($L671,"/",$M671,"/",$N671,"/",$O671),'Ведомость расчета мин. платы'!$AC$10:$AC$214,0),2),"")</f>
        <v>1.6</v>
      </c>
      <c r="W671" s="40">
        <f>E699</f>
        <v>1.92</v>
      </c>
      <c r="X671" s="40">
        <f>D701</f>
        <v>50066.918399999995</v>
      </c>
      <c r="Y671" s="91">
        <f>D702</f>
        <v>33.71918373944316</v>
      </c>
      <c r="Z671" s="88"/>
      <c r="AA671" s="86">
        <f t="shared" ref="AA671:AA708" si="28">IF(M671&gt;0,1,0)</f>
        <v>1</v>
      </c>
    </row>
    <row r="672" spans="2:27" ht="19.5" x14ac:dyDescent="0.25">
      <c r="B672" s="50"/>
      <c r="C672" s="333"/>
      <c r="D672" s="338" t="str">
        <f>CONCATENATE(L671, " участковое лесничество")</f>
        <v>Восходское участковое лесничество</v>
      </c>
      <c r="E672" s="338"/>
      <c r="F672" s="338"/>
      <c r="G672" s="338"/>
      <c r="H672" s="90"/>
      <c r="I672" s="88"/>
      <c r="J672" s="88">
        <f>IFERROR(IF(ISBLANK(K671),"",K671),"")</f>
        <v>19</v>
      </c>
      <c r="K672" s="88"/>
      <c r="L672" s="88"/>
      <c r="M672" s="88"/>
      <c r="N672" s="88"/>
      <c r="O672" s="88"/>
      <c r="P672" s="88"/>
      <c r="Q672" s="88"/>
      <c r="R672" s="88"/>
      <c r="S672" s="88"/>
      <c r="T672" s="88"/>
      <c r="U672" s="88"/>
      <c r="V672" s="88"/>
      <c r="W672" s="88"/>
      <c r="X672" s="88"/>
      <c r="Y672" s="88"/>
      <c r="Z672" s="88"/>
    </row>
    <row r="673" spans="2:26" ht="19.5" x14ac:dyDescent="0.25">
      <c r="B673" s="50"/>
      <c r="C673" s="334"/>
      <c r="D673" s="338" t="str">
        <f>CONCATENATE("кв. ",M671," ","выд."," ",N671," ","делянка", " ",O671)</f>
        <v>кв. 45 выд. 8 делянка 1</v>
      </c>
      <c r="E673" s="338"/>
      <c r="F673" s="338"/>
      <c r="G673" s="338"/>
      <c r="H673" s="90"/>
      <c r="I673" s="88"/>
      <c r="J673" s="88"/>
      <c r="K673" s="88"/>
      <c r="L673" s="88"/>
      <c r="M673" s="88"/>
      <c r="N673" s="88"/>
      <c r="O673" s="88"/>
      <c r="P673" s="88"/>
      <c r="Q673" s="88"/>
      <c r="R673" s="88"/>
      <c r="S673" s="88"/>
      <c r="T673" s="88"/>
      <c r="U673" s="88"/>
      <c r="V673" s="88"/>
      <c r="W673" s="88"/>
      <c r="X673" s="88"/>
      <c r="Y673" s="88"/>
      <c r="Z673" s="88"/>
    </row>
    <row r="674" spans="2:26" ht="23.25" x14ac:dyDescent="0.25">
      <c r="B674" s="49"/>
      <c r="C674" s="61" t="s">
        <v>495</v>
      </c>
      <c r="D674" s="51">
        <f>P671</f>
        <v>7</v>
      </c>
      <c r="E674" s="62"/>
      <c r="F674" s="50"/>
      <c r="G674" s="48"/>
      <c r="H674" s="87"/>
    </row>
    <row r="675" spans="2:26" ht="22.5" x14ac:dyDescent="0.25">
      <c r="B675" s="49"/>
      <c r="C675" s="63" t="s">
        <v>496</v>
      </c>
      <c r="D675" s="106">
        <f>Q671</f>
        <v>1484.82</v>
      </c>
      <c r="E675" s="309" t="s">
        <v>497</v>
      </c>
      <c r="F675" s="310"/>
      <c r="G675" s="313">
        <f>D676/D675</f>
        <v>17.562074864293315</v>
      </c>
      <c r="H675" s="87"/>
    </row>
    <row r="676" spans="2:26" ht="22.5" x14ac:dyDescent="0.25">
      <c r="B676" s="49"/>
      <c r="C676" s="63" t="s">
        <v>498</v>
      </c>
      <c r="D676" s="52">
        <f>R671</f>
        <v>26076.519999999997</v>
      </c>
      <c r="E676" s="311"/>
      <c r="F676" s="312"/>
      <c r="G676" s="314"/>
      <c r="H676" s="87"/>
    </row>
    <row r="677" spans="2:26" ht="23.25" x14ac:dyDescent="0.25">
      <c r="B677" s="49"/>
      <c r="C677" s="64"/>
      <c r="D677" s="53"/>
      <c r="E677" s="65"/>
      <c r="F677" s="49"/>
      <c r="G677" s="48"/>
      <c r="H677" s="87"/>
    </row>
    <row r="678" spans="2:26" ht="23.25" x14ac:dyDescent="0.25">
      <c r="B678" s="49"/>
      <c r="C678" s="82" t="s">
        <v>499</v>
      </c>
      <c r="D678" s="96" t="str">
        <f>S671</f>
        <v>7ОС3Б+ЛП</v>
      </c>
      <c r="E678" s="49"/>
      <c r="F678" s="49"/>
      <c r="G678" s="48"/>
      <c r="H678" s="87"/>
    </row>
    <row r="679" spans="2:26" ht="23.25" x14ac:dyDescent="0.25">
      <c r="B679" s="49"/>
      <c r="C679" s="82" t="s">
        <v>500</v>
      </c>
      <c r="D679" s="96">
        <f>U671</f>
        <v>55</v>
      </c>
      <c r="E679" s="49"/>
      <c r="F679" s="49"/>
      <c r="G679" s="48"/>
      <c r="H679" s="87"/>
    </row>
    <row r="680" spans="2:26" ht="23.25" x14ac:dyDescent="0.25">
      <c r="B680" s="49"/>
      <c r="C680" s="82" t="s">
        <v>501</v>
      </c>
      <c r="D680" s="83" t="s">
        <v>502</v>
      </c>
      <c r="E680" s="49"/>
      <c r="F680" s="49"/>
      <c r="G680" s="48"/>
      <c r="H680" s="87"/>
    </row>
    <row r="681" spans="2:26" ht="24" thickBot="1" x14ac:dyDescent="0.3">
      <c r="B681" s="49"/>
      <c r="C681" s="49"/>
      <c r="D681" s="49"/>
      <c r="E681" s="49"/>
      <c r="F681" s="49"/>
      <c r="G681" s="48"/>
      <c r="H681" s="87"/>
    </row>
    <row r="682" spans="2:26" ht="48" thickBot="1" x14ac:dyDescent="0.3">
      <c r="B682" s="315" t="s">
        <v>436</v>
      </c>
      <c r="C682" s="316"/>
      <c r="D682" s="54" t="s">
        <v>503</v>
      </c>
      <c r="E682" s="317" t="s">
        <v>504</v>
      </c>
      <c r="F682" s="318"/>
      <c r="G682" s="55" t="s">
        <v>505</v>
      </c>
      <c r="H682" s="87"/>
    </row>
    <row r="683" spans="2:26" ht="24" thickBot="1" x14ac:dyDescent="0.3">
      <c r="B683" s="319" t="s">
        <v>506</v>
      </c>
      <c r="C683" s="320"/>
      <c r="D683" s="136">
        <v>197.93</v>
      </c>
      <c r="E683" s="136">
        <f>D674</f>
        <v>7</v>
      </c>
      <c r="F683" s="77" t="s">
        <v>434</v>
      </c>
      <c r="G683" s="142">
        <f t="shared" ref="G683:G690" si="29">D683*E683</f>
        <v>1385.51</v>
      </c>
      <c r="H683" s="321"/>
    </row>
    <row r="684" spans="2:26" ht="23.25" x14ac:dyDescent="0.25">
      <c r="B684" s="322" t="s">
        <v>507</v>
      </c>
      <c r="C684" s="323"/>
      <c r="D684" s="137">
        <v>159.44</v>
      </c>
      <c r="E684" s="137">
        <f>V671</f>
        <v>1.6</v>
      </c>
      <c r="F684" s="78" t="s">
        <v>437</v>
      </c>
      <c r="G684" s="143">
        <f t="shared" si="29"/>
        <v>255.10400000000001</v>
      </c>
      <c r="H684" s="321"/>
    </row>
    <row r="685" spans="2:26" ht="24" thickBot="1" x14ac:dyDescent="0.3">
      <c r="B685" s="324" t="s">
        <v>508</v>
      </c>
      <c r="C685" s="325"/>
      <c r="D685" s="138">
        <v>276.62</v>
      </c>
      <c r="E685" s="138">
        <f>V671</f>
        <v>1.6</v>
      </c>
      <c r="F685" s="79" t="s">
        <v>437</v>
      </c>
      <c r="G685" s="144">
        <f t="shared" si="29"/>
        <v>442.59200000000004</v>
      </c>
      <c r="H685" s="321"/>
    </row>
    <row r="686" spans="2:26" ht="24" thickBot="1" x14ac:dyDescent="0.3">
      <c r="B686" s="326" t="s">
        <v>438</v>
      </c>
      <c r="C686" s="327"/>
      <c r="D686" s="139">
        <v>519</v>
      </c>
      <c r="E686" s="139"/>
      <c r="F686" s="80" t="s">
        <v>434</v>
      </c>
      <c r="G686" s="145">
        <f t="shared" si="29"/>
        <v>0</v>
      </c>
      <c r="H686" s="321"/>
    </row>
    <row r="687" spans="2:26" ht="23.25" x14ac:dyDescent="0.25">
      <c r="B687" s="322" t="s">
        <v>509</v>
      </c>
      <c r="C687" s="323"/>
      <c r="D687" s="137">
        <v>920</v>
      </c>
      <c r="E687" s="137">
        <f>D674*2</f>
        <v>14</v>
      </c>
      <c r="F687" s="78" t="s">
        <v>434</v>
      </c>
      <c r="G687" s="143">
        <f t="shared" si="29"/>
        <v>12880</v>
      </c>
      <c r="H687" s="321"/>
    </row>
    <row r="688" spans="2:26" ht="23.25" x14ac:dyDescent="0.25">
      <c r="B688" s="328" t="s">
        <v>510</v>
      </c>
      <c r="C688" s="329"/>
      <c r="D688" s="140">
        <v>1300</v>
      </c>
      <c r="E688" s="140">
        <f>IF(T671="Осина",D674,"0")</f>
        <v>7</v>
      </c>
      <c r="F688" s="81" t="s">
        <v>434</v>
      </c>
      <c r="G688" s="146">
        <f t="shared" si="29"/>
        <v>9100</v>
      </c>
      <c r="H688" s="321"/>
    </row>
    <row r="689" spans="2:8" ht="23.25" x14ac:dyDescent="0.25">
      <c r="B689" s="328" t="s">
        <v>439</v>
      </c>
      <c r="C689" s="329"/>
      <c r="D689" s="141">
        <v>5165.12</v>
      </c>
      <c r="E689" s="140" t="str">
        <f>IF(T671="Осина","0",D674)</f>
        <v>0</v>
      </c>
      <c r="F689" s="81" t="s">
        <v>434</v>
      </c>
      <c r="G689" s="146">
        <f t="shared" si="29"/>
        <v>0</v>
      </c>
      <c r="H689" s="321"/>
    </row>
    <row r="690" spans="2:8" ht="23.25" x14ac:dyDescent="0.25">
      <c r="B690" s="328" t="s">
        <v>511</v>
      </c>
      <c r="C690" s="329"/>
      <c r="D690" s="141">
        <v>917</v>
      </c>
      <c r="E690" s="140" t="str">
        <f>IF(T671="Осина","0",D674)</f>
        <v>0</v>
      </c>
      <c r="F690" s="81" t="s">
        <v>434</v>
      </c>
      <c r="G690" s="146">
        <f t="shared" si="29"/>
        <v>0</v>
      </c>
      <c r="H690" s="321"/>
    </row>
    <row r="691" spans="2:8" ht="23.25" x14ac:dyDescent="0.25">
      <c r="B691" s="328" t="s">
        <v>441</v>
      </c>
      <c r="C691" s="329"/>
      <c r="D691" s="141">
        <v>461.56000000000006</v>
      </c>
      <c r="E691" s="140" t="str">
        <f>IF(T671="Осина","0",D674)</f>
        <v>0</v>
      </c>
      <c r="F691" s="81" t="s">
        <v>434</v>
      </c>
      <c r="G691" s="146">
        <f>D691*E691</f>
        <v>0</v>
      </c>
      <c r="H691" s="321"/>
    </row>
    <row r="692" spans="2:8" ht="24" thickBot="1" x14ac:dyDescent="0.3">
      <c r="B692" s="324" t="s">
        <v>440</v>
      </c>
      <c r="C692" s="325"/>
      <c r="D692" s="138">
        <v>353.15</v>
      </c>
      <c r="E692" s="140" t="str">
        <f>IF(T671="Осина","0",D674*4)</f>
        <v>0</v>
      </c>
      <c r="F692" s="79" t="s">
        <v>434</v>
      </c>
      <c r="G692" s="147">
        <f>D692*E692</f>
        <v>0</v>
      </c>
      <c r="H692" s="321"/>
    </row>
    <row r="693" spans="2:8" ht="23.25" x14ac:dyDescent="0.25">
      <c r="B693" s="49"/>
      <c r="C693" s="66"/>
      <c r="D693" s="66"/>
      <c r="E693" s="56"/>
      <c r="F693" s="56"/>
      <c r="G693" s="48"/>
      <c r="H693" s="92"/>
    </row>
    <row r="694" spans="2:8" ht="25.5" x14ac:dyDescent="0.25">
      <c r="B694" s="49"/>
      <c r="C694" s="59" t="s">
        <v>512</v>
      </c>
      <c r="D694" s="60"/>
      <c r="E694" s="49"/>
      <c r="F694" s="49"/>
      <c r="G694" s="48"/>
      <c r="H694" s="87"/>
    </row>
    <row r="695" spans="2:8" ht="18.75" x14ac:dyDescent="0.25">
      <c r="B695" s="49"/>
      <c r="C695" s="306" t="s">
        <v>513</v>
      </c>
      <c r="D695" s="84" t="s">
        <v>514</v>
      </c>
      <c r="E695" s="68">
        <f>ROUND((G683+D676)/D676,2)</f>
        <v>1.05</v>
      </c>
      <c r="F695" s="68"/>
      <c r="G695" s="50"/>
      <c r="H695" s="87"/>
    </row>
    <row r="696" spans="2:8" ht="23.25" x14ac:dyDescent="0.25">
      <c r="B696" s="49"/>
      <c r="C696" s="306"/>
      <c r="D696" s="84" t="s">
        <v>515</v>
      </c>
      <c r="E696" s="68">
        <f>ROUND((G684+G685+D676)/D676,2)</f>
        <v>1.03</v>
      </c>
      <c r="F696" s="68"/>
      <c r="G696" s="57"/>
      <c r="H696" s="93"/>
    </row>
    <row r="697" spans="2:8" ht="23.25" x14ac:dyDescent="0.25">
      <c r="B697" s="49"/>
      <c r="C697" s="306"/>
      <c r="D697" s="84" t="s">
        <v>516</v>
      </c>
      <c r="E697" s="68">
        <f>ROUND((G686+D676)/D676,2)</f>
        <v>1</v>
      </c>
      <c r="F697" s="50"/>
      <c r="G697" s="57"/>
      <c r="H697" s="87"/>
    </row>
    <row r="698" spans="2:8" ht="23.25" x14ac:dyDescent="0.25">
      <c r="B698" s="49"/>
      <c r="C698" s="306"/>
      <c r="D698" s="69" t="s">
        <v>517</v>
      </c>
      <c r="E698" s="70">
        <f>ROUND((SUM(G687:G692)+D676)/D676,2)</f>
        <v>1.84</v>
      </c>
      <c r="F698" s="50"/>
      <c r="G698" s="57"/>
      <c r="H698" s="87"/>
    </row>
    <row r="699" spans="2:8" ht="25.5" x14ac:dyDescent="0.25">
      <c r="B699" s="49"/>
      <c r="C699" s="49"/>
      <c r="D699" s="71" t="s">
        <v>518</v>
      </c>
      <c r="E699" s="72">
        <f>SUM(E695:E698)-IF(D680="сплошная",3,2)</f>
        <v>1.92</v>
      </c>
      <c r="F699" s="73"/>
      <c r="G699" s="48"/>
      <c r="H699" s="87"/>
    </row>
    <row r="700" spans="2:8" ht="23.25" x14ac:dyDescent="0.25">
      <c r="B700" s="49"/>
      <c r="C700" s="49"/>
      <c r="D700" s="49"/>
      <c r="E700" s="74"/>
      <c r="F700" s="49"/>
      <c r="G700" s="48"/>
      <c r="H700" s="87"/>
    </row>
    <row r="701" spans="2:8" ht="25.5" x14ac:dyDescent="0.35">
      <c r="B701" s="58"/>
      <c r="C701" s="75" t="s">
        <v>519</v>
      </c>
      <c r="D701" s="307">
        <f>E699*D676</f>
        <v>50066.918399999995</v>
      </c>
      <c r="E701" s="307"/>
      <c r="F701" s="49"/>
      <c r="G701" s="48"/>
      <c r="H701" s="87"/>
    </row>
    <row r="702" spans="2:8" ht="18.75" x14ac:dyDescent="0.3">
      <c r="B702" s="49"/>
      <c r="C702" s="76" t="s">
        <v>520</v>
      </c>
      <c r="D702" s="308">
        <f>D701/D675</f>
        <v>33.71918373944316</v>
      </c>
      <c r="E702" s="308"/>
      <c r="F702" s="49"/>
      <c r="G702" s="49"/>
      <c r="H702" s="94"/>
    </row>
    <row r="705" spans="2:27" ht="60.75" x14ac:dyDescent="0.8">
      <c r="B705" s="330" t="str">
        <f>CONCATENATE("ЛОТ № ",K708)</f>
        <v>ЛОТ № 20</v>
      </c>
      <c r="C705" s="330"/>
      <c r="D705" s="330"/>
      <c r="E705" s="330"/>
      <c r="F705" s="330"/>
      <c r="G705" s="330"/>
      <c r="H705" s="330"/>
    </row>
    <row r="706" spans="2:27" ht="18.75" x14ac:dyDescent="0.25">
      <c r="B706" s="331" t="s">
        <v>492</v>
      </c>
      <c r="C706" s="331"/>
      <c r="D706" s="331"/>
      <c r="E706" s="331"/>
      <c r="F706" s="331"/>
      <c r="G706" s="331"/>
      <c r="H706" s="87"/>
    </row>
    <row r="707" spans="2:27" ht="25.5" x14ac:dyDescent="0.25">
      <c r="B707" s="49"/>
      <c r="C707" s="59" t="s">
        <v>493</v>
      </c>
      <c r="D707" s="60"/>
      <c r="E707" s="49"/>
      <c r="F707" s="49"/>
      <c r="G707" s="48"/>
      <c r="H707" s="87"/>
      <c r="I707" s="88"/>
      <c r="J707" s="88"/>
      <c r="K707" s="88"/>
      <c r="L707" s="88" t="s">
        <v>454</v>
      </c>
      <c r="M707" s="88" t="s">
        <v>444</v>
      </c>
      <c r="N707" s="88" t="s">
        <v>445</v>
      </c>
      <c r="O707" s="88" t="s">
        <v>453</v>
      </c>
      <c r="P707" s="89" t="s">
        <v>446</v>
      </c>
      <c r="Q707" s="88" t="s">
        <v>435</v>
      </c>
      <c r="R707" s="40" t="s">
        <v>447</v>
      </c>
      <c r="S707" s="40" t="s">
        <v>522</v>
      </c>
      <c r="T707" s="88" t="s">
        <v>118</v>
      </c>
      <c r="U707" s="88" t="s">
        <v>500</v>
      </c>
      <c r="V707" s="88" t="s">
        <v>450</v>
      </c>
      <c r="W707" s="40" t="s">
        <v>448</v>
      </c>
      <c r="X707" s="40" t="s">
        <v>449</v>
      </c>
      <c r="Y707" s="88" t="s">
        <v>523</v>
      </c>
      <c r="Z707" s="88"/>
    </row>
    <row r="708" spans="2:27" ht="39.950000000000003" customHeight="1" x14ac:dyDescent="0.25">
      <c r="B708" s="50"/>
      <c r="C708" s="332" t="s">
        <v>494</v>
      </c>
      <c r="D708" s="335" t="s">
        <v>521</v>
      </c>
      <c r="E708" s="336"/>
      <c r="F708" s="336"/>
      <c r="G708" s="337"/>
      <c r="H708" s="90"/>
      <c r="I708" s="88" t="s">
        <v>443</v>
      </c>
      <c r="J708" s="88"/>
      <c r="K708" s="43">
        <f>IF(I708="","",COUNTA(I$5:I708))</f>
        <v>20</v>
      </c>
      <c r="L708" s="95" t="str">
        <f>INDEX('Ведомость расчета мин. платы'!$B$10:$T$209,MATCH(ЛОТЫ!$K708,'Ведомость расчета мин. платы'!$B$10:$B$209,0),2)</f>
        <v>Мамыковское</v>
      </c>
      <c r="M708" s="95">
        <f>INDEX('Ведомость расчета мин. платы'!$B$10:$T$209,MATCH(ЛОТЫ!$K708,'Ведомость расчета мин. платы'!$B$10:$B$209,0),3)</f>
        <v>8</v>
      </c>
      <c r="N708" s="95">
        <f>INDEX('Ведомость расчета мин. платы'!$B$10:$T$209,MATCH(ЛОТЫ!$K708,'Ведомость расчета мин. платы'!$B$10:$B$209,0),4)</f>
        <v>5</v>
      </c>
      <c r="O708" s="95">
        <f>INDEX('Ведомость расчета мин. платы'!$B$10:$T$209,MATCH(ЛОТЫ!$K708,'Ведомость расчета мин. платы'!$B$10:$B$209,0),5)</f>
        <v>1</v>
      </c>
      <c r="P708" s="89">
        <f>IFERROR(INDEX(Коэффициенты!$G$4:$O$106,MATCH(CONCATENATE($L708,"/",$M708,"/",$N708,"/",$O708),Коэффициенты!$O$4:$O$106,0),1),"")</f>
        <v>5.6</v>
      </c>
      <c r="Q708" s="40">
        <f>IFERROR(INDEX(Коэффициенты!$G$4:$O$106,MATCH(CONCATENATE($L708,"/",$M708,"/",$N708,"/",$O708),Коэффициенты!$O$4:$O$106,0),6),"")</f>
        <v>745.77</v>
      </c>
      <c r="R708" s="40">
        <f>IFERROR(INDEX(Коэффициенты!$G$4:$O$106,MATCH(CONCATENATE($L708,"/",$M708,"/",$N708,"/",$O708),Коэффициенты!$O$4:$O$106,0),2),"")</f>
        <v>52898.83</v>
      </c>
      <c r="S708" s="43" t="str">
        <f>IFERROR(INDEX('Такс. опис.'!$A$5:$BW$50,MATCH(CONCATENATE($L708,"/",$M708,"/",$N708),'Такс. опис.'!$C$5:$C$50,0),26),"")</f>
        <v>5ОС3ЛП2Д</v>
      </c>
      <c r="T708" s="43" t="str">
        <f>IFERROR(INDEX('Такс. опис.'!$A$5:$BW$50,MATCH(CONCATENATE($L708,"/",$M708,"/",$N708),'Такс. опис.'!$C$5:$C$50,0),47),"")</f>
        <v>Осина</v>
      </c>
      <c r="U708" s="43">
        <f>IFERROR(INDEX('Такс. опис.'!$A$5:$BW$50,MATCH(CONCATENATE($L708,"/",$M708,"/",$N708),'Такс. опис.'!$C$5:$C$50,0),49),"")</f>
        <v>50</v>
      </c>
      <c r="V708" s="103">
        <f>IFERROR(INDEX('Ведомость расчета мин. платы'!$AC$10:$AD$214,MATCH(CONCATENATE($L708,"/",$M708,"/",$N708,"/",$O708),'Ведомость расчета мин. платы'!$AC$10:$AC$214,0),2),"")</f>
        <v>1.32</v>
      </c>
      <c r="W708" s="40">
        <f>E736</f>
        <v>1.3600000000000003</v>
      </c>
      <c r="X708" s="40">
        <f>D738</f>
        <v>71942.408800000019</v>
      </c>
      <c r="Y708" s="91">
        <f>D739</f>
        <v>96.467287233329344</v>
      </c>
      <c r="Z708" s="88"/>
      <c r="AA708" s="86">
        <f t="shared" si="28"/>
        <v>1</v>
      </c>
    </row>
    <row r="709" spans="2:27" ht="19.5" x14ac:dyDescent="0.25">
      <c r="B709" s="50"/>
      <c r="C709" s="333"/>
      <c r="D709" s="338" t="str">
        <f>CONCATENATE(L708, " участковое лесничество")</f>
        <v>Мамыковское участковое лесничество</v>
      </c>
      <c r="E709" s="338"/>
      <c r="F709" s="338"/>
      <c r="G709" s="338"/>
      <c r="H709" s="90"/>
      <c r="I709" s="88"/>
      <c r="J709" s="88">
        <f>IFERROR(IF(ISBLANK(K708),"",K708),"")</f>
        <v>20</v>
      </c>
      <c r="K709" s="88"/>
      <c r="L709" s="88"/>
      <c r="M709" s="88"/>
      <c r="N709" s="88"/>
      <c r="O709" s="88"/>
      <c r="P709" s="88"/>
      <c r="Q709" s="88"/>
      <c r="R709" s="88"/>
      <c r="S709" s="88"/>
      <c r="T709" s="88"/>
      <c r="U709" s="88"/>
      <c r="V709" s="88"/>
      <c r="W709" s="88"/>
      <c r="X709" s="88"/>
      <c r="Y709" s="88"/>
      <c r="Z709" s="88"/>
    </row>
    <row r="710" spans="2:27" ht="19.5" x14ac:dyDescent="0.25">
      <c r="B710" s="50"/>
      <c r="C710" s="334"/>
      <c r="D710" s="338" t="str">
        <f>CONCATENATE("кв. ",M708," ","выд."," ",N708," ","делянка", " ",O708)</f>
        <v>кв. 8 выд. 5 делянка 1</v>
      </c>
      <c r="E710" s="338"/>
      <c r="F710" s="338"/>
      <c r="G710" s="338"/>
      <c r="H710" s="90"/>
      <c r="I710" s="88"/>
      <c r="J710" s="88"/>
      <c r="K710" s="88"/>
      <c r="L710" s="88"/>
      <c r="M710" s="88"/>
      <c r="N710" s="88"/>
      <c r="O710" s="88"/>
      <c r="P710" s="88"/>
      <c r="Q710" s="88"/>
      <c r="R710" s="88"/>
      <c r="S710" s="88"/>
      <c r="T710" s="88"/>
      <c r="U710" s="88"/>
      <c r="V710" s="88"/>
      <c r="W710" s="88"/>
      <c r="X710" s="88"/>
      <c r="Y710" s="88"/>
      <c r="Z710" s="88"/>
    </row>
    <row r="711" spans="2:27" ht="23.25" x14ac:dyDescent="0.25">
      <c r="B711" s="49"/>
      <c r="C711" s="61" t="s">
        <v>495</v>
      </c>
      <c r="D711" s="51">
        <f>P708</f>
        <v>5.6</v>
      </c>
      <c r="E711" s="62"/>
      <c r="F711" s="50"/>
      <c r="G711" s="48"/>
      <c r="H711" s="87"/>
    </row>
    <row r="712" spans="2:27" ht="22.5" x14ac:dyDescent="0.25">
      <c r="B712" s="49"/>
      <c r="C712" s="63" t="s">
        <v>496</v>
      </c>
      <c r="D712" s="106">
        <f>Q708</f>
        <v>745.77</v>
      </c>
      <c r="E712" s="309" t="s">
        <v>497</v>
      </c>
      <c r="F712" s="310"/>
      <c r="G712" s="313">
        <f>D713/D712</f>
        <v>70.931828848036261</v>
      </c>
      <c r="H712" s="87"/>
    </row>
    <row r="713" spans="2:27" ht="22.5" x14ac:dyDescent="0.25">
      <c r="B713" s="49"/>
      <c r="C713" s="63" t="s">
        <v>498</v>
      </c>
      <c r="D713" s="52">
        <f>R708</f>
        <v>52898.83</v>
      </c>
      <c r="E713" s="311"/>
      <c r="F713" s="312"/>
      <c r="G713" s="314"/>
      <c r="H713" s="87"/>
    </row>
    <row r="714" spans="2:27" ht="23.25" x14ac:dyDescent="0.25">
      <c r="B714" s="49"/>
      <c r="C714" s="64"/>
      <c r="D714" s="53"/>
      <c r="E714" s="65"/>
      <c r="F714" s="49"/>
      <c r="G714" s="48"/>
      <c r="H714" s="87"/>
    </row>
    <row r="715" spans="2:27" ht="23.25" x14ac:dyDescent="0.25">
      <c r="B715" s="49"/>
      <c r="C715" s="82" t="s">
        <v>499</v>
      </c>
      <c r="D715" s="96" t="str">
        <f>S708</f>
        <v>5ОС3ЛП2Д</v>
      </c>
      <c r="E715" s="49"/>
      <c r="F715" s="49"/>
      <c r="G715" s="48"/>
      <c r="H715" s="87"/>
    </row>
    <row r="716" spans="2:27" ht="23.25" x14ac:dyDescent="0.25">
      <c r="B716" s="49"/>
      <c r="C716" s="82" t="s">
        <v>500</v>
      </c>
      <c r="D716" s="96">
        <f>U708</f>
        <v>50</v>
      </c>
      <c r="E716" s="49"/>
      <c r="F716" s="49"/>
      <c r="G716" s="48"/>
      <c r="H716" s="87"/>
    </row>
    <row r="717" spans="2:27" ht="23.25" x14ac:dyDescent="0.25">
      <c r="B717" s="49"/>
      <c r="C717" s="82" t="s">
        <v>501</v>
      </c>
      <c r="D717" s="83" t="s">
        <v>502</v>
      </c>
      <c r="E717" s="49"/>
      <c r="F717" s="49"/>
      <c r="G717" s="48"/>
      <c r="H717" s="87"/>
    </row>
    <row r="718" spans="2:27" ht="24" thickBot="1" x14ac:dyDescent="0.3">
      <c r="B718" s="49"/>
      <c r="C718" s="49"/>
      <c r="D718" s="49"/>
      <c r="E718" s="49"/>
      <c r="F718" s="49"/>
      <c r="G718" s="48"/>
      <c r="H718" s="87"/>
    </row>
    <row r="719" spans="2:27" ht="48" thickBot="1" x14ac:dyDescent="0.3">
      <c r="B719" s="315" t="s">
        <v>436</v>
      </c>
      <c r="C719" s="316"/>
      <c r="D719" s="54" t="s">
        <v>503</v>
      </c>
      <c r="E719" s="317" t="s">
        <v>504</v>
      </c>
      <c r="F719" s="318"/>
      <c r="G719" s="55" t="s">
        <v>505</v>
      </c>
      <c r="H719" s="87"/>
    </row>
    <row r="720" spans="2:27" ht="24" thickBot="1" x14ac:dyDescent="0.3">
      <c r="B720" s="319" t="s">
        <v>506</v>
      </c>
      <c r="C720" s="320"/>
      <c r="D720" s="136">
        <v>197.93</v>
      </c>
      <c r="E720" s="136">
        <f>D711</f>
        <v>5.6</v>
      </c>
      <c r="F720" s="77" t="s">
        <v>434</v>
      </c>
      <c r="G720" s="142">
        <f t="shared" ref="G720:G727" si="30">D720*E720</f>
        <v>1108.4079999999999</v>
      </c>
      <c r="H720" s="321"/>
    </row>
    <row r="721" spans="2:8" ht="23.25" x14ac:dyDescent="0.25">
      <c r="B721" s="322" t="s">
        <v>507</v>
      </c>
      <c r="C721" s="323"/>
      <c r="D721" s="137">
        <v>159.44</v>
      </c>
      <c r="E721" s="137">
        <f>V708</f>
        <v>1.32</v>
      </c>
      <c r="F721" s="78" t="s">
        <v>437</v>
      </c>
      <c r="G721" s="143">
        <f t="shared" si="30"/>
        <v>210.46080000000001</v>
      </c>
      <c r="H721" s="321"/>
    </row>
    <row r="722" spans="2:8" ht="24" thickBot="1" x14ac:dyDescent="0.3">
      <c r="B722" s="324" t="s">
        <v>508</v>
      </c>
      <c r="C722" s="325"/>
      <c r="D722" s="138">
        <v>276.62</v>
      </c>
      <c r="E722" s="138">
        <f>V708</f>
        <v>1.32</v>
      </c>
      <c r="F722" s="79" t="s">
        <v>437</v>
      </c>
      <c r="G722" s="144">
        <f t="shared" si="30"/>
        <v>365.13840000000005</v>
      </c>
      <c r="H722" s="321"/>
    </row>
    <row r="723" spans="2:8" ht="24" thickBot="1" x14ac:dyDescent="0.3">
      <c r="B723" s="326" t="s">
        <v>438</v>
      </c>
      <c r="C723" s="327"/>
      <c r="D723" s="139">
        <v>519</v>
      </c>
      <c r="E723" s="139"/>
      <c r="F723" s="80" t="s">
        <v>434</v>
      </c>
      <c r="G723" s="145">
        <f t="shared" si="30"/>
        <v>0</v>
      </c>
      <c r="H723" s="321"/>
    </row>
    <row r="724" spans="2:8" ht="23.25" x14ac:dyDescent="0.25">
      <c r="B724" s="322" t="s">
        <v>509</v>
      </c>
      <c r="C724" s="323"/>
      <c r="D724" s="137">
        <v>920</v>
      </c>
      <c r="E724" s="137">
        <f>D711*2</f>
        <v>11.2</v>
      </c>
      <c r="F724" s="78" t="s">
        <v>434</v>
      </c>
      <c r="G724" s="143">
        <f t="shared" si="30"/>
        <v>10304</v>
      </c>
      <c r="H724" s="321"/>
    </row>
    <row r="725" spans="2:8" ht="23.25" x14ac:dyDescent="0.25">
      <c r="B725" s="328" t="s">
        <v>510</v>
      </c>
      <c r="C725" s="329"/>
      <c r="D725" s="140">
        <v>1300</v>
      </c>
      <c r="E725" s="140">
        <f>IF(T708="Осина",D711,"0")</f>
        <v>5.6</v>
      </c>
      <c r="F725" s="81" t="s">
        <v>434</v>
      </c>
      <c r="G725" s="146">
        <f t="shared" si="30"/>
        <v>7279.9999999999991</v>
      </c>
      <c r="H725" s="321"/>
    </row>
    <row r="726" spans="2:8" ht="23.25" x14ac:dyDescent="0.25">
      <c r="B726" s="328" t="s">
        <v>439</v>
      </c>
      <c r="C726" s="329"/>
      <c r="D726" s="141">
        <v>5165.12</v>
      </c>
      <c r="E726" s="140" t="str">
        <f>IF(T708="Осина","0",D711)</f>
        <v>0</v>
      </c>
      <c r="F726" s="81" t="s">
        <v>434</v>
      </c>
      <c r="G726" s="146">
        <f t="shared" si="30"/>
        <v>0</v>
      </c>
      <c r="H726" s="321"/>
    </row>
    <row r="727" spans="2:8" ht="23.25" x14ac:dyDescent="0.25">
      <c r="B727" s="328" t="s">
        <v>511</v>
      </c>
      <c r="C727" s="329"/>
      <c r="D727" s="141">
        <v>917</v>
      </c>
      <c r="E727" s="140" t="str">
        <f>IF(T708="Осина","0",D711)</f>
        <v>0</v>
      </c>
      <c r="F727" s="81" t="s">
        <v>434</v>
      </c>
      <c r="G727" s="146">
        <f t="shared" si="30"/>
        <v>0</v>
      </c>
      <c r="H727" s="321"/>
    </row>
    <row r="728" spans="2:8" ht="23.25" x14ac:dyDescent="0.25">
      <c r="B728" s="328" t="s">
        <v>441</v>
      </c>
      <c r="C728" s="329"/>
      <c r="D728" s="141">
        <v>461.56000000000006</v>
      </c>
      <c r="E728" s="140" t="str">
        <f>IF(T708="Осина","0",D711)</f>
        <v>0</v>
      </c>
      <c r="F728" s="81" t="s">
        <v>434</v>
      </c>
      <c r="G728" s="146">
        <f>D728*E728</f>
        <v>0</v>
      </c>
      <c r="H728" s="321"/>
    </row>
    <row r="729" spans="2:8" ht="24" thickBot="1" x14ac:dyDescent="0.3">
      <c r="B729" s="324" t="s">
        <v>440</v>
      </c>
      <c r="C729" s="325"/>
      <c r="D729" s="138">
        <v>353.15</v>
      </c>
      <c r="E729" s="140" t="str">
        <f>IF(T708="Осина","0",D711*4)</f>
        <v>0</v>
      </c>
      <c r="F729" s="79" t="s">
        <v>434</v>
      </c>
      <c r="G729" s="147">
        <f>D729*E729</f>
        <v>0</v>
      </c>
      <c r="H729" s="321"/>
    </row>
    <row r="730" spans="2:8" ht="23.25" x14ac:dyDescent="0.25">
      <c r="B730" s="49"/>
      <c r="C730" s="66"/>
      <c r="D730" s="66"/>
      <c r="E730" s="56"/>
      <c r="F730" s="56"/>
      <c r="G730" s="48"/>
      <c r="H730" s="92"/>
    </row>
    <row r="731" spans="2:8" ht="25.5" x14ac:dyDescent="0.25">
      <c r="B731" s="49"/>
      <c r="C731" s="59" t="s">
        <v>512</v>
      </c>
      <c r="D731" s="60"/>
      <c r="E731" s="49"/>
      <c r="F731" s="49"/>
      <c r="G731" s="48"/>
      <c r="H731" s="87"/>
    </row>
    <row r="732" spans="2:8" ht="18.75" x14ac:dyDescent="0.25">
      <c r="B732" s="49"/>
      <c r="C732" s="306" t="s">
        <v>513</v>
      </c>
      <c r="D732" s="84" t="s">
        <v>514</v>
      </c>
      <c r="E732" s="68">
        <f>ROUND((G720+D713)/D713,2)</f>
        <v>1.02</v>
      </c>
      <c r="F732" s="68"/>
      <c r="G732" s="50"/>
      <c r="H732" s="87"/>
    </row>
    <row r="733" spans="2:8" ht="23.25" x14ac:dyDescent="0.25">
      <c r="B733" s="49"/>
      <c r="C733" s="306"/>
      <c r="D733" s="84" t="s">
        <v>515</v>
      </c>
      <c r="E733" s="68">
        <f>ROUND((G721+G722+D713)/D713,2)</f>
        <v>1.01</v>
      </c>
      <c r="F733" s="68"/>
      <c r="G733" s="57"/>
      <c r="H733" s="93"/>
    </row>
    <row r="734" spans="2:8" ht="23.25" x14ac:dyDescent="0.25">
      <c r="B734" s="49"/>
      <c r="C734" s="306"/>
      <c r="D734" s="84" t="s">
        <v>516</v>
      </c>
      <c r="E734" s="68">
        <f>ROUND((G723+D713)/D713,2)</f>
        <v>1</v>
      </c>
      <c r="F734" s="50"/>
      <c r="G734" s="57"/>
      <c r="H734" s="87"/>
    </row>
    <row r="735" spans="2:8" ht="23.25" x14ac:dyDescent="0.25">
      <c r="B735" s="49"/>
      <c r="C735" s="306"/>
      <c r="D735" s="69" t="s">
        <v>517</v>
      </c>
      <c r="E735" s="70">
        <f>ROUND((SUM(G724:G729)+D713)/D713,2)</f>
        <v>1.33</v>
      </c>
      <c r="F735" s="50"/>
      <c r="G735" s="57"/>
      <c r="H735" s="87"/>
    </row>
    <row r="736" spans="2:8" ht="25.5" x14ac:dyDescent="0.25">
      <c r="B736" s="49"/>
      <c r="C736" s="49"/>
      <c r="D736" s="71" t="s">
        <v>518</v>
      </c>
      <c r="E736" s="72">
        <f>SUM(E732:E735)-IF(D717="сплошная",3,2)</f>
        <v>1.3600000000000003</v>
      </c>
      <c r="F736" s="73"/>
      <c r="G736" s="48"/>
      <c r="H736" s="87"/>
    </row>
    <row r="737" spans="2:27" ht="23.25" x14ac:dyDescent="0.25">
      <c r="B737" s="49"/>
      <c r="C737" s="49"/>
      <c r="D737" s="49"/>
      <c r="E737" s="74"/>
      <c r="F737" s="49"/>
      <c r="G737" s="48"/>
      <c r="H737" s="87"/>
    </row>
    <row r="738" spans="2:27" ht="25.5" x14ac:dyDescent="0.35">
      <c r="B738" s="58"/>
      <c r="C738" s="75" t="s">
        <v>519</v>
      </c>
      <c r="D738" s="307">
        <f>E736*D713</f>
        <v>71942.408800000019</v>
      </c>
      <c r="E738" s="307"/>
      <c r="F738" s="49"/>
      <c r="G738" s="48"/>
      <c r="H738" s="87"/>
    </row>
    <row r="739" spans="2:27" ht="18.75" x14ac:dyDescent="0.3">
      <c r="B739" s="49"/>
      <c r="C739" s="76" t="s">
        <v>520</v>
      </c>
      <c r="D739" s="308">
        <f>D738/D712</f>
        <v>96.467287233329344</v>
      </c>
      <c r="E739" s="308"/>
      <c r="F739" s="49"/>
      <c r="G739" s="49"/>
      <c r="H739" s="94"/>
    </row>
    <row r="742" spans="2:27" ht="60.75" x14ac:dyDescent="0.8">
      <c r="B742" s="330" t="str">
        <f>CONCATENATE("ЛОТ № ",K745)</f>
        <v>ЛОТ № 21</v>
      </c>
      <c r="C742" s="330"/>
      <c r="D742" s="330"/>
      <c r="E742" s="330"/>
      <c r="F742" s="330"/>
      <c r="G742" s="330"/>
      <c r="H742" s="330"/>
    </row>
    <row r="743" spans="2:27" ht="18.75" x14ac:dyDescent="0.25">
      <c r="B743" s="331" t="s">
        <v>492</v>
      </c>
      <c r="C743" s="331"/>
      <c r="D743" s="331"/>
      <c r="E743" s="331"/>
      <c r="F743" s="331"/>
      <c r="G743" s="331"/>
      <c r="H743" s="87"/>
    </row>
    <row r="744" spans="2:27" ht="25.5" x14ac:dyDescent="0.25">
      <c r="B744" s="49"/>
      <c r="C744" s="59" t="s">
        <v>493</v>
      </c>
      <c r="D744" s="60"/>
      <c r="E744" s="49"/>
      <c r="F744" s="49"/>
      <c r="G744" s="48"/>
      <c r="H744" s="87"/>
      <c r="I744" s="88"/>
      <c r="J744" s="88"/>
      <c r="K744" s="88"/>
      <c r="L744" s="88" t="s">
        <v>454</v>
      </c>
      <c r="M744" s="88" t="s">
        <v>444</v>
      </c>
      <c r="N744" s="88" t="s">
        <v>445</v>
      </c>
      <c r="O744" s="88" t="s">
        <v>453</v>
      </c>
      <c r="P744" s="89" t="s">
        <v>446</v>
      </c>
      <c r="Q744" s="88" t="s">
        <v>435</v>
      </c>
      <c r="R744" s="40" t="s">
        <v>447</v>
      </c>
      <c r="S744" s="40" t="s">
        <v>522</v>
      </c>
      <c r="T744" s="88" t="s">
        <v>118</v>
      </c>
      <c r="U744" s="88" t="s">
        <v>500</v>
      </c>
      <c r="V744" s="88" t="s">
        <v>450</v>
      </c>
      <c r="W744" s="40" t="s">
        <v>448</v>
      </c>
      <c r="X744" s="40" t="s">
        <v>449</v>
      </c>
      <c r="Y744" s="88" t="s">
        <v>523</v>
      </c>
      <c r="Z744" s="88"/>
    </row>
    <row r="745" spans="2:27" ht="39.950000000000003" customHeight="1" x14ac:dyDescent="0.25">
      <c r="B745" s="50"/>
      <c r="C745" s="332" t="s">
        <v>494</v>
      </c>
      <c r="D745" s="335" t="s">
        <v>521</v>
      </c>
      <c r="E745" s="336"/>
      <c r="F745" s="336"/>
      <c r="G745" s="337"/>
      <c r="H745" s="90"/>
      <c r="I745" s="88" t="s">
        <v>443</v>
      </c>
      <c r="J745" s="88"/>
      <c r="K745" s="43">
        <f>IF(I745="","",COUNTA(I$5:I745))</f>
        <v>21</v>
      </c>
      <c r="L745" s="95" t="str">
        <f>INDEX('Ведомость расчета мин. платы'!$B$10:$T$209,MATCH(ЛОТЫ!$K745,'Ведомость расчета мин. платы'!$B$10:$B$209,0),2)</f>
        <v>Мамыковское</v>
      </c>
      <c r="M745" s="95">
        <f>INDEX('Ведомость расчета мин. платы'!$B$10:$T$209,MATCH(ЛОТЫ!$K745,'Ведомость расчета мин. платы'!$B$10:$B$209,0),3)</f>
        <v>25</v>
      </c>
      <c r="N745" s="95">
        <f>INDEX('Ведомость расчета мин. платы'!$B$10:$T$209,MATCH(ЛОТЫ!$K745,'Ведомость расчета мин. платы'!$B$10:$B$209,0),4)</f>
        <v>2</v>
      </c>
      <c r="O745" s="95">
        <f>INDEX('Ведомость расчета мин. платы'!$B$10:$T$209,MATCH(ЛОТЫ!$K745,'Ведомость расчета мин. платы'!$B$10:$B$209,0),5)</f>
        <v>1</v>
      </c>
      <c r="P745" s="89">
        <f>IFERROR(INDEX(Коэффициенты!$G$4:$O$106,MATCH(CONCATENATE($L745,"/",$M745,"/",$N745,"/",$O745),Коэффициенты!$O$4:$O$106,0),1),"")</f>
        <v>3.5</v>
      </c>
      <c r="Q745" s="40">
        <f>IFERROR(INDEX(Коэффициенты!$G$4:$O$106,MATCH(CONCATENATE($L745,"/",$M745,"/",$N745,"/",$O745),Коэффициенты!$O$4:$O$106,0),6),"")</f>
        <v>611.59999999999991</v>
      </c>
      <c r="R745" s="40">
        <f>IFERROR(INDEX(Коэффициенты!$G$4:$O$106,MATCH(CONCATENATE($L745,"/",$M745,"/",$N745,"/",$O745),Коэффициенты!$O$4:$O$106,0),2),"")</f>
        <v>7009.06</v>
      </c>
      <c r="S745" s="43" t="str">
        <f>IFERROR(INDEX('Такс. опис.'!$A$5:$BW$50,MATCH(CONCATENATE($L745,"/",$M745,"/",$N745),'Такс. опис.'!$C$5:$C$50,0),26),"")</f>
        <v>10ОС</v>
      </c>
      <c r="T745" s="43" t="str">
        <f>IFERROR(INDEX('Такс. опис.'!$A$5:$BW$50,MATCH(CONCATENATE($L745,"/",$M745,"/",$N745),'Такс. опис.'!$C$5:$C$50,0),47),"")</f>
        <v>Осина</v>
      </c>
      <c r="U745" s="43">
        <f>IFERROR(INDEX('Такс. опис.'!$A$5:$BW$50,MATCH(CONCATENATE($L745,"/",$M745,"/",$N745),'Такс. опис.'!$C$5:$C$50,0),49),"")</f>
        <v>50</v>
      </c>
      <c r="V745" s="103">
        <f>IFERROR(INDEX('Ведомость расчета мин. платы'!$AC$10:$AD$214,MATCH(CONCATENATE($L745,"/",$M745,"/",$N745,"/",$O745),'Ведомость расчета мин. платы'!$AC$10:$AC$214,0),2),"")</f>
        <v>0.9</v>
      </c>
      <c r="W745" s="40">
        <f>E773</f>
        <v>2.7300000000000004</v>
      </c>
      <c r="X745" s="40">
        <f>D775</f>
        <v>19134.733800000005</v>
      </c>
      <c r="Y745" s="91">
        <f>D776</f>
        <v>31.286353499018979</v>
      </c>
      <c r="Z745" s="88"/>
      <c r="AA745" s="86">
        <f t="shared" ref="AA745" si="31">IF(M745&gt;0,1,0)</f>
        <v>1</v>
      </c>
    </row>
    <row r="746" spans="2:27" ht="19.5" x14ac:dyDescent="0.25">
      <c r="B746" s="50"/>
      <c r="C746" s="333"/>
      <c r="D746" s="338" t="str">
        <f>CONCATENATE(L745, " участковое лесничество")</f>
        <v>Мамыковское участковое лесничество</v>
      </c>
      <c r="E746" s="338"/>
      <c r="F746" s="338"/>
      <c r="G746" s="338"/>
      <c r="H746" s="90"/>
      <c r="I746" s="88"/>
      <c r="J746" s="88">
        <f>IFERROR(IF(ISBLANK(K745),"",K745),"")</f>
        <v>21</v>
      </c>
      <c r="K746" s="88"/>
      <c r="L746" s="88"/>
      <c r="M746" s="88"/>
      <c r="N746" s="88"/>
      <c r="O746" s="88"/>
      <c r="P746" s="88"/>
      <c r="Q746" s="88"/>
      <c r="R746" s="88"/>
      <c r="S746" s="88"/>
      <c r="T746" s="88"/>
      <c r="U746" s="88"/>
      <c r="V746" s="88"/>
      <c r="W746" s="88"/>
      <c r="X746" s="88"/>
      <c r="Y746" s="88"/>
      <c r="Z746" s="88"/>
    </row>
    <row r="747" spans="2:27" ht="19.5" x14ac:dyDescent="0.25">
      <c r="B747" s="50"/>
      <c r="C747" s="334"/>
      <c r="D747" s="338" t="str">
        <f>CONCATENATE("кв. ",M745," ","выд."," ",N745," ","делянка", " ",O745)</f>
        <v>кв. 25 выд. 2 делянка 1</v>
      </c>
      <c r="E747" s="338"/>
      <c r="F747" s="338"/>
      <c r="G747" s="338"/>
      <c r="H747" s="90"/>
      <c r="I747" s="88"/>
      <c r="J747" s="88"/>
      <c r="K747" s="88"/>
      <c r="L747" s="88"/>
      <c r="M747" s="88"/>
      <c r="N747" s="88"/>
      <c r="O747" s="88"/>
      <c r="P747" s="88"/>
      <c r="Q747" s="88"/>
      <c r="R747" s="88"/>
      <c r="S747" s="88"/>
      <c r="T747" s="88"/>
      <c r="U747" s="88"/>
      <c r="V747" s="88"/>
      <c r="W747" s="88"/>
      <c r="X747" s="88"/>
      <c r="Y747" s="88"/>
      <c r="Z747" s="88"/>
    </row>
    <row r="748" spans="2:27" ht="23.25" x14ac:dyDescent="0.25">
      <c r="B748" s="49"/>
      <c r="C748" s="61" t="s">
        <v>495</v>
      </c>
      <c r="D748" s="51">
        <f>P745</f>
        <v>3.5</v>
      </c>
      <c r="E748" s="62"/>
      <c r="F748" s="50"/>
      <c r="G748" s="48"/>
      <c r="H748" s="87"/>
    </row>
    <row r="749" spans="2:27" ht="22.5" x14ac:dyDescent="0.25">
      <c r="B749" s="49"/>
      <c r="C749" s="63" t="s">
        <v>496</v>
      </c>
      <c r="D749" s="106">
        <f>Q745</f>
        <v>611.59999999999991</v>
      </c>
      <c r="E749" s="309" t="s">
        <v>497</v>
      </c>
      <c r="F749" s="310"/>
      <c r="G749" s="313">
        <f>D750/D749</f>
        <v>11.460202746893398</v>
      </c>
      <c r="H749" s="87"/>
    </row>
    <row r="750" spans="2:27" ht="22.5" x14ac:dyDescent="0.25">
      <c r="B750" s="49"/>
      <c r="C750" s="63" t="s">
        <v>498</v>
      </c>
      <c r="D750" s="52">
        <f>R745</f>
        <v>7009.06</v>
      </c>
      <c r="E750" s="311"/>
      <c r="F750" s="312"/>
      <c r="G750" s="314"/>
      <c r="H750" s="87"/>
    </row>
    <row r="751" spans="2:27" ht="23.25" x14ac:dyDescent="0.25">
      <c r="B751" s="49"/>
      <c r="C751" s="64"/>
      <c r="D751" s="53"/>
      <c r="E751" s="65"/>
      <c r="F751" s="49"/>
      <c r="G751" s="48"/>
      <c r="H751" s="87"/>
    </row>
    <row r="752" spans="2:27" ht="23.25" x14ac:dyDescent="0.25">
      <c r="B752" s="49"/>
      <c r="C752" s="82" t="s">
        <v>499</v>
      </c>
      <c r="D752" s="96" t="str">
        <f>S745</f>
        <v>10ОС</v>
      </c>
      <c r="E752" s="49"/>
      <c r="F752" s="49"/>
      <c r="G752" s="48"/>
      <c r="H752" s="87"/>
    </row>
    <row r="753" spans="2:8" ht="23.25" x14ac:dyDescent="0.25">
      <c r="B753" s="49"/>
      <c r="C753" s="82" t="s">
        <v>500</v>
      </c>
      <c r="D753" s="96">
        <f>U745</f>
        <v>50</v>
      </c>
      <c r="E753" s="49"/>
      <c r="F753" s="49"/>
      <c r="G753" s="48"/>
      <c r="H753" s="87"/>
    </row>
    <row r="754" spans="2:8" ht="23.25" x14ac:dyDescent="0.25">
      <c r="B754" s="49"/>
      <c r="C754" s="82" t="s">
        <v>501</v>
      </c>
      <c r="D754" s="83" t="s">
        <v>502</v>
      </c>
      <c r="E754" s="49"/>
      <c r="F754" s="49"/>
      <c r="G754" s="48"/>
      <c r="H754" s="87"/>
    </row>
    <row r="755" spans="2:8" ht="24" thickBot="1" x14ac:dyDescent="0.3">
      <c r="B755" s="49"/>
      <c r="C755" s="49"/>
      <c r="D755" s="49"/>
      <c r="E755" s="49"/>
      <c r="F755" s="49"/>
      <c r="G755" s="48"/>
      <c r="H755" s="87"/>
    </row>
    <row r="756" spans="2:8" ht="48" thickBot="1" x14ac:dyDescent="0.3">
      <c r="B756" s="315" t="s">
        <v>436</v>
      </c>
      <c r="C756" s="316"/>
      <c r="D756" s="54" t="s">
        <v>503</v>
      </c>
      <c r="E756" s="317" t="s">
        <v>504</v>
      </c>
      <c r="F756" s="318"/>
      <c r="G756" s="55" t="s">
        <v>505</v>
      </c>
      <c r="H756" s="87"/>
    </row>
    <row r="757" spans="2:8" ht="24" thickBot="1" x14ac:dyDescent="0.3">
      <c r="B757" s="319" t="s">
        <v>506</v>
      </c>
      <c r="C757" s="320"/>
      <c r="D757" s="136">
        <v>197.93</v>
      </c>
      <c r="E757" s="136">
        <f>D748</f>
        <v>3.5</v>
      </c>
      <c r="F757" s="77" t="s">
        <v>434</v>
      </c>
      <c r="G757" s="142">
        <f t="shared" ref="G757:G764" si="32">D757*E757</f>
        <v>692.755</v>
      </c>
      <c r="H757" s="321"/>
    </row>
    <row r="758" spans="2:8" ht="23.25" x14ac:dyDescent="0.25">
      <c r="B758" s="322" t="s">
        <v>507</v>
      </c>
      <c r="C758" s="323"/>
      <c r="D758" s="137">
        <v>159.44</v>
      </c>
      <c r="E758" s="137">
        <f>V745</f>
        <v>0.9</v>
      </c>
      <c r="F758" s="78" t="s">
        <v>437</v>
      </c>
      <c r="G758" s="143">
        <f t="shared" si="32"/>
        <v>143.49600000000001</v>
      </c>
      <c r="H758" s="321"/>
    </row>
    <row r="759" spans="2:8" ht="24" thickBot="1" x14ac:dyDescent="0.3">
      <c r="B759" s="324" t="s">
        <v>508</v>
      </c>
      <c r="C759" s="325"/>
      <c r="D759" s="138">
        <v>276.62</v>
      </c>
      <c r="E759" s="138">
        <f>V745</f>
        <v>0.9</v>
      </c>
      <c r="F759" s="79" t="s">
        <v>437</v>
      </c>
      <c r="G759" s="144">
        <f t="shared" si="32"/>
        <v>248.958</v>
      </c>
      <c r="H759" s="321"/>
    </row>
    <row r="760" spans="2:8" ht="24" thickBot="1" x14ac:dyDescent="0.3">
      <c r="B760" s="326" t="s">
        <v>438</v>
      </c>
      <c r="C760" s="327"/>
      <c r="D760" s="139">
        <v>519</v>
      </c>
      <c r="E760" s="139"/>
      <c r="F760" s="80" t="s">
        <v>434</v>
      </c>
      <c r="G760" s="145">
        <f t="shared" si="32"/>
        <v>0</v>
      </c>
      <c r="H760" s="321"/>
    </row>
    <row r="761" spans="2:8" ht="23.25" x14ac:dyDescent="0.25">
      <c r="B761" s="322" t="s">
        <v>509</v>
      </c>
      <c r="C761" s="323"/>
      <c r="D761" s="137">
        <v>920</v>
      </c>
      <c r="E761" s="137">
        <f>D748*2</f>
        <v>7</v>
      </c>
      <c r="F761" s="78" t="s">
        <v>434</v>
      </c>
      <c r="G761" s="143">
        <f t="shared" si="32"/>
        <v>6440</v>
      </c>
      <c r="H761" s="321"/>
    </row>
    <row r="762" spans="2:8" ht="23.25" x14ac:dyDescent="0.25">
      <c r="B762" s="328" t="s">
        <v>510</v>
      </c>
      <c r="C762" s="329"/>
      <c r="D762" s="140">
        <v>1300</v>
      </c>
      <c r="E762" s="140">
        <f>IF(T745="Осина",D748,"0")</f>
        <v>3.5</v>
      </c>
      <c r="F762" s="81" t="s">
        <v>434</v>
      </c>
      <c r="G762" s="146">
        <f t="shared" si="32"/>
        <v>4550</v>
      </c>
      <c r="H762" s="321"/>
    </row>
    <row r="763" spans="2:8" ht="23.25" x14ac:dyDescent="0.25">
      <c r="B763" s="328" t="s">
        <v>439</v>
      </c>
      <c r="C763" s="329"/>
      <c r="D763" s="141">
        <v>5165.12</v>
      </c>
      <c r="E763" s="140" t="str">
        <f>IF(T745="Осина","0",D748)</f>
        <v>0</v>
      </c>
      <c r="F763" s="81" t="s">
        <v>434</v>
      </c>
      <c r="G763" s="146">
        <f t="shared" si="32"/>
        <v>0</v>
      </c>
      <c r="H763" s="321"/>
    </row>
    <row r="764" spans="2:8" ht="23.25" x14ac:dyDescent="0.25">
      <c r="B764" s="328" t="s">
        <v>511</v>
      </c>
      <c r="C764" s="329"/>
      <c r="D764" s="141">
        <v>917</v>
      </c>
      <c r="E764" s="140" t="str">
        <f>IF(T745="Осина","0",D748)</f>
        <v>0</v>
      </c>
      <c r="F764" s="81" t="s">
        <v>434</v>
      </c>
      <c r="G764" s="146">
        <f t="shared" si="32"/>
        <v>0</v>
      </c>
      <c r="H764" s="321"/>
    </row>
    <row r="765" spans="2:8" ht="23.25" x14ac:dyDescent="0.25">
      <c r="B765" s="328" t="s">
        <v>441</v>
      </c>
      <c r="C765" s="329"/>
      <c r="D765" s="141">
        <v>461.56000000000006</v>
      </c>
      <c r="E765" s="140" t="str">
        <f>IF(T745="Осина","0",D748)</f>
        <v>0</v>
      </c>
      <c r="F765" s="81" t="s">
        <v>434</v>
      </c>
      <c r="G765" s="146">
        <f>D765*E765</f>
        <v>0</v>
      </c>
      <c r="H765" s="321"/>
    </row>
    <row r="766" spans="2:8" ht="24" thickBot="1" x14ac:dyDescent="0.3">
      <c r="B766" s="324" t="s">
        <v>440</v>
      </c>
      <c r="C766" s="325"/>
      <c r="D766" s="138">
        <v>353.15</v>
      </c>
      <c r="E766" s="140" t="str">
        <f>IF(T745="Осина","0",D748*4)</f>
        <v>0</v>
      </c>
      <c r="F766" s="79" t="s">
        <v>434</v>
      </c>
      <c r="G766" s="147">
        <f>D766*E766</f>
        <v>0</v>
      </c>
      <c r="H766" s="321"/>
    </row>
    <row r="767" spans="2:8" ht="23.25" x14ac:dyDescent="0.25">
      <c r="B767" s="49"/>
      <c r="C767" s="66"/>
      <c r="D767" s="66"/>
      <c r="E767" s="56"/>
      <c r="F767" s="56"/>
      <c r="G767" s="48"/>
      <c r="H767" s="92"/>
    </row>
    <row r="768" spans="2:8" ht="25.5" x14ac:dyDescent="0.25">
      <c r="B768" s="49"/>
      <c r="C768" s="59" t="s">
        <v>512</v>
      </c>
      <c r="D768" s="60"/>
      <c r="E768" s="49"/>
      <c r="F768" s="49"/>
      <c r="G768" s="48"/>
      <c r="H768" s="87"/>
    </row>
    <row r="769" spans="2:27" ht="18.75" x14ac:dyDescent="0.25">
      <c r="B769" s="49"/>
      <c r="C769" s="306" t="s">
        <v>513</v>
      </c>
      <c r="D769" s="84" t="s">
        <v>514</v>
      </c>
      <c r="E769" s="68">
        <f>ROUND((G757+D750)/D750,2)</f>
        <v>1.1000000000000001</v>
      </c>
      <c r="F769" s="68"/>
      <c r="G769" s="50"/>
      <c r="H769" s="87"/>
    </row>
    <row r="770" spans="2:27" ht="23.25" x14ac:dyDescent="0.25">
      <c r="B770" s="49"/>
      <c r="C770" s="306"/>
      <c r="D770" s="84" t="s">
        <v>515</v>
      </c>
      <c r="E770" s="68">
        <f>ROUND((G758+G759+D750)/D750,2)</f>
        <v>1.06</v>
      </c>
      <c r="F770" s="68"/>
      <c r="G770" s="57"/>
      <c r="H770" s="93"/>
    </row>
    <row r="771" spans="2:27" ht="23.25" x14ac:dyDescent="0.25">
      <c r="B771" s="49"/>
      <c r="C771" s="306"/>
      <c r="D771" s="84" t="s">
        <v>516</v>
      </c>
      <c r="E771" s="68">
        <f>ROUND((G760+D750)/D750,2)</f>
        <v>1</v>
      </c>
      <c r="F771" s="50"/>
      <c r="G771" s="57"/>
      <c r="H771" s="87"/>
    </row>
    <row r="772" spans="2:27" ht="23.25" x14ac:dyDescent="0.25">
      <c r="B772" s="49"/>
      <c r="C772" s="306"/>
      <c r="D772" s="69" t="s">
        <v>517</v>
      </c>
      <c r="E772" s="70">
        <f>ROUND((SUM(G761:G766)+D750)/D750,2)</f>
        <v>2.57</v>
      </c>
      <c r="F772" s="50"/>
      <c r="G772" s="57"/>
      <c r="H772" s="87"/>
    </row>
    <row r="773" spans="2:27" ht="25.5" x14ac:dyDescent="0.25">
      <c r="B773" s="49"/>
      <c r="C773" s="49"/>
      <c r="D773" s="71" t="s">
        <v>518</v>
      </c>
      <c r="E773" s="72">
        <f>SUM(E769:E772)-IF(D754="сплошная",3,2)</f>
        <v>2.7300000000000004</v>
      </c>
      <c r="F773" s="73"/>
      <c r="G773" s="48"/>
      <c r="H773" s="87"/>
    </row>
    <row r="774" spans="2:27" ht="23.25" x14ac:dyDescent="0.25">
      <c r="B774" s="49"/>
      <c r="C774" s="49"/>
      <c r="D774" s="49"/>
      <c r="E774" s="74"/>
      <c r="F774" s="49"/>
      <c r="G774" s="48"/>
      <c r="H774" s="87"/>
    </row>
    <row r="775" spans="2:27" ht="25.5" x14ac:dyDescent="0.35">
      <c r="B775" s="58"/>
      <c r="C775" s="75" t="s">
        <v>519</v>
      </c>
      <c r="D775" s="307">
        <f>E773*D750</f>
        <v>19134.733800000005</v>
      </c>
      <c r="E775" s="307"/>
      <c r="F775" s="49"/>
      <c r="G775" s="48"/>
      <c r="H775" s="87"/>
    </row>
    <row r="776" spans="2:27" ht="18.75" x14ac:dyDescent="0.3">
      <c r="B776" s="49"/>
      <c r="C776" s="76" t="s">
        <v>520</v>
      </c>
      <c r="D776" s="308">
        <f>D775/D749</f>
        <v>31.286353499018979</v>
      </c>
      <c r="E776" s="308"/>
      <c r="F776" s="49"/>
      <c r="G776" s="49"/>
      <c r="H776" s="94"/>
    </row>
    <row r="779" spans="2:27" ht="60.75" x14ac:dyDescent="0.8">
      <c r="B779" s="330" t="str">
        <f>CONCATENATE("ЛОТ № ",K782)</f>
        <v>ЛОТ № 22</v>
      </c>
      <c r="C779" s="330"/>
      <c r="D779" s="330"/>
      <c r="E779" s="330"/>
      <c r="F779" s="330"/>
      <c r="G779" s="330"/>
      <c r="H779" s="330"/>
    </row>
    <row r="780" spans="2:27" ht="18.75" x14ac:dyDescent="0.25">
      <c r="B780" s="331" t="s">
        <v>492</v>
      </c>
      <c r="C780" s="331"/>
      <c r="D780" s="331"/>
      <c r="E780" s="331"/>
      <c r="F780" s="331"/>
      <c r="G780" s="331"/>
      <c r="H780" s="87"/>
    </row>
    <row r="781" spans="2:27" ht="25.5" x14ac:dyDescent="0.25">
      <c r="B781" s="49"/>
      <c r="C781" s="59" t="s">
        <v>493</v>
      </c>
      <c r="D781" s="60"/>
      <c r="E781" s="49"/>
      <c r="F781" s="49"/>
      <c r="G781" s="48"/>
      <c r="H781" s="87"/>
      <c r="I781" s="88"/>
      <c r="J781" s="88"/>
      <c r="K781" s="88"/>
      <c r="L781" s="88" t="s">
        <v>454</v>
      </c>
      <c r="M781" s="88" t="s">
        <v>444</v>
      </c>
      <c r="N781" s="88" t="s">
        <v>445</v>
      </c>
      <c r="O781" s="88" t="s">
        <v>453</v>
      </c>
      <c r="P781" s="89" t="s">
        <v>446</v>
      </c>
      <c r="Q781" s="88" t="s">
        <v>435</v>
      </c>
      <c r="R781" s="40" t="s">
        <v>447</v>
      </c>
      <c r="S781" s="40" t="s">
        <v>522</v>
      </c>
      <c r="T781" s="88" t="s">
        <v>118</v>
      </c>
      <c r="U781" s="88" t="s">
        <v>500</v>
      </c>
      <c r="V781" s="88" t="s">
        <v>450</v>
      </c>
      <c r="W781" s="40" t="s">
        <v>448</v>
      </c>
      <c r="X781" s="40" t="s">
        <v>449</v>
      </c>
      <c r="Y781" s="88" t="s">
        <v>523</v>
      </c>
      <c r="Z781" s="88"/>
    </row>
    <row r="782" spans="2:27" ht="39.950000000000003" customHeight="1" x14ac:dyDescent="0.25">
      <c r="B782" s="50"/>
      <c r="C782" s="332" t="s">
        <v>494</v>
      </c>
      <c r="D782" s="335" t="s">
        <v>521</v>
      </c>
      <c r="E782" s="336"/>
      <c r="F782" s="336"/>
      <c r="G782" s="337"/>
      <c r="H782" s="90"/>
      <c r="I782" s="88" t="s">
        <v>443</v>
      </c>
      <c r="J782" s="88"/>
      <c r="K782" s="43">
        <f>IF(I782="","",COUNTA(I$5:I782))</f>
        <v>22</v>
      </c>
      <c r="L782" s="95" t="str">
        <f>INDEX('Ведомость расчета мин. платы'!$B$10:$T$209,MATCH(ЛОТЫ!$K782,'Ведомость расчета мин. платы'!$B$10:$B$209,0),2)</f>
        <v>Мамыковское</v>
      </c>
      <c r="M782" s="95">
        <f>INDEX('Ведомость расчета мин. платы'!$B$10:$T$209,MATCH(ЛОТЫ!$K782,'Ведомость расчета мин. платы'!$B$10:$B$209,0),3)</f>
        <v>52</v>
      </c>
      <c r="N782" s="95">
        <f>INDEX('Ведомость расчета мин. платы'!$B$10:$T$209,MATCH(ЛОТЫ!$K782,'Ведомость расчета мин. платы'!$B$10:$B$209,0),4)</f>
        <v>4</v>
      </c>
      <c r="O782" s="95">
        <f>INDEX('Ведомость расчета мин. платы'!$B$10:$T$209,MATCH(ЛОТЫ!$K782,'Ведомость расчета мин. платы'!$B$10:$B$209,0),5)</f>
        <v>1</v>
      </c>
      <c r="P782" s="89">
        <f>IFERROR(INDEX(Коэффициенты!$G$4:$O$106,MATCH(CONCATENATE($L782,"/",$M782,"/",$N782,"/",$O782),Коэффициенты!$O$4:$O$106,0),1),"")</f>
        <v>1.8</v>
      </c>
      <c r="Q782" s="40">
        <f>IFERROR(INDEX(Коэффициенты!$G$4:$O$106,MATCH(CONCATENATE($L782,"/",$M782,"/",$N782,"/",$O782),Коэффициенты!$O$4:$O$106,0),6),"")</f>
        <v>246.6</v>
      </c>
      <c r="R782" s="40">
        <f>IFERROR(INDEX(Коэффициенты!$G$4:$O$106,MATCH(CONCATENATE($L782,"/",$M782,"/",$N782,"/",$O782),Коэффициенты!$O$4:$O$106,0),2),"")</f>
        <v>3409.87</v>
      </c>
      <c r="S782" s="43" t="str">
        <f>IFERROR(INDEX('Такс. опис.'!$A$5:$BW$50,MATCH(CONCATENATE($L782,"/",$M782,"/",$N782),'Такс. опис.'!$C$5:$C$50,0),26),"")</f>
        <v>8ОС1Б1ЛП</v>
      </c>
      <c r="T782" s="43" t="str">
        <f>IFERROR(INDEX('Такс. опис.'!$A$5:$BW$50,MATCH(CONCATENATE($L782,"/",$M782,"/",$N782),'Такс. опис.'!$C$5:$C$50,0),47),"")</f>
        <v>Осина</v>
      </c>
      <c r="U782" s="43">
        <f>IFERROR(INDEX('Такс. опис.'!$A$5:$BW$50,MATCH(CONCATENATE($L782,"/",$M782,"/",$N782),'Такс. опис.'!$C$5:$C$50,0),49),"")</f>
        <v>55</v>
      </c>
      <c r="V782" s="103">
        <f>IFERROR(INDEX('Ведомость расчета мин. платы'!$AC$10:$AD$214,MATCH(CONCATENATE($L782,"/",$M782,"/",$N782,"/",$O782),'Ведомость расчета мин. платы'!$AC$10:$AC$214,0),2),"")</f>
        <v>0.56999999999999995</v>
      </c>
      <c r="W782" s="40">
        <f>E810</f>
        <v>2.83</v>
      </c>
      <c r="X782" s="40">
        <f>D812</f>
        <v>9649.9321</v>
      </c>
      <c r="Y782" s="91">
        <f>D813</f>
        <v>39.131922546634229</v>
      </c>
      <c r="Z782" s="88"/>
      <c r="AA782" s="86">
        <f t="shared" ref="AA782:AA819" si="33">IF(M782&gt;0,1,0)</f>
        <v>1</v>
      </c>
    </row>
    <row r="783" spans="2:27" ht="19.5" x14ac:dyDescent="0.25">
      <c r="B783" s="50"/>
      <c r="C783" s="333"/>
      <c r="D783" s="338" t="str">
        <f>CONCATENATE(L782, " участковое лесничество")</f>
        <v>Мамыковское участковое лесничество</v>
      </c>
      <c r="E783" s="338"/>
      <c r="F783" s="338"/>
      <c r="G783" s="338"/>
      <c r="H783" s="90"/>
      <c r="I783" s="88"/>
      <c r="J783" s="88">
        <f>IFERROR(IF(ISBLANK(K782),"",K782),"")</f>
        <v>22</v>
      </c>
      <c r="K783" s="88"/>
      <c r="L783" s="88"/>
      <c r="M783" s="88"/>
      <c r="N783" s="88"/>
      <c r="O783" s="88"/>
      <c r="P783" s="88"/>
      <c r="Q783" s="88"/>
      <c r="R783" s="88"/>
      <c r="S783" s="88"/>
      <c r="T783" s="88"/>
      <c r="U783" s="88"/>
      <c r="V783" s="88"/>
      <c r="W783" s="88"/>
      <c r="X783" s="88"/>
      <c r="Y783" s="88"/>
      <c r="Z783" s="88"/>
    </row>
    <row r="784" spans="2:27" ht="19.5" x14ac:dyDescent="0.25">
      <c r="B784" s="50"/>
      <c r="C784" s="334"/>
      <c r="D784" s="338" t="str">
        <f>CONCATENATE("кв. ",M782," ","выд."," ",N782," ","делянка", " ",O782)</f>
        <v>кв. 52 выд. 4 делянка 1</v>
      </c>
      <c r="E784" s="338"/>
      <c r="F784" s="338"/>
      <c r="G784" s="338"/>
      <c r="H784" s="90"/>
      <c r="I784" s="88"/>
      <c r="J784" s="88"/>
      <c r="K784" s="88"/>
      <c r="L784" s="88"/>
      <c r="M784" s="88"/>
      <c r="N784" s="88"/>
      <c r="O784" s="88"/>
      <c r="P784" s="88"/>
      <c r="Q784" s="88"/>
      <c r="R784" s="88"/>
      <c r="S784" s="88"/>
      <c r="T784" s="88"/>
      <c r="U784" s="88"/>
      <c r="V784" s="88"/>
      <c r="W784" s="88"/>
      <c r="X784" s="88"/>
      <c r="Y784" s="88"/>
      <c r="Z784" s="88"/>
    </row>
    <row r="785" spans="2:8" ht="23.25" x14ac:dyDescent="0.25">
      <c r="B785" s="49"/>
      <c r="C785" s="61" t="s">
        <v>495</v>
      </c>
      <c r="D785" s="51">
        <f>P782</f>
        <v>1.8</v>
      </c>
      <c r="E785" s="62"/>
      <c r="F785" s="50"/>
      <c r="G785" s="48"/>
      <c r="H785" s="87"/>
    </row>
    <row r="786" spans="2:8" ht="22.5" x14ac:dyDescent="0.25">
      <c r="B786" s="49"/>
      <c r="C786" s="63" t="s">
        <v>496</v>
      </c>
      <c r="D786" s="106">
        <f>Q782</f>
        <v>246.6</v>
      </c>
      <c r="E786" s="309" t="s">
        <v>497</v>
      </c>
      <c r="F786" s="310"/>
      <c r="G786" s="313">
        <f>D787/D786</f>
        <v>13.827534468775344</v>
      </c>
      <c r="H786" s="87"/>
    </row>
    <row r="787" spans="2:8" ht="22.5" x14ac:dyDescent="0.25">
      <c r="B787" s="49"/>
      <c r="C787" s="63" t="s">
        <v>498</v>
      </c>
      <c r="D787" s="52">
        <f>R782</f>
        <v>3409.87</v>
      </c>
      <c r="E787" s="311"/>
      <c r="F787" s="312"/>
      <c r="G787" s="314"/>
      <c r="H787" s="87"/>
    </row>
    <row r="788" spans="2:8" ht="23.25" x14ac:dyDescent="0.25">
      <c r="B788" s="49"/>
      <c r="C788" s="64"/>
      <c r="D788" s="53"/>
      <c r="E788" s="65"/>
      <c r="F788" s="49"/>
      <c r="G788" s="48"/>
      <c r="H788" s="87"/>
    </row>
    <row r="789" spans="2:8" ht="23.25" x14ac:dyDescent="0.25">
      <c r="B789" s="49"/>
      <c r="C789" s="82" t="s">
        <v>499</v>
      </c>
      <c r="D789" s="96" t="str">
        <f>S782</f>
        <v>8ОС1Б1ЛП</v>
      </c>
      <c r="E789" s="49"/>
      <c r="F789" s="49"/>
      <c r="G789" s="48"/>
      <c r="H789" s="87"/>
    </row>
    <row r="790" spans="2:8" ht="23.25" x14ac:dyDescent="0.25">
      <c r="B790" s="49"/>
      <c r="C790" s="82" t="s">
        <v>500</v>
      </c>
      <c r="D790" s="96">
        <f>U782</f>
        <v>55</v>
      </c>
      <c r="E790" s="49"/>
      <c r="F790" s="49"/>
      <c r="G790" s="48"/>
      <c r="H790" s="87"/>
    </row>
    <row r="791" spans="2:8" ht="23.25" x14ac:dyDescent="0.25">
      <c r="B791" s="49"/>
      <c r="C791" s="82" t="s">
        <v>501</v>
      </c>
      <c r="D791" s="83" t="s">
        <v>502</v>
      </c>
      <c r="E791" s="49"/>
      <c r="F791" s="49"/>
      <c r="G791" s="48"/>
      <c r="H791" s="87"/>
    </row>
    <row r="792" spans="2:8" ht="24" thickBot="1" x14ac:dyDescent="0.3">
      <c r="B792" s="49"/>
      <c r="C792" s="49"/>
      <c r="D792" s="49"/>
      <c r="E792" s="49"/>
      <c r="F792" s="49"/>
      <c r="G792" s="48"/>
      <c r="H792" s="87"/>
    </row>
    <row r="793" spans="2:8" ht="48" thickBot="1" x14ac:dyDescent="0.3">
      <c r="B793" s="315" t="s">
        <v>436</v>
      </c>
      <c r="C793" s="316"/>
      <c r="D793" s="54" t="s">
        <v>503</v>
      </c>
      <c r="E793" s="317" t="s">
        <v>504</v>
      </c>
      <c r="F793" s="318"/>
      <c r="G793" s="55" t="s">
        <v>505</v>
      </c>
      <c r="H793" s="87"/>
    </row>
    <row r="794" spans="2:8" ht="24" thickBot="1" x14ac:dyDescent="0.3">
      <c r="B794" s="319" t="s">
        <v>506</v>
      </c>
      <c r="C794" s="320"/>
      <c r="D794" s="136">
        <v>197.93</v>
      </c>
      <c r="E794" s="136">
        <f>D785</f>
        <v>1.8</v>
      </c>
      <c r="F794" s="77" t="s">
        <v>434</v>
      </c>
      <c r="G794" s="142">
        <f t="shared" ref="G794:G801" si="34">D794*E794</f>
        <v>356.274</v>
      </c>
      <c r="H794" s="321"/>
    </row>
    <row r="795" spans="2:8" ht="23.25" x14ac:dyDescent="0.25">
      <c r="B795" s="322" t="s">
        <v>507</v>
      </c>
      <c r="C795" s="323"/>
      <c r="D795" s="137">
        <v>159.44</v>
      </c>
      <c r="E795" s="137">
        <f>V782</f>
        <v>0.56999999999999995</v>
      </c>
      <c r="F795" s="78" t="s">
        <v>437</v>
      </c>
      <c r="G795" s="143">
        <f t="shared" si="34"/>
        <v>90.880799999999994</v>
      </c>
      <c r="H795" s="321"/>
    </row>
    <row r="796" spans="2:8" ht="24" thickBot="1" x14ac:dyDescent="0.3">
      <c r="B796" s="324" t="s">
        <v>508</v>
      </c>
      <c r="C796" s="325"/>
      <c r="D796" s="138">
        <v>276.62</v>
      </c>
      <c r="E796" s="138">
        <f>V782</f>
        <v>0.56999999999999995</v>
      </c>
      <c r="F796" s="79" t="s">
        <v>437</v>
      </c>
      <c r="G796" s="144">
        <f t="shared" si="34"/>
        <v>157.67339999999999</v>
      </c>
      <c r="H796" s="321"/>
    </row>
    <row r="797" spans="2:8" ht="24" thickBot="1" x14ac:dyDescent="0.3">
      <c r="B797" s="326" t="s">
        <v>438</v>
      </c>
      <c r="C797" s="327"/>
      <c r="D797" s="139">
        <v>519</v>
      </c>
      <c r="E797" s="139"/>
      <c r="F797" s="80" t="s">
        <v>434</v>
      </c>
      <c r="G797" s="145">
        <f t="shared" si="34"/>
        <v>0</v>
      </c>
      <c r="H797" s="321"/>
    </row>
    <row r="798" spans="2:8" ht="23.25" x14ac:dyDescent="0.25">
      <c r="B798" s="322" t="s">
        <v>509</v>
      </c>
      <c r="C798" s="323"/>
      <c r="D798" s="137">
        <v>920</v>
      </c>
      <c r="E798" s="137">
        <f>D785*2</f>
        <v>3.6</v>
      </c>
      <c r="F798" s="78" t="s">
        <v>434</v>
      </c>
      <c r="G798" s="143">
        <f t="shared" si="34"/>
        <v>3312</v>
      </c>
      <c r="H798" s="321"/>
    </row>
    <row r="799" spans="2:8" ht="23.25" x14ac:dyDescent="0.25">
      <c r="B799" s="328" t="s">
        <v>510</v>
      </c>
      <c r="C799" s="329"/>
      <c r="D799" s="140">
        <v>1300</v>
      </c>
      <c r="E799" s="140">
        <f>IF(T782="Осина",D785,"0")</f>
        <v>1.8</v>
      </c>
      <c r="F799" s="81" t="s">
        <v>434</v>
      </c>
      <c r="G799" s="146">
        <f t="shared" si="34"/>
        <v>2340</v>
      </c>
      <c r="H799" s="321"/>
    </row>
    <row r="800" spans="2:8" ht="23.25" x14ac:dyDescent="0.25">
      <c r="B800" s="328" t="s">
        <v>439</v>
      </c>
      <c r="C800" s="329"/>
      <c r="D800" s="141">
        <v>5165.12</v>
      </c>
      <c r="E800" s="140" t="str">
        <f>IF(T782="Осина","0",D785)</f>
        <v>0</v>
      </c>
      <c r="F800" s="81" t="s">
        <v>434</v>
      </c>
      <c r="G800" s="146">
        <f t="shared" si="34"/>
        <v>0</v>
      </c>
      <c r="H800" s="321"/>
    </row>
    <row r="801" spans="2:8" ht="23.25" x14ac:dyDescent="0.25">
      <c r="B801" s="328" t="s">
        <v>511</v>
      </c>
      <c r="C801" s="329"/>
      <c r="D801" s="141">
        <v>917</v>
      </c>
      <c r="E801" s="140" t="str">
        <f>IF(T782="Осина","0",D785)</f>
        <v>0</v>
      </c>
      <c r="F801" s="81" t="s">
        <v>434</v>
      </c>
      <c r="G801" s="146">
        <f t="shared" si="34"/>
        <v>0</v>
      </c>
      <c r="H801" s="321"/>
    </row>
    <row r="802" spans="2:8" ht="23.25" x14ac:dyDescent="0.25">
      <c r="B802" s="328" t="s">
        <v>441</v>
      </c>
      <c r="C802" s="329"/>
      <c r="D802" s="141">
        <v>461.56000000000006</v>
      </c>
      <c r="E802" s="140" t="str">
        <f>IF(T782="Осина","0",D785)</f>
        <v>0</v>
      </c>
      <c r="F802" s="81" t="s">
        <v>434</v>
      </c>
      <c r="G802" s="146">
        <f>D802*E802</f>
        <v>0</v>
      </c>
      <c r="H802" s="321"/>
    </row>
    <row r="803" spans="2:8" ht="24" thickBot="1" x14ac:dyDescent="0.3">
      <c r="B803" s="324" t="s">
        <v>440</v>
      </c>
      <c r="C803" s="325"/>
      <c r="D803" s="138">
        <v>353.15</v>
      </c>
      <c r="E803" s="140" t="str">
        <f>IF(T782="Осина","0",D785*4)</f>
        <v>0</v>
      </c>
      <c r="F803" s="79" t="s">
        <v>434</v>
      </c>
      <c r="G803" s="147">
        <f>D803*E803</f>
        <v>0</v>
      </c>
      <c r="H803" s="321"/>
    </row>
    <row r="804" spans="2:8" ht="23.25" x14ac:dyDescent="0.25">
      <c r="B804" s="49"/>
      <c r="C804" s="66"/>
      <c r="D804" s="66"/>
      <c r="E804" s="56"/>
      <c r="F804" s="56"/>
      <c r="G804" s="48"/>
      <c r="H804" s="92"/>
    </row>
    <row r="805" spans="2:8" ht="25.5" x14ac:dyDescent="0.25">
      <c r="B805" s="49"/>
      <c r="C805" s="59" t="s">
        <v>512</v>
      </c>
      <c r="D805" s="60"/>
      <c r="E805" s="49"/>
      <c r="F805" s="49"/>
      <c r="G805" s="48"/>
      <c r="H805" s="87"/>
    </row>
    <row r="806" spans="2:8" ht="18.75" x14ac:dyDescent="0.25">
      <c r="B806" s="49"/>
      <c r="C806" s="306" t="s">
        <v>513</v>
      </c>
      <c r="D806" s="84" t="s">
        <v>514</v>
      </c>
      <c r="E806" s="68">
        <f>ROUND((G794+D787)/D787,2)</f>
        <v>1.1000000000000001</v>
      </c>
      <c r="F806" s="68"/>
      <c r="G806" s="50"/>
      <c r="H806" s="87"/>
    </row>
    <row r="807" spans="2:8" ht="23.25" x14ac:dyDescent="0.25">
      <c r="B807" s="49"/>
      <c r="C807" s="306"/>
      <c r="D807" s="84" t="s">
        <v>515</v>
      </c>
      <c r="E807" s="68">
        <f>ROUND((G795+G796+D787)/D787,2)</f>
        <v>1.07</v>
      </c>
      <c r="F807" s="68"/>
      <c r="G807" s="57"/>
      <c r="H807" s="93"/>
    </row>
    <row r="808" spans="2:8" ht="23.25" x14ac:dyDescent="0.25">
      <c r="B808" s="49"/>
      <c r="C808" s="306"/>
      <c r="D808" s="84" t="s">
        <v>516</v>
      </c>
      <c r="E808" s="68">
        <f>ROUND((G797+D787)/D787,2)</f>
        <v>1</v>
      </c>
      <c r="F808" s="50"/>
      <c r="G808" s="57"/>
      <c r="H808" s="87"/>
    </row>
    <row r="809" spans="2:8" ht="23.25" x14ac:dyDescent="0.25">
      <c r="B809" s="49"/>
      <c r="C809" s="306"/>
      <c r="D809" s="69" t="s">
        <v>517</v>
      </c>
      <c r="E809" s="70">
        <f>ROUND((SUM(G798:G803)+D787)/D787,2)</f>
        <v>2.66</v>
      </c>
      <c r="F809" s="50"/>
      <c r="G809" s="57"/>
      <c r="H809" s="87"/>
    </row>
    <row r="810" spans="2:8" ht="25.5" x14ac:dyDescent="0.25">
      <c r="B810" s="49"/>
      <c r="C810" s="49"/>
      <c r="D810" s="71" t="s">
        <v>518</v>
      </c>
      <c r="E810" s="72">
        <f>SUM(E806:E809)-IF(D791="сплошная",3,2)</f>
        <v>2.83</v>
      </c>
      <c r="F810" s="73"/>
      <c r="G810" s="48"/>
      <c r="H810" s="87"/>
    </row>
    <row r="811" spans="2:8" ht="23.25" x14ac:dyDescent="0.25">
      <c r="B811" s="49"/>
      <c r="C811" s="49"/>
      <c r="D811" s="49"/>
      <c r="E811" s="74"/>
      <c r="F811" s="49"/>
      <c r="G811" s="48"/>
      <c r="H811" s="87"/>
    </row>
    <row r="812" spans="2:8" ht="25.5" x14ac:dyDescent="0.35">
      <c r="B812" s="58"/>
      <c r="C812" s="75" t="s">
        <v>519</v>
      </c>
      <c r="D812" s="307">
        <f>E810*D787</f>
        <v>9649.9321</v>
      </c>
      <c r="E812" s="307"/>
      <c r="F812" s="49"/>
      <c r="G812" s="48"/>
      <c r="H812" s="87"/>
    </row>
    <row r="813" spans="2:8" ht="18.75" x14ac:dyDescent="0.3">
      <c r="B813" s="49"/>
      <c r="C813" s="76" t="s">
        <v>520</v>
      </c>
      <c r="D813" s="308">
        <f>D812/D786</f>
        <v>39.131922546634229</v>
      </c>
      <c r="E813" s="308"/>
      <c r="F813" s="49"/>
      <c r="G813" s="49"/>
      <c r="H813" s="94"/>
    </row>
    <row r="816" spans="2:8" ht="60.75" x14ac:dyDescent="0.8">
      <c r="B816" s="330" t="str">
        <f>CONCATENATE("ЛОТ № ",K819)</f>
        <v>ЛОТ № 23</v>
      </c>
      <c r="C816" s="330"/>
      <c r="D816" s="330"/>
      <c r="E816" s="330"/>
      <c r="F816" s="330"/>
      <c r="G816" s="330"/>
      <c r="H816" s="330"/>
    </row>
    <row r="817" spans="2:27" ht="18.75" x14ac:dyDescent="0.25">
      <c r="B817" s="331" t="s">
        <v>492</v>
      </c>
      <c r="C817" s="331"/>
      <c r="D817" s="331"/>
      <c r="E817" s="331"/>
      <c r="F817" s="331"/>
      <c r="G817" s="331"/>
      <c r="H817" s="87"/>
    </row>
    <row r="818" spans="2:27" ht="25.5" x14ac:dyDescent="0.25">
      <c r="B818" s="49"/>
      <c r="C818" s="59" t="s">
        <v>493</v>
      </c>
      <c r="D818" s="60"/>
      <c r="E818" s="49"/>
      <c r="F818" s="49"/>
      <c r="G818" s="48"/>
      <c r="H818" s="87"/>
      <c r="I818" s="88"/>
      <c r="J818" s="88"/>
      <c r="K818" s="88"/>
      <c r="L818" s="88" t="s">
        <v>454</v>
      </c>
      <c r="M818" s="88" t="s">
        <v>444</v>
      </c>
      <c r="N818" s="88" t="s">
        <v>445</v>
      </c>
      <c r="O818" s="88" t="s">
        <v>453</v>
      </c>
      <c r="P818" s="89" t="s">
        <v>446</v>
      </c>
      <c r="Q818" s="88" t="s">
        <v>435</v>
      </c>
      <c r="R818" s="40" t="s">
        <v>447</v>
      </c>
      <c r="S818" s="40" t="s">
        <v>522</v>
      </c>
      <c r="T818" s="88" t="s">
        <v>118</v>
      </c>
      <c r="U818" s="88" t="s">
        <v>500</v>
      </c>
      <c r="V818" s="88" t="s">
        <v>450</v>
      </c>
      <c r="W818" s="40" t="s">
        <v>448</v>
      </c>
      <c r="X818" s="40" t="s">
        <v>449</v>
      </c>
      <c r="Y818" s="88" t="s">
        <v>523</v>
      </c>
      <c r="Z818" s="88"/>
    </row>
    <row r="819" spans="2:27" ht="39.950000000000003" customHeight="1" x14ac:dyDescent="0.25">
      <c r="B819" s="50"/>
      <c r="C819" s="332" t="s">
        <v>494</v>
      </c>
      <c r="D819" s="335" t="s">
        <v>521</v>
      </c>
      <c r="E819" s="336"/>
      <c r="F819" s="336"/>
      <c r="G819" s="337"/>
      <c r="H819" s="90"/>
      <c r="I819" s="88" t="s">
        <v>443</v>
      </c>
      <c r="J819" s="88"/>
      <c r="K819" s="43">
        <f>IF(I819="","",COUNTA(I$5:I819))</f>
        <v>23</v>
      </c>
      <c r="L819" s="95" t="str">
        <f>INDEX('Ведомость расчета мин. платы'!$B$10:$T$209,MATCH(ЛОТЫ!$K819,'Ведомость расчета мин. платы'!$B$10:$B$209,0),2)</f>
        <v>Мамыковское</v>
      </c>
      <c r="M819" s="95">
        <f>INDEX('Ведомость расчета мин. платы'!$B$10:$T$209,MATCH(ЛОТЫ!$K819,'Ведомость расчета мин. платы'!$B$10:$B$209,0),3)</f>
        <v>52</v>
      </c>
      <c r="N819" s="95">
        <f>INDEX('Ведомость расчета мин. платы'!$B$10:$T$209,MATCH(ЛОТЫ!$K819,'Ведомость расчета мин. платы'!$B$10:$B$209,0),4)</f>
        <v>22</v>
      </c>
      <c r="O819" s="95">
        <f>INDEX('Ведомость расчета мин. платы'!$B$10:$T$209,MATCH(ЛОТЫ!$K819,'Ведомость расчета мин. платы'!$B$10:$B$209,0),5)</f>
        <v>2</v>
      </c>
      <c r="P819" s="89">
        <f>IFERROR(INDEX(Коэффициенты!$G$4:$O$106,MATCH(CONCATENATE($L819,"/",$M819,"/",$N819,"/",$O819),Коэффициенты!$O$4:$O$106,0),1),"")</f>
        <v>7</v>
      </c>
      <c r="Q819" s="40">
        <f>IFERROR(INDEX(Коэффициенты!$G$4:$O$106,MATCH(CONCATENATE($L819,"/",$M819,"/",$N819,"/",$O819),Коэффициенты!$O$4:$O$106,0),6),"")</f>
        <v>998.18000000000006</v>
      </c>
      <c r="R819" s="40">
        <f>IFERROR(INDEX(Коэффициенты!$G$4:$O$106,MATCH(CONCATENATE($L819,"/",$M819,"/",$N819,"/",$O819),Коэффициенты!$O$4:$O$106,0),2),"")</f>
        <v>16489.580000000002</v>
      </c>
      <c r="S819" s="43" t="str">
        <f>IFERROR(INDEX('Такс. опис.'!$A$5:$BW$50,MATCH(CONCATENATE($L819,"/",$M819,"/",$N819),'Такс. опис.'!$C$5:$C$50,0),26),"")</f>
        <v>8ОС1Б1ЛП</v>
      </c>
      <c r="T819" s="43" t="str">
        <f>IFERROR(INDEX('Такс. опис.'!$A$5:$BW$50,MATCH(CONCATENATE($L819,"/",$M819,"/",$N819),'Такс. опис.'!$C$5:$C$50,0),47),"")</f>
        <v>Осина</v>
      </c>
      <c r="U819" s="43">
        <f>IFERROR(INDEX('Такс. опис.'!$A$5:$BW$50,MATCH(CONCATENATE($L819,"/",$M819,"/",$N819),'Такс. опис.'!$C$5:$C$50,0),49),"")</f>
        <v>55</v>
      </c>
      <c r="V819" s="103">
        <f>IFERROR(INDEX('Ведомость расчета мин. платы'!$AC$10:$AD$214,MATCH(CONCATENATE($L819,"/",$M819,"/",$N819,"/",$O819),'Ведомость расчета мин. платы'!$AC$10:$AC$214,0),2),"")</f>
        <v>1.6</v>
      </c>
      <c r="W819" s="40">
        <f>E847</f>
        <v>2.4500000000000002</v>
      </c>
      <c r="X819" s="40">
        <f>D849</f>
        <v>40399.471000000005</v>
      </c>
      <c r="Y819" s="91">
        <f>D850</f>
        <v>40.473132100422774</v>
      </c>
      <c r="Z819" s="88"/>
      <c r="AA819" s="86">
        <f t="shared" si="33"/>
        <v>1</v>
      </c>
    </row>
    <row r="820" spans="2:27" ht="19.5" x14ac:dyDescent="0.25">
      <c r="B820" s="50"/>
      <c r="C820" s="333"/>
      <c r="D820" s="338" t="str">
        <f>CONCATENATE(L819, " участковое лесничество")</f>
        <v>Мамыковское участковое лесничество</v>
      </c>
      <c r="E820" s="338"/>
      <c r="F820" s="338"/>
      <c r="G820" s="338"/>
      <c r="H820" s="90"/>
      <c r="I820" s="88"/>
      <c r="J820" s="88">
        <f>IFERROR(IF(ISBLANK(K819),"",K819),"")</f>
        <v>23</v>
      </c>
      <c r="K820" s="88"/>
      <c r="L820" s="88"/>
      <c r="M820" s="88"/>
      <c r="N820" s="88"/>
      <c r="O820" s="88"/>
      <c r="P820" s="88"/>
      <c r="Q820" s="88"/>
      <c r="R820" s="88"/>
      <c r="S820" s="88"/>
      <c r="T820" s="88"/>
      <c r="U820" s="88"/>
      <c r="V820" s="88"/>
      <c r="W820" s="88"/>
      <c r="X820" s="88"/>
      <c r="Y820" s="88"/>
      <c r="Z820" s="88"/>
    </row>
    <row r="821" spans="2:27" ht="19.5" x14ac:dyDescent="0.25">
      <c r="B821" s="50"/>
      <c r="C821" s="334"/>
      <c r="D821" s="338" t="str">
        <f>CONCATENATE("кв. ",M819," ","выд."," ",N819," ","делянка", " ",O819)</f>
        <v>кв. 52 выд. 22 делянка 2</v>
      </c>
      <c r="E821" s="338"/>
      <c r="F821" s="338"/>
      <c r="G821" s="338"/>
      <c r="H821" s="90"/>
      <c r="I821" s="88"/>
      <c r="J821" s="88"/>
      <c r="K821" s="88"/>
      <c r="L821" s="88"/>
      <c r="M821" s="88"/>
      <c r="N821" s="88"/>
      <c r="O821" s="88"/>
      <c r="P821" s="88"/>
      <c r="Q821" s="88"/>
      <c r="R821" s="88"/>
      <c r="S821" s="88"/>
      <c r="T821" s="88"/>
      <c r="U821" s="88"/>
      <c r="V821" s="88"/>
      <c r="W821" s="88"/>
      <c r="X821" s="88"/>
      <c r="Y821" s="88"/>
      <c r="Z821" s="88"/>
    </row>
    <row r="822" spans="2:27" ht="23.25" x14ac:dyDescent="0.25">
      <c r="B822" s="49"/>
      <c r="C822" s="61" t="s">
        <v>495</v>
      </c>
      <c r="D822" s="51">
        <f>P819</f>
        <v>7</v>
      </c>
      <c r="E822" s="62"/>
      <c r="F822" s="50"/>
      <c r="G822" s="48"/>
      <c r="H822" s="87"/>
    </row>
    <row r="823" spans="2:27" ht="22.5" x14ac:dyDescent="0.25">
      <c r="B823" s="49"/>
      <c r="C823" s="63" t="s">
        <v>496</v>
      </c>
      <c r="D823" s="106">
        <f>Q819</f>
        <v>998.18000000000006</v>
      </c>
      <c r="E823" s="309" t="s">
        <v>497</v>
      </c>
      <c r="F823" s="310"/>
      <c r="G823" s="313">
        <f>D824/D823</f>
        <v>16.519645755274599</v>
      </c>
      <c r="H823" s="87"/>
    </row>
    <row r="824" spans="2:27" ht="22.5" x14ac:dyDescent="0.25">
      <c r="B824" s="49"/>
      <c r="C824" s="63" t="s">
        <v>498</v>
      </c>
      <c r="D824" s="52">
        <f>R819</f>
        <v>16489.580000000002</v>
      </c>
      <c r="E824" s="311"/>
      <c r="F824" s="312"/>
      <c r="G824" s="314"/>
      <c r="H824" s="87"/>
    </row>
    <row r="825" spans="2:27" ht="23.25" x14ac:dyDescent="0.25">
      <c r="B825" s="49"/>
      <c r="C825" s="64"/>
      <c r="D825" s="53"/>
      <c r="E825" s="65"/>
      <c r="F825" s="49"/>
      <c r="G825" s="48"/>
      <c r="H825" s="87"/>
    </row>
    <row r="826" spans="2:27" ht="23.25" x14ac:dyDescent="0.25">
      <c r="B826" s="49"/>
      <c r="C826" s="82" t="s">
        <v>499</v>
      </c>
      <c r="D826" s="96" t="str">
        <f>S819</f>
        <v>8ОС1Б1ЛП</v>
      </c>
      <c r="E826" s="49"/>
      <c r="F826" s="49"/>
      <c r="G826" s="48"/>
      <c r="H826" s="87"/>
    </row>
    <row r="827" spans="2:27" ht="23.25" x14ac:dyDescent="0.25">
      <c r="B827" s="49"/>
      <c r="C827" s="82" t="s">
        <v>500</v>
      </c>
      <c r="D827" s="96">
        <f>U819</f>
        <v>55</v>
      </c>
      <c r="E827" s="49"/>
      <c r="F827" s="49"/>
      <c r="G827" s="48"/>
      <c r="H827" s="87"/>
    </row>
    <row r="828" spans="2:27" ht="23.25" x14ac:dyDescent="0.25">
      <c r="B828" s="49"/>
      <c r="C828" s="82" t="s">
        <v>501</v>
      </c>
      <c r="D828" s="83" t="s">
        <v>502</v>
      </c>
      <c r="E828" s="49"/>
      <c r="F828" s="49"/>
      <c r="G828" s="48"/>
      <c r="H828" s="87"/>
    </row>
    <row r="829" spans="2:27" ht="24" thickBot="1" x14ac:dyDescent="0.3">
      <c r="B829" s="49"/>
      <c r="C829" s="49"/>
      <c r="D829" s="49"/>
      <c r="E829" s="49"/>
      <c r="F829" s="49"/>
      <c r="G829" s="48"/>
      <c r="H829" s="87"/>
    </row>
    <row r="830" spans="2:27" ht="48" thickBot="1" x14ac:dyDescent="0.3">
      <c r="B830" s="315" t="s">
        <v>436</v>
      </c>
      <c r="C830" s="316"/>
      <c r="D830" s="54" t="s">
        <v>503</v>
      </c>
      <c r="E830" s="317" t="s">
        <v>504</v>
      </c>
      <c r="F830" s="318"/>
      <c r="G830" s="55" t="s">
        <v>505</v>
      </c>
      <c r="H830" s="87"/>
    </row>
    <row r="831" spans="2:27" ht="24" thickBot="1" x14ac:dyDescent="0.3">
      <c r="B831" s="319" t="s">
        <v>506</v>
      </c>
      <c r="C831" s="320"/>
      <c r="D831" s="136">
        <v>197.93</v>
      </c>
      <c r="E831" s="136">
        <f>D822</f>
        <v>7</v>
      </c>
      <c r="F831" s="77" t="s">
        <v>434</v>
      </c>
      <c r="G831" s="142">
        <f t="shared" ref="G831:G838" si="35">D831*E831</f>
        <v>1385.51</v>
      </c>
      <c r="H831" s="321"/>
    </row>
    <row r="832" spans="2:27" ht="23.25" x14ac:dyDescent="0.25">
      <c r="B832" s="322" t="s">
        <v>507</v>
      </c>
      <c r="C832" s="323"/>
      <c r="D832" s="137">
        <v>159.44</v>
      </c>
      <c r="E832" s="137">
        <f>V819</f>
        <v>1.6</v>
      </c>
      <c r="F832" s="78" t="s">
        <v>437</v>
      </c>
      <c r="G832" s="143">
        <f t="shared" si="35"/>
        <v>255.10400000000001</v>
      </c>
      <c r="H832" s="321"/>
    </row>
    <row r="833" spans="2:8" ht="24" thickBot="1" x14ac:dyDescent="0.3">
      <c r="B833" s="324" t="s">
        <v>508</v>
      </c>
      <c r="C833" s="325"/>
      <c r="D833" s="138">
        <v>276.62</v>
      </c>
      <c r="E833" s="138">
        <f>V819</f>
        <v>1.6</v>
      </c>
      <c r="F833" s="79" t="s">
        <v>437</v>
      </c>
      <c r="G833" s="144">
        <f t="shared" si="35"/>
        <v>442.59200000000004</v>
      </c>
      <c r="H833" s="321"/>
    </row>
    <row r="834" spans="2:8" ht="24" thickBot="1" x14ac:dyDescent="0.3">
      <c r="B834" s="326" t="s">
        <v>438</v>
      </c>
      <c r="C834" s="327"/>
      <c r="D834" s="139">
        <v>519</v>
      </c>
      <c r="E834" s="139"/>
      <c r="F834" s="80" t="s">
        <v>434</v>
      </c>
      <c r="G834" s="145">
        <f t="shared" si="35"/>
        <v>0</v>
      </c>
      <c r="H834" s="321"/>
    </row>
    <row r="835" spans="2:8" ht="23.25" x14ac:dyDescent="0.25">
      <c r="B835" s="322" t="s">
        <v>509</v>
      </c>
      <c r="C835" s="323"/>
      <c r="D835" s="137">
        <v>920</v>
      </c>
      <c r="E835" s="137">
        <f>D822*2</f>
        <v>14</v>
      </c>
      <c r="F835" s="78" t="s">
        <v>434</v>
      </c>
      <c r="G835" s="143">
        <f t="shared" si="35"/>
        <v>12880</v>
      </c>
      <c r="H835" s="321"/>
    </row>
    <row r="836" spans="2:8" ht="23.25" x14ac:dyDescent="0.25">
      <c r="B836" s="328" t="s">
        <v>510</v>
      </c>
      <c r="C836" s="329"/>
      <c r="D836" s="140">
        <v>1300</v>
      </c>
      <c r="E836" s="140">
        <f>IF(T819="Осина",D822,"0")</f>
        <v>7</v>
      </c>
      <c r="F836" s="81" t="s">
        <v>434</v>
      </c>
      <c r="G836" s="146">
        <f t="shared" si="35"/>
        <v>9100</v>
      </c>
      <c r="H836" s="321"/>
    </row>
    <row r="837" spans="2:8" ht="23.25" x14ac:dyDescent="0.25">
      <c r="B837" s="328" t="s">
        <v>439</v>
      </c>
      <c r="C837" s="329"/>
      <c r="D837" s="141">
        <v>5165.12</v>
      </c>
      <c r="E837" s="140" t="str">
        <f>IF(T819="Осина","0",D822)</f>
        <v>0</v>
      </c>
      <c r="F837" s="81" t="s">
        <v>434</v>
      </c>
      <c r="G837" s="146">
        <f t="shared" si="35"/>
        <v>0</v>
      </c>
      <c r="H837" s="321"/>
    </row>
    <row r="838" spans="2:8" ht="23.25" x14ac:dyDescent="0.25">
      <c r="B838" s="328" t="s">
        <v>511</v>
      </c>
      <c r="C838" s="329"/>
      <c r="D838" s="141">
        <v>917</v>
      </c>
      <c r="E838" s="140" t="str">
        <f>IF(T819="Осина","0",D822)</f>
        <v>0</v>
      </c>
      <c r="F838" s="81" t="s">
        <v>434</v>
      </c>
      <c r="G838" s="146">
        <f t="shared" si="35"/>
        <v>0</v>
      </c>
      <c r="H838" s="321"/>
    </row>
    <row r="839" spans="2:8" ht="23.25" x14ac:dyDescent="0.25">
      <c r="B839" s="328" t="s">
        <v>441</v>
      </c>
      <c r="C839" s="329"/>
      <c r="D839" s="141">
        <v>461.56000000000006</v>
      </c>
      <c r="E839" s="140" t="str">
        <f>IF(T819="Осина","0",D822)</f>
        <v>0</v>
      </c>
      <c r="F839" s="81" t="s">
        <v>434</v>
      </c>
      <c r="G839" s="146">
        <f>D839*E839</f>
        <v>0</v>
      </c>
      <c r="H839" s="321"/>
    </row>
    <row r="840" spans="2:8" ht="24" thickBot="1" x14ac:dyDescent="0.3">
      <c r="B840" s="324" t="s">
        <v>440</v>
      </c>
      <c r="C840" s="325"/>
      <c r="D840" s="138">
        <v>353.15</v>
      </c>
      <c r="E840" s="140" t="str">
        <f>IF(T819="Осина","0",D822*4)</f>
        <v>0</v>
      </c>
      <c r="F840" s="79" t="s">
        <v>434</v>
      </c>
      <c r="G840" s="147">
        <f>D840*E840</f>
        <v>0</v>
      </c>
      <c r="H840" s="321"/>
    </row>
    <row r="841" spans="2:8" ht="23.25" x14ac:dyDescent="0.25">
      <c r="B841" s="49"/>
      <c r="C841" s="66"/>
      <c r="D841" s="66"/>
      <c r="E841" s="56"/>
      <c r="F841" s="56"/>
      <c r="G841" s="48"/>
      <c r="H841" s="92"/>
    </row>
    <row r="842" spans="2:8" ht="25.5" x14ac:dyDescent="0.25">
      <c r="B842" s="49"/>
      <c r="C842" s="59" t="s">
        <v>512</v>
      </c>
      <c r="D842" s="60"/>
      <c r="E842" s="49"/>
      <c r="F842" s="49"/>
      <c r="G842" s="48"/>
      <c r="H842" s="87"/>
    </row>
    <row r="843" spans="2:8" ht="18.75" x14ac:dyDescent="0.25">
      <c r="B843" s="49"/>
      <c r="C843" s="306" t="s">
        <v>513</v>
      </c>
      <c r="D843" s="84" t="s">
        <v>514</v>
      </c>
      <c r="E843" s="68">
        <f>ROUND((G831+D824)/D824,2)</f>
        <v>1.08</v>
      </c>
      <c r="F843" s="68"/>
      <c r="G843" s="50"/>
      <c r="H843" s="87"/>
    </row>
    <row r="844" spans="2:8" ht="23.25" x14ac:dyDescent="0.25">
      <c r="B844" s="49"/>
      <c r="C844" s="306"/>
      <c r="D844" s="84" t="s">
        <v>515</v>
      </c>
      <c r="E844" s="68">
        <f>ROUND((G832+G833+D824)/D824,2)</f>
        <v>1.04</v>
      </c>
      <c r="F844" s="68"/>
      <c r="G844" s="57"/>
      <c r="H844" s="93"/>
    </row>
    <row r="845" spans="2:8" ht="23.25" x14ac:dyDescent="0.25">
      <c r="B845" s="49"/>
      <c r="C845" s="306"/>
      <c r="D845" s="84" t="s">
        <v>516</v>
      </c>
      <c r="E845" s="68">
        <f>ROUND((G834+D824)/D824,2)</f>
        <v>1</v>
      </c>
      <c r="F845" s="50"/>
      <c r="G845" s="57"/>
      <c r="H845" s="87"/>
    </row>
    <row r="846" spans="2:8" ht="23.25" x14ac:dyDescent="0.25">
      <c r="B846" s="49"/>
      <c r="C846" s="306"/>
      <c r="D846" s="69" t="s">
        <v>517</v>
      </c>
      <c r="E846" s="70">
        <f>ROUND((SUM(G835:G840)+D824)/D824,2)</f>
        <v>2.33</v>
      </c>
      <c r="F846" s="50"/>
      <c r="G846" s="57"/>
      <c r="H846" s="87"/>
    </row>
    <row r="847" spans="2:8" ht="25.5" x14ac:dyDescent="0.25">
      <c r="B847" s="49"/>
      <c r="C847" s="49"/>
      <c r="D847" s="71" t="s">
        <v>518</v>
      </c>
      <c r="E847" s="72">
        <f>SUM(E843:E846)-IF(D828="сплошная",3,2)</f>
        <v>2.4500000000000002</v>
      </c>
      <c r="F847" s="73"/>
      <c r="G847" s="48"/>
      <c r="H847" s="87"/>
    </row>
    <row r="848" spans="2:8" ht="23.25" x14ac:dyDescent="0.25">
      <c r="B848" s="49"/>
      <c r="C848" s="49"/>
      <c r="D848" s="49"/>
      <c r="E848" s="74"/>
      <c r="F848" s="49"/>
      <c r="G848" s="48"/>
      <c r="H848" s="87"/>
    </row>
    <row r="849" spans="2:27" ht="25.5" x14ac:dyDescent="0.35">
      <c r="B849" s="58"/>
      <c r="C849" s="75" t="s">
        <v>519</v>
      </c>
      <c r="D849" s="307">
        <f>E847*D824</f>
        <v>40399.471000000005</v>
      </c>
      <c r="E849" s="307"/>
      <c r="F849" s="49"/>
      <c r="G849" s="48"/>
      <c r="H849" s="87"/>
    </row>
    <row r="850" spans="2:27" ht="18.75" x14ac:dyDescent="0.3">
      <c r="B850" s="49"/>
      <c r="C850" s="76" t="s">
        <v>520</v>
      </c>
      <c r="D850" s="308">
        <f>D849/D823</f>
        <v>40.473132100422774</v>
      </c>
      <c r="E850" s="308"/>
      <c r="F850" s="49"/>
      <c r="G850" s="49"/>
      <c r="H850" s="94"/>
    </row>
    <row r="853" spans="2:27" ht="60.75" x14ac:dyDescent="0.8">
      <c r="B853" s="330" t="str">
        <f>CONCATENATE("ЛОТ № ",K856)</f>
        <v>ЛОТ № 24</v>
      </c>
      <c r="C853" s="330"/>
      <c r="D853" s="330"/>
      <c r="E853" s="330"/>
      <c r="F853" s="330"/>
      <c r="G853" s="330"/>
      <c r="H853" s="330"/>
    </row>
    <row r="854" spans="2:27" ht="18.75" x14ac:dyDescent="0.25">
      <c r="B854" s="331" t="s">
        <v>492</v>
      </c>
      <c r="C854" s="331"/>
      <c r="D854" s="331"/>
      <c r="E854" s="331"/>
      <c r="F854" s="331"/>
      <c r="G854" s="331"/>
      <c r="H854" s="87"/>
    </row>
    <row r="855" spans="2:27" ht="25.5" x14ac:dyDescent="0.25">
      <c r="B855" s="49"/>
      <c r="C855" s="59" t="s">
        <v>493</v>
      </c>
      <c r="D855" s="60"/>
      <c r="E855" s="49"/>
      <c r="F855" s="49"/>
      <c r="G855" s="48"/>
      <c r="H855" s="87"/>
      <c r="I855" s="88"/>
      <c r="J855" s="88"/>
      <c r="K855" s="88"/>
      <c r="L855" s="88" t="s">
        <v>454</v>
      </c>
      <c r="M855" s="88" t="s">
        <v>444</v>
      </c>
      <c r="N855" s="88" t="s">
        <v>445</v>
      </c>
      <c r="O855" s="88" t="s">
        <v>453</v>
      </c>
      <c r="P855" s="89" t="s">
        <v>446</v>
      </c>
      <c r="Q855" s="88" t="s">
        <v>435</v>
      </c>
      <c r="R855" s="40" t="s">
        <v>447</v>
      </c>
      <c r="S855" s="40" t="s">
        <v>522</v>
      </c>
      <c r="T855" s="88" t="s">
        <v>118</v>
      </c>
      <c r="U855" s="88" t="s">
        <v>500</v>
      </c>
      <c r="V855" s="88" t="s">
        <v>450</v>
      </c>
      <c r="W855" s="40" t="s">
        <v>448</v>
      </c>
      <c r="X855" s="40" t="s">
        <v>449</v>
      </c>
      <c r="Y855" s="88" t="s">
        <v>523</v>
      </c>
      <c r="Z855" s="88"/>
    </row>
    <row r="856" spans="2:27" ht="39.950000000000003" customHeight="1" x14ac:dyDescent="0.25">
      <c r="B856" s="50"/>
      <c r="C856" s="332" t="s">
        <v>494</v>
      </c>
      <c r="D856" s="335" t="s">
        <v>521</v>
      </c>
      <c r="E856" s="336"/>
      <c r="F856" s="336"/>
      <c r="G856" s="337"/>
      <c r="H856" s="90"/>
      <c r="I856" s="88" t="s">
        <v>443</v>
      </c>
      <c r="J856" s="88"/>
      <c r="K856" s="43">
        <f>IF(I856="","",COUNTA(I$5:I856))</f>
        <v>24</v>
      </c>
      <c r="L856" s="95" t="str">
        <f>INDEX('Ведомость расчета мин. платы'!$B$10:$T$209,MATCH(ЛОТЫ!$K856,'Ведомость расчета мин. платы'!$B$10:$B$209,0),2)</f>
        <v>Мамыковское</v>
      </c>
      <c r="M856" s="95">
        <f>INDEX('Ведомость расчета мин. платы'!$B$10:$T$209,MATCH(ЛОТЫ!$K856,'Ведомость расчета мин. платы'!$B$10:$B$209,0),3)</f>
        <v>52</v>
      </c>
      <c r="N856" s="95">
        <f>INDEX('Ведомость расчета мин. платы'!$B$10:$T$209,MATCH(ЛОТЫ!$K856,'Ведомость расчета мин. платы'!$B$10:$B$209,0),4)</f>
        <v>35</v>
      </c>
      <c r="O856" s="95">
        <f>INDEX('Ведомость расчета мин. платы'!$B$10:$T$209,MATCH(ЛОТЫ!$K856,'Ведомость расчета мин. платы'!$B$10:$B$209,0),5)</f>
        <v>4</v>
      </c>
      <c r="P856" s="89">
        <f>IFERROR(INDEX(Коэффициенты!$G$4:$O$106,MATCH(CONCATENATE($L856,"/",$M856,"/",$N856,"/",$O856),Коэффициенты!$O$4:$O$106,0),1),"")</f>
        <v>3.6</v>
      </c>
      <c r="Q856" s="40">
        <f>IFERROR(INDEX(Коэффициенты!$G$4:$O$106,MATCH(CONCATENATE($L856,"/",$M856,"/",$N856,"/",$O856),Коэффициенты!$O$4:$O$106,0),6),"")</f>
        <v>476.29999999999995</v>
      </c>
      <c r="R856" s="40">
        <f>IFERROR(INDEX(Коэффициенты!$G$4:$O$106,MATCH(CONCATENATE($L856,"/",$M856,"/",$N856,"/",$O856),Коэффициенты!$O$4:$O$106,0),2),"")</f>
        <v>7711.6100000000006</v>
      </c>
      <c r="S856" s="43" t="str">
        <f>IFERROR(INDEX('Такс. опис.'!$A$5:$BW$50,MATCH(CONCATENATE($L856,"/",$M856,"/",$N856),'Такс. опис.'!$C$5:$C$50,0),26),"")</f>
        <v>10ОС+Б</v>
      </c>
      <c r="T856" s="43" t="str">
        <f>IFERROR(INDEX('Такс. опис.'!$A$5:$BW$50,MATCH(CONCATENATE($L856,"/",$M856,"/",$N856),'Такс. опис.'!$C$5:$C$50,0),47),"")</f>
        <v>Осина</v>
      </c>
      <c r="U856" s="43">
        <f>IFERROR(INDEX('Такс. опис.'!$A$5:$BW$50,MATCH(CONCATENATE($L856,"/",$M856,"/",$N856),'Такс. опис.'!$C$5:$C$50,0),49),"")</f>
        <v>55</v>
      </c>
      <c r="V856" s="103">
        <f>IFERROR(INDEX('Ведомость расчета мин. платы'!$AC$10:$AD$214,MATCH(CONCATENATE($L856,"/",$M856,"/",$N856,"/",$O856),'Ведомость расчета мин. платы'!$AC$10:$AC$214,0),2),"")</f>
        <v>0.92</v>
      </c>
      <c r="W856" s="40">
        <f>E884</f>
        <v>2.6100000000000003</v>
      </c>
      <c r="X856" s="40">
        <f>D886</f>
        <v>20127.302100000004</v>
      </c>
      <c r="Y856" s="91">
        <f>D887</f>
        <v>42.257615158513552</v>
      </c>
      <c r="Z856" s="88"/>
      <c r="AA856" s="86">
        <f t="shared" ref="AA856:AA893" si="36">IF(M856&gt;0,1,0)</f>
        <v>1</v>
      </c>
    </row>
    <row r="857" spans="2:27" ht="19.5" x14ac:dyDescent="0.25">
      <c r="B857" s="50"/>
      <c r="C857" s="333"/>
      <c r="D857" s="338" t="str">
        <f>CONCATENATE(L856, " участковое лесничество")</f>
        <v>Мамыковское участковое лесничество</v>
      </c>
      <c r="E857" s="338"/>
      <c r="F857" s="338"/>
      <c r="G857" s="338"/>
      <c r="H857" s="90"/>
      <c r="I857" s="88"/>
      <c r="J857" s="88">
        <f>IFERROR(IF(ISBLANK(K856),"",K856),"")</f>
        <v>24</v>
      </c>
      <c r="K857" s="88"/>
      <c r="L857" s="88"/>
      <c r="M857" s="88"/>
      <c r="N857" s="88"/>
      <c r="O857" s="88"/>
      <c r="P857" s="88"/>
      <c r="Q857" s="88"/>
      <c r="R857" s="88"/>
      <c r="S857" s="88"/>
      <c r="T857" s="88"/>
      <c r="U857" s="88"/>
      <c r="V857" s="88"/>
      <c r="W857" s="88"/>
      <c r="X857" s="88"/>
      <c r="Y857" s="88"/>
      <c r="Z857" s="88"/>
    </row>
    <row r="858" spans="2:27" ht="19.5" x14ac:dyDescent="0.25">
      <c r="B858" s="50"/>
      <c r="C858" s="334"/>
      <c r="D858" s="338" t="str">
        <f>CONCATENATE("кв. ",M856," ","выд."," ",N856," ","делянка", " ",O856)</f>
        <v>кв. 52 выд. 35 делянка 4</v>
      </c>
      <c r="E858" s="338"/>
      <c r="F858" s="338"/>
      <c r="G858" s="338"/>
      <c r="H858" s="90"/>
      <c r="I858" s="88"/>
      <c r="J858" s="88"/>
      <c r="K858" s="88"/>
      <c r="L858" s="88"/>
      <c r="M858" s="88"/>
      <c r="N858" s="88"/>
      <c r="O858" s="88"/>
      <c r="P858" s="88"/>
      <c r="Q858" s="88"/>
      <c r="R858" s="88"/>
      <c r="S858" s="88"/>
      <c r="T858" s="88"/>
      <c r="U858" s="88"/>
      <c r="V858" s="88"/>
      <c r="W858" s="88"/>
      <c r="X858" s="88"/>
      <c r="Y858" s="88"/>
      <c r="Z858" s="88"/>
    </row>
    <row r="859" spans="2:27" ht="23.25" x14ac:dyDescent="0.25">
      <c r="B859" s="49"/>
      <c r="C859" s="61" t="s">
        <v>495</v>
      </c>
      <c r="D859" s="51">
        <f>P856</f>
        <v>3.6</v>
      </c>
      <c r="E859" s="62"/>
      <c r="F859" s="50"/>
      <c r="G859" s="48"/>
      <c r="H859" s="87"/>
    </row>
    <row r="860" spans="2:27" ht="22.5" x14ac:dyDescent="0.25">
      <c r="B860" s="49"/>
      <c r="C860" s="63" t="s">
        <v>496</v>
      </c>
      <c r="D860" s="106">
        <f>Q856</f>
        <v>476.29999999999995</v>
      </c>
      <c r="E860" s="309" t="s">
        <v>497</v>
      </c>
      <c r="F860" s="310"/>
      <c r="G860" s="313">
        <f>D861/D860</f>
        <v>16.190657148855767</v>
      </c>
      <c r="H860" s="87"/>
    </row>
    <row r="861" spans="2:27" ht="22.5" x14ac:dyDescent="0.25">
      <c r="B861" s="49"/>
      <c r="C861" s="63" t="s">
        <v>498</v>
      </c>
      <c r="D861" s="52">
        <f>R856</f>
        <v>7711.6100000000006</v>
      </c>
      <c r="E861" s="311"/>
      <c r="F861" s="312"/>
      <c r="G861" s="314"/>
      <c r="H861" s="87"/>
    </row>
    <row r="862" spans="2:27" ht="23.25" x14ac:dyDescent="0.25">
      <c r="B862" s="49"/>
      <c r="C862" s="64"/>
      <c r="D862" s="53"/>
      <c r="E862" s="65"/>
      <c r="F862" s="49"/>
      <c r="G862" s="48"/>
      <c r="H862" s="87"/>
    </row>
    <row r="863" spans="2:27" ht="23.25" x14ac:dyDescent="0.25">
      <c r="B863" s="49"/>
      <c r="C863" s="82" t="s">
        <v>499</v>
      </c>
      <c r="D863" s="96" t="str">
        <f>S856</f>
        <v>10ОС+Б</v>
      </c>
      <c r="E863" s="49"/>
      <c r="F863" s="49"/>
      <c r="G863" s="48"/>
      <c r="H863" s="87"/>
    </row>
    <row r="864" spans="2:27" ht="23.25" x14ac:dyDescent="0.25">
      <c r="B864" s="49"/>
      <c r="C864" s="82" t="s">
        <v>500</v>
      </c>
      <c r="D864" s="96">
        <f>U856</f>
        <v>55</v>
      </c>
      <c r="E864" s="49"/>
      <c r="F864" s="49"/>
      <c r="G864" s="48"/>
      <c r="H864" s="87"/>
    </row>
    <row r="865" spans="2:8" ht="23.25" x14ac:dyDescent="0.25">
      <c r="B865" s="49"/>
      <c r="C865" s="82" t="s">
        <v>501</v>
      </c>
      <c r="D865" s="83" t="s">
        <v>502</v>
      </c>
      <c r="E865" s="49"/>
      <c r="F865" s="49"/>
      <c r="G865" s="48"/>
      <c r="H865" s="87"/>
    </row>
    <row r="866" spans="2:8" ht="24" thickBot="1" x14ac:dyDescent="0.3">
      <c r="B866" s="49"/>
      <c r="C866" s="49"/>
      <c r="D866" s="49"/>
      <c r="E866" s="49"/>
      <c r="F866" s="49"/>
      <c r="G866" s="48"/>
      <c r="H866" s="87"/>
    </row>
    <row r="867" spans="2:8" ht="48" thickBot="1" x14ac:dyDescent="0.3">
      <c r="B867" s="315" t="s">
        <v>436</v>
      </c>
      <c r="C867" s="316"/>
      <c r="D867" s="54" t="s">
        <v>503</v>
      </c>
      <c r="E867" s="317" t="s">
        <v>504</v>
      </c>
      <c r="F867" s="318"/>
      <c r="G867" s="55" t="s">
        <v>505</v>
      </c>
      <c r="H867" s="87"/>
    </row>
    <row r="868" spans="2:8" ht="24" thickBot="1" x14ac:dyDescent="0.3">
      <c r="B868" s="319" t="s">
        <v>506</v>
      </c>
      <c r="C868" s="320"/>
      <c r="D868" s="136">
        <v>197.93</v>
      </c>
      <c r="E868" s="136">
        <f>D859</f>
        <v>3.6</v>
      </c>
      <c r="F868" s="77" t="s">
        <v>434</v>
      </c>
      <c r="G868" s="142">
        <f t="shared" ref="G868:G875" si="37">D868*E868</f>
        <v>712.548</v>
      </c>
      <c r="H868" s="321"/>
    </row>
    <row r="869" spans="2:8" ht="23.25" x14ac:dyDescent="0.25">
      <c r="B869" s="322" t="s">
        <v>507</v>
      </c>
      <c r="C869" s="323"/>
      <c r="D869" s="137">
        <v>159.44</v>
      </c>
      <c r="E869" s="137">
        <f>V856</f>
        <v>0.92</v>
      </c>
      <c r="F869" s="78" t="s">
        <v>437</v>
      </c>
      <c r="G869" s="143">
        <f t="shared" si="37"/>
        <v>146.6848</v>
      </c>
      <c r="H869" s="321"/>
    </row>
    <row r="870" spans="2:8" ht="24" thickBot="1" x14ac:dyDescent="0.3">
      <c r="B870" s="324" t="s">
        <v>508</v>
      </c>
      <c r="C870" s="325"/>
      <c r="D870" s="138">
        <v>276.62</v>
      </c>
      <c r="E870" s="138">
        <f>V856</f>
        <v>0.92</v>
      </c>
      <c r="F870" s="79" t="s">
        <v>437</v>
      </c>
      <c r="G870" s="144">
        <f t="shared" si="37"/>
        <v>254.49040000000002</v>
      </c>
      <c r="H870" s="321"/>
    </row>
    <row r="871" spans="2:8" ht="24" thickBot="1" x14ac:dyDescent="0.3">
      <c r="B871" s="326" t="s">
        <v>438</v>
      </c>
      <c r="C871" s="327"/>
      <c r="D871" s="139">
        <v>519</v>
      </c>
      <c r="E871" s="139"/>
      <c r="F871" s="80" t="s">
        <v>434</v>
      </c>
      <c r="G871" s="145">
        <f t="shared" si="37"/>
        <v>0</v>
      </c>
      <c r="H871" s="321"/>
    </row>
    <row r="872" spans="2:8" ht="23.25" x14ac:dyDescent="0.25">
      <c r="B872" s="322" t="s">
        <v>509</v>
      </c>
      <c r="C872" s="323"/>
      <c r="D872" s="137">
        <v>920</v>
      </c>
      <c r="E872" s="137">
        <f>D859*2</f>
        <v>7.2</v>
      </c>
      <c r="F872" s="78" t="s">
        <v>434</v>
      </c>
      <c r="G872" s="143">
        <f t="shared" si="37"/>
        <v>6624</v>
      </c>
      <c r="H872" s="321"/>
    </row>
    <row r="873" spans="2:8" ht="23.25" x14ac:dyDescent="0.25">
      <c r="B873" s="328" t="s">
        <v>510</v>
      </c>
      <c r="C873" s="329"/>
      <c r="D873" s="140">
        <v>1300</v>
      </c>
      <c r="E873" s="140">
        <f>IF(T856="Осина",D859,"0")</f>
        <v>3.6</v>
      </c>
      <c r="F873" s="81" t="s">
        <v>434</v>
      </c>
      <c r="G873" s="146">
        <f t="shared" si="37"/>
        <v>4680</v>
      </c>
      <c r="H873" s="321"/>
    </row>
    <row r="874" spans="2:8" ht="23.25" x14ac:dyDescent="0.25">
      <c r="B874" s="328" t="s">
        <v>439</v>
      </c>
      <c r="C874" s="329"/>
      <c r="D874" s="141">
        <v>5165.12</v>
      </c>
      <c r="E874" s="140" t="str">
        <f>IF(T856="Осина","0",D859)</f>
        <v>0</v>
      </c>
      <c r="F874" s="81" t="s">
        <v>434</v>
      </c>
      <c r="G874" s="146">
        <f t="shared" si="37"/>
        <v>0</v>
      </c>
      <c r="H874" s="321"/>
    </row>
    <row r="875" spans="2:8" ht="23.25" x14ac:dyDescent="0.25">
      <c r="B875" s="328" t="s">
        <v>511</v>
      </c>
      <c r="C875" s="329"/>
      <c r="D875" s="141">
        <v>917</v>
      </c>
      <c r="E875" s="140" t="str">
        <f>IF(T856="Осина","0",D859)</f>
        <v>0</v>
      </c>
      <c r="F875" s="81" t="s">
        <v>434</v>
      </c>
      <c r="G875" s="146">
        <f t="shared" si="37"/>
        <v>0</v>
      </c>
      <c r="H875" s="321"/>
    </row>
    <row r="876" spans="2:8" ht="23.25" x14ac:dyDescent="0.25">
      <c r="B876" s="328" t="s">
        <v>441</v>
      </c>
      <c r="C876" s="329"/>
      <c r="D876" s="141">
        <v>461.56000000000006</v>
      </c>
      <c r="E876" s="140" t="str">
        <f>IF(T856="Осина","0",D859)</f>
        <v>0</v>
      </c>
      <c r="F876" s="81" t="s">
        <v>434</v>
      </c>
      <c r="G876" s="146">
        <f>D876*E876</f>
        <v>0</v>
      </c>
      <c r="H876" s="321"/>
    </row>
    <row r="877" spans="2:8" ht="24" thickBot="1" x14ac:dyDescent="0.3">
      <c r="B877" s="324" t="s">
        <v>440</v>
      </c>
      <c r="C877" s="325"/>
      <c r="D877" s="138">
        <v>353.15</v>
      </c>
      <c r="E877" s="140" t="str">
        <f>IF(T856="Осина","0",D859*4)</f>
        <v>0</v>
      </c>
      <c r="F877" s="79" t="s">
        <v>434</v>
      </c>
      <c r="G877" s="147">
        <f>D877*E877</f>
        <v>0</v>
      </c>
      <c r="H877" s="321"/>
    </row>
    <row r="878" spans="2:8" ht="23.25" x14ac:dyDescent="0.25">
      <c r="B878" s="49"/>
      <c r="C878" s="66"/>
      <c r="D878" s="66"/>
      <c r="E878" s="56"/>
      <c r="F878" s="56"/>
      <c r="G878" s="48"/>
      <c r="H878" s="92"/>
    </row>
    <row r="879" spans="2:8" ht="25.5" x14ac:dyDescent="0.25">
      <c r="B879" s="49"/>
      <c r="C879" s="59" t="s">
        <v>512</v>
      </c>
      <c r="D879" s="60"/>
      <c r="E879" s="49"/>
      <c r="F879" s="49"/>
      <c r="G879" s="48"/>
      <c r="H879" s="87"/>
    </row>
    <row r="880" spans="2:8" ht="18.75" x14ac:dyDescent="0.25">
      <c r="B880" s="49"/>
      <c r="C880" s="306" t="s">
        <v>513</v>
      </c>
      <c r="D880" s="84" t="s">
        <v>514</v>
      </c>
      <c r="E880" s="68">
        <f>ROUND((G868+D861)/D861,2)</f>
        <v>1.0900000000000001</v>
      </c>
      <c r="F880" s="68"/>
      <c r="G880" s="50"/>
      <c r="H880" s="87"/>
    </row>
    <row r="881" spans="2:27" ht="23.25" x14ac:dyDescent="0.25">
      <c r="B881" s="49"/>
      <c r="C881" s="306"/>
      <c r="D881" s="84" t="s">
        <v>515</v>
      </c>
      <c r="E881" s="68">
        <f>ROUND((G869+G870+D861)/D861,2)</f>
        <v>1.05</v>
      </c>
      <c r="F881" s="68"/>
      <c r="G881" s="57"/>
      <c r="H881" s="93"/>
    </row>
    <row r="882" spans="2:27" ht="23.25" x14ac:dyDescent="0.25">
      <c r="B882" s="49"/>
      <c r="C882" s="306"/>
      <c r="D882" s="84" t="s">
        <v>516</v>
      </c>
      <c r="E882" s="68">
        <f>ROUND((G871+D861)/D861,2)</f>
        <v>1</v>
      </c>
      <c r="F882" s="50"/>
      <c r="G882" s="57"/>
      <c r="H882" s="87"/>
    </row>
    <row r="883" spans="2:27" ht="23.25" x14ac:dyDescent="0.25">
      <c r="B883" s="49"/>
      <c r="C883" s="306"/>
      <c r="D883" s="69" t="s">
        <v>517</v>
      </c>
      <c r="E883" s="70">
        <f>ROUND((SUM(G872:G877)+D861)/D861,2)</f>
        <v>2.4700000000000002</v>
      </c>
      <c r="F883" s="50"/>
      <c r="G883" s="57"/>
      <c r="H883" s="87"/>
    </row>
    <row r="884" spans="2:27" ht="25.5" x14ac:dyDescent="0.25">
      <c r="B884" s="49"/>
      <c r="C884" s="49"/>
      <c r="D884" s="71" t="s">
        <v>518</v>
      </c>
      <c r="E884" s="72">
        <f>SUM(E880:E883)-IF(D865="сплошная",3,2)</f>
        <v>2.6100000000000003</v>
      </c>
      <c r="F884" s="73"/>
      <c r="G884" s="48"/>
      <c r="H884" s="87"/>
    </row>
    <row r="885" spans="2:27" ht="23.25" x14ac:dyDescent="0.25">
      <c r="B885" s="49"/>
      <c r="C885" s="49"/>
      <c r="D885" s="49"/>
      <c r="E885" s="74"/>
      <c r="F885" s="49"/>
      <c r="G885" s="48"/>
      <c r="H885" s="87"/>
    </row>
    <row r="886" spans="2:27" ht="25.5" x14ac:dyDescent="0.35">
      <c r="B886" s="58"/>
      <c r="C886" s="75" t="s">
        <v>519</v>
      </c>
      <c r="D886" s="307">
        <f>E884*D861</f>
        <v>20127.302100000004</v>
      </c>
      <c r="E886" s="307"/>
      <c r="F886" s="49"/>
      <c r="G886" s="48"/>
      <c r="H886" s="87"/>
    </row>
    <row r="887" spans="2:27" ht="18.75" x14ac:dyDescent="0.3">
      <c r="B887" s="49"/>
      <c r="C887" s="76" t="s">
        <v>520</v>
      </c>
      <c r="D887" s="308">
        <f>D886/D860</f>
        <v>42.257615158513552</v>
      </c>
      <c r="E887" s="308"/>
      <c r="F887" s="49"/>
      <c r="G887" s="49"/>
      <c r="H887" s="94"/>
    </row>
    <row r="890" spans="2:27" ht="60.75" x14ac:dyDescent="0.8">
      <c r="B890" s="330" t="str">
        <f>CONCATENATE("ЛОТ № ",K893)</f>
        <v>ЛОТ № 25</v>
      </c>
      <c r="C890" s="330"/>
      <c r="D890" s="330"/>
      <c r="E890" s="330"/>
      <c r="F890" s="330"/>
      <c r="G890" s="330"/>
      <c r="H890" s="330"/>
    </row>
    <row r="891" spans="2:27" ht="18.75" x14ac:dyDescent="0.25">
      <c r="B891" s="331" t="s">
        <v>492</v>
      </c>
      <c r="C891" s="331"/>
      <c r="D891" s="331"/>
      <c r="E891" s="331"/>
      <c r="F891" s="331"/>
      <c r="G891" s="331"/>
      <c r="H891" s="87"/>
    </row>
    <row r="892" spans="2:27" ht="25.5" x14ac:dyDescent="0.25">
      <c r="B892" s="49"/>
      <c r="C892" s="59" t="s">
        <v>493</v>
      </c>
      <c r="D892" s="60"/>
      <c r="E892" s="49"/>
      <c r="F892" s="49"/>
      <c r="G892" s="48"/>
      <c r="H892" s="87"/>
      <c r="I892" s="88"/>
      <c r="J892" s="88"/>
      <c r="K892" s="88"/>
      <c r="L892" s="88" t="s">
        <v>454</v>
      </c>
      <c r="M892" s="88" t="s">
        <v>444</v>
      </c>
      <c r="N892" s="88" t="s">
        <v>445</v>
      </c>
      <c r="O892" s="88" t="s">
        <v>453</v>
      </c>
      <c r="P892" s="89" t="s">
        <v>446</v>
      </c>
      <c r="Q892" s="88" t="s">
        <v>435</v>
      </c>
      <c r="R892" s="40" t="s">
        <v>447</v>
      </c>
      <c r="S892" s="40" t="s">
        <v>522</v>
      </c>
      <c r="T892" s="88" t="s">
        <v>118</v>
      </c>
      <c r="U892" s="88" t="s">
        <v>500</v>
      </c>
      <c r="V892" s="88" t="s">
        <v>450</v>
      </c>
      <c r="W892" s="40" t="s">
        <v>448</v>
      </c>
      <c r="X892" s="40" t="s">
        <v>449</v>
      </c>
      <c r="Y892" s="88" t="s">
        <v>523</v>
      </c>
      <c r="Z892" s="88"/>
    </row>
    <row r="893" spans="2:27" ht="39.950000000000003" customHeight="1" x14ac:dyDescent="0.25">
      <c r="B893" s="50"/>
      <c r="C893" s="332" t="s">
        <v>494</v>
      </c>
      <c r="D893" s="335" t="s">
        <v>521</v>
      </c>
      <c r="E893" s="336"/>
      <c r="F893" s="336"/>
      <c r="G893" s="337"/>
      <c r="H893" s="90"/>
      <c r="I893" s="88" t="s">
        <v>443</v>
      </c>
      <c r="J893" s="88"/>
      <c r="K893" s="43">
        <f>IF(I893="","",COUNTA(I$5:I893))</f>
        <v>25</v>
      </c>
      <c r="L893" s="95" t="str">
        <f>INDEX('Ведомость расчета мин. платы'!$B$10:$T$209,MATCH(ЛОТЫ!$K893,'Ведомость расчета мин. платы'!$B$10:$B$209,0),2)</f>
        <v>Мамыковское</v>
      </c>
      <c r="M893" s="95">
        <f>INDEX('Ведомость расчета мин. платы'!$B$10:$T$209,MATCH(ЛОТЫ!$K893,'Ведомость расчета мин. платы'!$B$10:$B$209,0),3)</f>
        <v>53</v>
      </c>
      <c r="N893" s="95">
        <f>INDEX('Ведомость расчета мин. платы'!$B$10:$T$209,MATCH(ЛОТЫ!$K893,'Ведомость расчета мин. платы'!$B$10:$B$209,0),4)</f>
        <v>10</v>
      </c>
      <c r="O893" s="95">
        <f>INDEX('Ведомость расчета мин. платы'!$B$10:$T$209,MATCH(ЛОТЫ!$K893,'Ведомость расчета мин. платы'!$B$10:$B$209,0),5)</f>
        <v>1</v>
      </c>
      <c r="P893" s="89">
        <f>IFERROR(INDEX(Коэффициенты!$G$4:$O$106,MATCH(CONCATENATE($L893,"/",$M893,"/",$N893,"/",$O893),Коэффициенты!$O$4:$O$106,0),1),"")</f>
        <v>4.0999999999999996</v>
      </c>
      <c r="Q893" s="40">
        <f>IFERROR(INDEX(Коэффициенты!$G$4:$O$106,MATCH(CONCATENATE($L893,"/",$M893,"/",$N893,"/",$O893),Коэффициенты!$O$4:$O$106,0),6),"")</f>
        <v>581.79</v>
      </c>
      <c r="R893" s="40">
        <f>IFERROR(INDEX(Коэффициенты!$G$4:$O$106,MATCH(CONCATENATE($L893,"/",$M893,"/",$N893,"/",$O893),Коэффициенты!$O$4:$O$106,0),2),"")</f>
        <v>7558.63</v>
      </c>
      <c r="S893" s="43" t="str">
        <f>IFERROR(INDEX('Такс. опис.'!$A$5:$BW$50,MATCH(CONCATENATE($L893,"/",$M893,"/",$N893),'Такс. опис.'!$C$5:$C$50,0),26),"")</f>
        <v>9ОС1ЛП+Б</v>
      </c>
      <c r="T893" s="43" t="str">
        <f>IFERROR(INDEX('Такс. опис.'!$A$5:$BW$50,MATCH(CONCATENATE($L893,"/",$M893,"/",$N893),'Такс. опис.'!$C$5:$C$50,0),47),"")</f>
        <v>Осина</v>
      </c>
      <c r="U893" s="43">
        <f>IFERROR(INDEX('Такс. опис.'!$A$5:$BW$50,MATCH(CONCATENATE($L893,"/",$M893,"/",$N893),'Такс. опис.'!$C$5:$C$50,0),49),"")</f>
        <v>55</v>
      </c>
      <c r="V893" s="103">
        <f>IFERROR(INDEX('Ведомость расчета мин. платы'!$AC$10:$AD$214,MATCH(CONCATENATE($L893,"/",$M893,"/",$N893,"/",$O893),'Ведомость расчета мин. платы'!$AC$10:$AC$214,0),2),"")</f>
        <v>1.02</v>
      </c>
      <c r="W893" s="40">
        <f>E921</f>
        <v>2.87</v>
      </c>
      <c r="X893" s="40">
        <f>D923</f>
        <v>21693.268100000001</v>
      </c>
      <c r="Y893" s="91">
        <f>D924</f>
        <v>37.287110641296692</v>
      </c>
      <c r="Z893" s="88"/>
      <c r="AA893" s="86">
        <f t="shared" si="36"/>
        <v>1</v>
      </c>
    </row>
    <row r="894" spans="2:27" ht="19.5" x14ac:dyDescent="0.25">
      <c r="B894" s="50"/>
      <c r="C894" s="333"/>
      <c r="D894" s="338" t="str">
        <f>CONCATENATE(L893, " участковое лесничество")</f>
        <v>Мамыковское участковое лесничество</v>
      </c>
      <c r="E894" s="338"/>
      <c r="F894" s="338"/>
      <c r="G894" s="338"/>
      <c r="H894" s="90"/>
      <c r="I894" s="88"/>
      <c r="J894" s="88">
        <f>IFERROR(IF(ISBLANK(K893),"",K893),"")</f>
        <v>25</v>
      </c>
      <c r="K894" s="88"/>
      <c r="L894" s="88"/>
      <c r="M894" s="88"/>
      <c r="N894" s="88"/>
      <c r="O894" s="88"/>
      <c r="P894" s="88"/>
      <c r="Q894" s="88"/>
      <c r="R894" s="88"/>
      <c r="S894" s="88"/>
      <c r="T894" s="88"/>
      <c r="U894" s="88"/>
      <c r="V894" s="88"/>
      <c r="W894" s="88"/>
      <c r="X894" s="88"/>
      <c r="Y894" s="88"/>
      <c r="Z894" s="88"/>
    </row>
    <row r="895" spans="2:27" ht="19.5" x14ac:dyDescent="0.25">
      <c r="B895" s="50"/>
      <c r="C895" s="334"/>
      <c r="D895" s="338" t="str">
        <f>CONCATENATE("кв. ",M893," ","выд."," ",N893," ","делянка", " ",O893)</f>
        <v>кв. 53 выд. 10 делянка 1</v>
      </c>
      <c r="E895" s="338"/>
      <c r="F895" s="338"/>
      <c r="G895" s="338"/>
      <c r="H895" s="90"/>
      <c r="I895" s="88"/>
      <c r="J895" s="88"/>
      <c r="K895" s="88"/>
      <c r="L895" s="88"/>
      <c r="M895" s="88"/>
      <c r="N895" s="88"/>
      <c r="O895" s="88"/>
      <c r="P895" s="88"/>
      <c r="Q895" s="88"/>
      <c r="R895" s="88"/>
      <c r="S895" s="88"/>
      <c r="T895" s="88"/>
      <c r="U895" s="88"/>
      <c r="V895" s="88"/>
      <c r="W895" s="88"/>
      <c r="X895" s="88"/>
      <c r="Y895" s="88"/>
      <c r="Z895" s="88"/>
    </row>
    <row r="896" spans="2:27" ht="23.25" x14ac:dyDescent="0.25">
      <c r="B896" s="49"/>
      <c r="C896" s="61" t="s">
        <v>495</v>
      </c>
      <c r="D896" s="51">
        <f>P893</f>
        <v>4.0999999999999996</v>
      </c>
      <c r="E896" s="62"/>
      <c r="F896" s="50"/>
      <c r="G896" s="48"/>
      <c r="H896" s="87"/>
    </row>
    <row r="897" spans="2:8" ht="22.5" x14ac:dyDescent="0.25">
      <c r="B897" s="49"/>
      <c r="C897" s="63" t="s">
        <v>496</v>
      </c>
      <c r="D897" s="106">
        <f>Q893</f>
        <v>581.79</v>
      </c>
      <c r="E897" s="309" t="s">
        <v>497</v>
      </c>
      <c r="F897" s="310"/>
      <c r="G897" s="313">
        <f>D898/D897</f>
        <v>12.992024613692227</v>
      </c>
      <c r="H897" s="87"/>
    </row>
    <row r="898" spans="2:8" ht="22.5" x14ac:dyDescent="0.25">
      <c r="B898" s="49"/>
      <c r="C898" s="63" t="s">
        <v>498</v>
      </c>
      <c r="D898" s="52">
        <f>R893</f>
        <v>7558.63</v>
      </c>
      <c r="E898" s="311"/>
      <c r="F898" s="312"/>
      <c r="G898" s="314"/>
      <c r="H898" s="87"/>
    </row>
    <row r="899" spans="2:8" ht="23.25" x14ac:dyDescent="0.25">
      <c r="B899" s="49"/>
      <c r="C899" s="64"/>
      <c r="D899" s="53"/>
      <c r="E899" s="65"/>
      <c r="F899" s="49"/>
      <c r="G899" s="48"/>
      <c r="H899" s="87"/>
    </row>
    <row r="900" spans="2:8" ht="23.25" x14ac:dyDescent="0.25">
      <c r="B900" s="49"/>
      <c r="C900" s="82" t="s">
        <v>499</v>
      </c>
      <c r="D900" s="96" t="str">
        <f>S893</f>
        <v>9ОС1ЛП+Б</v>
      </c>
      <c r="E900" s="49"/>
      <c r="F900" s="49"/>
      <c r="G900" s="48"/>
      <c r="H900" s="87"/>
    </row>
    <row r="901" spans="2:8" ht="23.25" x14ac:dyDescent="0.25">
      <c r="B901" s="49"/>
      <c r="C901" s="82" t="s">
        <v>500</v>
      </c>
      <c r="D901" s="96">
        <f>U893</f>
        <v>55</v>
      </c>
      <c r="E901" s="49"/>
      <c r="F901" s="49"/>
      <c r="G901" s="48"/>
      <c r="H901" s="87"/>
    </row>
    <row r="902" spans="2:8" ht="23.25" x14ac:dyDescent="0.25">
      <c r="B902" s="49"/>
      <c r="C902" s="82" t="s">
        <v>501</v>
      </c>
      <c r="D902" s="83" t="s">
        <v>502</v>
      </c>
      <c r="E902" s="49"/>
      <c r="F902" s="49"/>
      <c r="G902" s="48"/>
      <c r="H902" s="87"/>
    </row>
    <row r="903" spans="2:8" ht="24" thickBot="1" x14ac:dyDescent="0.3">
      <c r="B903" s="49"/>
      <c r="C903" s="49"/>
      <c r="D903" s="49"/>
      <c r="E903" s="49"/>
      <c r="F903" s="49"/>
      <c r="G903" s="48"/>
      <c r="H903" s="87"/>
    </row>
    <row r="904" spans="2:8" ht="48" thickBot="1" x14ac:dyDescent="0.3">
      <c r="B904" s="315" t="s">
        <v>436</v>
      </c>
      <c r="C904" s="316"/>
      <c r="D904" s="54" t="s">
        <v>503</v>
      </c>
      <c r="E904" s="317" t="s">
        <v>504</v>
      </c>
      <c r="F904" s="318"/>
      <c r="G904" s="55" t="s">
        <v>505</v>
      </c>
      <c r="H904" s="87"/>
    </row>
    <row r="905" spans="2:8" ht="24" thickBot="1" x14ac:dyDescent="0.3">
      <c r="B905" s="319" t="s">
        <v>506</v>
      </c>
      <c r="C905" s="320"/>
      <c r="D905" s="136">
        <v>197.93</v>
      </c>
      <c r="E905" s="136">
        <f>D896</f>
        <v>4.0999999999999996</v>
      </c>
      <c r="F905" s="77" t="s">
        <v>434</v>
      </c>
      <c r="G905" s="142">
        <f t="shared" ref="G905:G912" si="38">D905*E905</f>
        <v>811.51299999999992</v>
      </c>
      <c r="H905" s="321"/>
    </row>
    <row r="906" spans="2:8" ht="23.25" x14ac:dyDescent="0.25">
      <c r="B906" s="322" t="s">
        <v>507</v>
      </c>
      <c r="C906" s="323"/>
      <c r="D906" s="137">
        <v>159.44</v>
      </c>
      <c r="E906" s="137">
        <f>V893</f>
        <v>1.02</v>
      </c>
      <c r="F906" s="78" t="s">
        <v>437</v>
      </c>
      <c r="G906" s="143">
        <f t="shared" si="38"/>
        <v>162.62880000000001</v>
      </c>
      <c r="H906" s="321"/>
    </row>
    <row r="907" spans="2:8" ht="24" thickBot="1" x14ac:dyDescent="0.3">
      <c r="B907" s="324" t="s">
        <v>508</v>
      </c>
      <c r="C907" s="325"/>
      <c r="D907" s="138">
        <v>276.62</v>
      </c>
      <c r="E907" s="138">
        <f>V893</f>
        <v>1.02</v>
      </c>
      <c r="F907" s="79" t="s">
        <v>437</v>
      </c>
      <c r="G907" s="144">
        <f t="shared" si="38"/>
        <v>282.1524</v>
      </c>
      <c r="H907" s="321"/>
    </row>
    <row r="908" spans="2:8" ht="24" thickBot="1" x14ac:dyDescent="0.3">
      <c r="B908" s="326" t="s">
        <v>438</v>
      </c>
      <c r="C908" s="327"/>
      <c r="D908" s="139">
        <v>519</v>
      </c>
      <c r="E908" s="139"/>
      <c r="F908" s="80" t="s">
        <v>434</v>
      </c>
      <c r="G908" s="145">
        <f t="shared" si="38"/>
        <v>0</v>
      </c>
      <c r="H908" s="321"/>
    </row>
    <row r="909" spans="2:8" ht="23.25" x14ac:dyDescent="0.25">
      <c r="B909" s="322" t="s">
        <v>509</v>
      </c>
      <c r="C909" s="323"/>
      <c r="D909" s="137">
        <v>920</v>
      </c>
      <c r="E909" s="137">
        <f>D896*2</f>
        <v>8.1999999999999993</v>
      </c>
      <c r="F909" s="78" t="s">
        <v>434</v>
      </c>
      <c r="G909" s="143">
        <f t="shared" si="38"/>
        <v>7543.9999999999991</v>
      </c>
      <c r="H909" s="321"/>
    </row>
    <row r="910" spans="2:8" ht="23.25" x14ac:dyDescent="0.25">
      <c r="B910" s="328" t="s">
        <v>510</v>
      </c>
      <c r="C910" s="329"/>
      <c r="D910" s="140">
        <v>1300</v>
      </c>
      <c r="E910" s="140">
        <f>IF(T893="Осина",D896,"0")</f>
        <v>4.0999999999999996</v>
      </c>
      <c r="F910" s="81" t="s">
        <v>434</v>
      </c>
      <c r="G910" s="146">
        <f t="shared" si="38"/>
        <v>5329.9999999999991</v>
      </c>
      <c r="H910" s="321"/>
    </row>
    <row r="911" spans="2:8" ht="23.25" x14ac:dyDescent="0.25">
      <c r="B911" s="328" t="s">
        <v>439</v>
      </c>
      <c r="C911" s="329"/>
      <c r="D911" s="141">
        <v>5165.12</v>
      </c>
      <c r="E911" s="140" t="str">
        <f>IF(T893="Осина","0",D896)</f>
        <v>0</v>
      </c>
      <c r="F911" s="81" t="s">
        <v>434</v>
      </c>
      <c r="G911" s="146">
        <f t="shared" si="38"/>
        <v>0</v>
      </c>
      <c r="H911" s="321"/>
    </row>
    <row r="912" spans="2:8" ht="23.25" x14ac:dyDescent="0.25">
      <c r="B912" s="328" t="s">
        <v>511</v>
      </c>
      <c r="C912" s="329"/>
      <c r="D912" s="141">
        <v>917</v>
      </c>
      <c r="E912" s="140" t="str">
        <f>IF(T893="Осина","0",D896)</f>
        <v>0</v>
      </c>
      <c r="F912" s="81" t="s">
        <v>434</v>
      </c>
      <c r="G912" s="146">
        <f t="shared" si="38"/>
        <v>0</v>
      </c>
      <c r="H912" s="321"/>
    </row>
    <row r="913" spans="2:8" ht="23.25" x14ac:dyDescent="0.25">
      <c r="B913" s="328" t="s">
        <v>441</v>
      </c>
      <c r="C913" s="329"/>
      <c r="D913" s="141">
        <v>461.56000000000006</v>
      </c>
      <c r="E913" s="140" t="str">
        <f>IF(T893="Осина","0",D896)</f>
        <v>0</v>
      </c>
      <c r="F913" s="81" t="s">
        <v>434</v>
      </c>
      <c r="G913" s="146">
        <f>D913*E913</f>
        <v>0</v>
      </c>
      <c r="H913" s="321"/>
    </row>
    <row r="914" spans="2:8" ht="24" thickBot="1" x14ac:dyDescent="0.3">
      <c r="B914" s="324" t="s">
        <v>440</v>
      </c>
      <c r="C914" s="325"/>
      <c r="D914" s="138">
        <v>353.15</v>
      </c>
      <c r="E914" s="140" t="str">
        <f>IF(T893="Осина","0",D896*4)</f>
        <v>0</v>
      </c>
      <c r="F914" s="79" t="s">
        <v>434</v>
      </c>
      <c r="G914" s="147">
        <f>D914*E914</f>
        <v>0</v>
      </c>
      <c r="H914" s="321"/>
    </row>
    <row r="915" spans="2:8" ht="23.25" x14ac:dyDescent="0.25">
      <c r="B915" s="49"/>
      <c r="C915" s="66"/>
      <c r="D915" s="66"/>
      <c r="E915" s="56"/>
      <c r="F915" s="56"/>
      <c r="G915" s="48"/>
      <c r="H915" s="92"/>
    </row>
    <row r="916" spans="2:8" ht="25.5" x14ac:dyDescent="0.25">
      <c r="B916" s="49"/>
      <c r="C916" s="59" t="s">
        <v>512</v>
      </c>
      <c r="D916" s="60"/>
      <c r="E916" s="49"/>
      <c r="F916" s="49"/>
      <c r="G916" s="48"/>
      <c r="H916" s="87"/>
    </row>
    <row r="917" spans="2:8" ht="18.75" x14ac:dyDescent="0.25">
      <c r="B917" s="49"/>
      <c r="C917" s="306" t="s">
        <v>513</v>
      </c>
      <c r="D917" s="84" t="s">
        <v>514</v>
      </c>
      <c r="E917" s="68">
        <f>ROUND((G905+D898)/D898,2)</f>
        <v>1.1100000000000001</v>
      </c>
      <c r="F917" s="68"/>
      <c r="G917" s="50"/>
      <c r="H917" s="87"/>
    </row>
    <row r="918" spans="2:8" ht="23.25" x14ac:dyDescent="0.25">
      <c r="B918" s="49"/>
      <c r="C918" s="306"/>
      <c r="D918" s="84" t="s">
        <v>515</v>
      </c>
      <c r="E918" s="68">
        <f>ROUND((G906+G907+D898)/D898,2)</f>
        <v>1.06</v>
      </c>
      <c r="F918" s="68"/>
      <c r="G918" s="57"/>
      <c r="H918" s="93"/>
    </row>
    <row r="919" spans="2:8" ht="23.25" x14ac:dyDescent="0.25">
      <c r="B919" s="49"/>
      <c r="C919" s="306"/>
      <c r="D919" s="84" t="s">
        <v>516</v>
      </c>
      <c r="E919" s="68">
        <f>ROUND((G908+D898)/D898,2)</f>
        <v>1</v>
      </c>
      <c r="F919" s="50"/>
      <c r="G919" s="57"/>
      <c r="H919" s="87"/>
    </row>
    <row r="920" spans="2:8" ht="23.25" x14ac:dyDescent="0.25">
      <c r="B920" s="49"/>
      <c r="C920" s="306"/>
      <c r="D920" s="69" t="s">
        <v>517</v>
      </c>
      <c r="E920" s="70">
        <f>ROUND((SUM(G909:G914)+D898)/D898,2)</f>
        <v>2.7</v>
      </c>
      <c r="F920" s="50"/>
      <c r="G920" s="57"/>
      <c r="H920" s="87"/>
    </row>
    <row r="921" spans="2:8" ht="25.5" x14ac:dyDescent="0.25">
      <c r="B921" s="49"/>
      <c r="C921" s="49"/>
      <c r="D921" s="71" t="s">
        <v>518</v>
      </c>
      <c r="E921" s="72">
        <f>SUM(E917:E920)-IF(D902="сплошная",3,2)</f>
        <v>2.87</v>
      </c>
      <c r="F921" s="73"/>
      <c r="G921" s="48"/>
      <c r="H921" s="87"/>
    </row>
    <row r="922" spans="2:8" ht="23.25" x14ac:dyDescent="0.25">
      <c r="B922" s="49"/>
      <c r="C922" s="49"/>
      <c r="D922" s="49"/>
      <c r="E922" s="74"/>
      <c r="F922" s="49"/>
      <c r="G922" s="48"/>
      <c r="H922" s="87"/>
    </row>
    <row r="923" spans="2:8" ht="25.5" x14ac:dyDescent="0.35">
      <c r="B923" s="58"/>
      <c r="C923" s="75" t="s">
        <v>519</v>
      </c>
      <c r="D923" s="307">
        <f>E921*D898</f>
        <v>21693.268100000001</v>
      </c>
      <c r="E923" s="307"/>
      <c r="F923" s="49"/>
      <c r="G923" s="48"/>
      <c r="H923" s="87"/>
    </row>
    <row r="924" spans="2:8" ht="18.75" x14ac:dyDescent="0.3">
      <c r="B924" s="49"/>
      <c r="C924" s="76" t="s">
        <v>520</v>
      </c>
      <c r="D924" s="308">
        <f>D923/D897</f>
        <v>37.287110641296692</v>
      </c>
      <c r="E924" s="308"/>
      <c r="F924" s="49"/>
      <c r="G924" s="49"/>
      <c r="H924" s="94"/>
    </row>
    <row r="927" spans="2:8" ht="60.75" x14ac:dyDescent="0.8">
      <c r="B927" s="330" t="str">
        <f>CONCATENATE("ЛОТ № ",K930)</f>
        <v>ЛОТ № 26</v>
      </c>
      <c r="C927" s="330"/>
      <c r="D927" s="330"/>
      <c r="E927" s="330"/>
      <c r="F927" s="330"/>
      <c r="G927" s="330"/>
      <c r="H927" s="330"/>
    </row>
    <row r="928" spans="2:8" ht="18.75" x14ac:dyDescent="0.25">
      <c r="B928" s="331" t="s">
        <v>492</v>
      </c>
      <c r="C928" s="331"/>
      <c r="D928" s="331"/>
      <c r="E928" s="331"/>
      <c r="F928" s="331"/>
      <c r="G928" s="331"/>
      <c r="H928" s="87"/>
    </row>
    <row r="929" spans="2:27" ht="25.5" x14ac:dyDescent="0.25">
      <c r="B929" s="49"/>
      <c r="C929" s="59" t="s">
        <v>493</v>
      </c>
      <c r="D929" s="60"/>
      <c r="E929" s="49"/>
      <c r="F929" s="49"/>
      <c r="G929" s="48"/>
      <c r="H929" s="87"/>
      <c r="I929" s="88"/>
      <c r="J929" s="88"/>
      <c r="K929" s="88"/>
      <c r="L929" s="88" t="s">
        <v>454</v>
      </c>
      <c r="M929" s="88" t="s">
        <v>444</v>
      </c>
      <c r="N929" s="88" t="s">
        <v>445</v>
      </c>
      <c r="O929" s="88" t="s">
        <v>453</v>
      </c>
      <c r="P929" s="89" t="s">
        <v>446</v>
      </c>
      <c r="Q929" s="88" t="s">
        <v>435</v>
      </c>
      <c r="R929" s="40" t="s">
        <v>447</v>
      </c>
      <c r="S929" s="40" t="s">
        <v>522</v>
      </c>
      <c r="T929" s="88" t="s">
        <v>118</v>
      </c>
      <c r="U929" s="88" t="s">
        <v>500</v>
      </c>
      <c r="V929" s="88" t="s">
        <v>450</v>
      </c>
      <c r="W929" s="40" t="s">
        <v>448</v>
      </c>
      <c r="X929" s="40" t="s">
        <v>449</v>
      </c>
      <c r="Y929" s="88" t="s">
        <v>523</v>
      </c>
      <c r="Z929" s="88"/>
    </row>
    <row r="930" spans="2:27" ht="39.950000000000003" customHeight="1" x14ac:dyDescent="0.25">
      <c r="B930" s="50"/>
      <c r="C930" s="332" t="s">
        <v>494</v>
      </c>
      <c r="D930" s="335" t="s">
        <v>521</v>
      </c>
      <c r="E930" s="336"/>
      <c r="F930" s="336"/>
      <c r="G930" s="337"/>
      <c r="H930" s="90"/>
      <c r="I930" s="88" t="s">
        <v>443</v>
      </c>
      <c r="J930" s="88"/>
      <c r="K930" s="43">
        <f>IF(I930="","",COUNTA(I$5:I930))</f>
        <v>26</v>
      </c>
      <c r="L930" s="95" t="str">
        <f>INDEX('Ведомость расчета мин. платы'!$B$10:$T$209,MATCH(ЛОТЫ!$K930,'Ведомость расчета мин. платы'!$B$10:$B$209,0),2)</f>
        <v>Мамыковское</v>
      </c>
      <c r="M930" s="95">
        <f>INDEX('Ведомость расчета мин. платы'!$B$10:$T$209,MATCH(ЛОТЫ!$K930,'Ведомость расчета мин. платы'!$B$10:$B$209,0),3)</f>
        <v>90</v>
      </c>
      <c r="N930" s="95">
        <f>INDEX('Ведомость расчета мин. платы'!$B$10:$T$209,MATCH(ЛОТЫ!$K930,'Ведомость расчета мин. платы'!$B$10:$B$209,0),4)</f>
        <v>5</v>
      </c>
      <c r="O930" s="95">
        <f>INDEX('Ведомость расчета мин. платы'!$B$10:$T$209,MATCH(ЛОТЫ!$K930,'Ведомость расчета мин. платы'!$B$10:$B$209,0),5)</f>
        <v>1</v>
      </c>
      <c r="P930" s="89">
        <f>IFERROR(INDEX(Коэффициенты!$G$4:$O$106,MATCH(CONCATENATE($L930,"/",$M930,"/",$N930,"/",$O930),Коэффициенты!$O$4:$O$106,0),1),"")</f>
        <v>5.4</v>
      </c>
      <c r="Q930" s="40">
        <f>IFERROR(INDEX(Коэффициенты!$G$4:$O$106,MATCH(CONCATENATE($L930,"/",$M930,"/",$N930,"/",$O930),Коэффициенты!$O$4:$O$106,0),6),"")</f>
        <v>1175.94</v>
      </c>
      <c r="R930" s="40">
        <f>IFERROR(INDEX(Коэффициенты!$G$4:$O$106,MATCH(CONCATENATE($L930,"/",$M930,"/",$N930,"/",$O930),Коэффициенты!$O$4:$O$106,0),2),"")</f>
        <v>17102.57</v>
      </c>
      <c r="S930" s="43" t="str">
        <f>IFERROR(INDEX('Такс. опис.'!$A$5:$BW$50,MATCH(CONCATENATE($L930,"/",$M930,"/",$N930),'Такс. опис.'!$C$5:$C$50,0),26),"")</f>
        <v>8ОС1Б1ЛП</v>
      </c>
      <c r="T930" s="43" t="str">
        <f>IFERROR(INDEX('Такс. опис.'!$A$5:$BW$50,MATCH(CONCATENATE($L930,"/",$M930,"/",$N930),'Такс. опис.'!$C$5:$C$50,0),47),"")</f>
        <v>Осина</v>
      </c>
      <c r="U930" s="43">
        <f>IFERROR(INDEX('Такс. опис.'!$A$5:$BW$50,MATCH(CONCATENATE($L930,"/",$M930,"/",$N930),'Такс. опис.'!$C$5:$C$50,0),49),"")</f>
        <v>55</v>
      </c>
      <c r="V930" s="103">
        <f>IFERROR(INDEX('Ведомость расчета мин. платы'!$AC$10:$AD$214,MATCH(CONCATENATE($L930,"/",$M930,"/",$N930,"/",$O930),'Ведомость расчета мин. платы'!$AC$10:$AC$214,0),2),"")</f>
        <v>1.28</v>
      </c>
      <c r="W930" s="40">
        <f>E958</f>
        <v>2.08</v>
      </c>
      <c r="X930" s="40">
        <f>D960</f>
        <v>35573.345600000001</v>
      </c>
      <c r="Y930" s="91">
        <f>D961</f>
        <v>30.250986955116758</v>
      </c>
      <c r="Z930" s="88"/>
      <c r="AA930" s="86">
        <f t="shared" ref="AA930" si="39">IF(M930&gt;0,1,0)</f>
        <v>1</v>
      </c>
    </row>
    <row r="931" spans="2:27" ht="19.5" x14ac:dyDescent="0.25">
      <c r="B931" s="50"/>
      <c r="C931" s="333"/>
      <c r="D931" s="338" t="str">
        <f>CONCATENATE(L930, " участковое лесничество")</f>
        <v>Мамыковское участковое лесничество</v>
      </c>
      <c r="E931" s="338"/>
      <c r="F931" s="338"/>
      <c r="G931" s="338"/>
      <c r="H931" s="90"/>
      <c r="I931" s="88"/>
      <c r="J931" s="88">
        <f>IFERROR(IF(ISBLANK(K930),"",K930),"")</f>
        <v>26</v>
      </c>
      <c r="K931" s="88"/>
      <c r="L931" s="88"/>
      <c r="M931" s="88"/>
      <c r="N931" s="88"/>
      <c r="O931" s="88"/>
      <c r="P931" s="88"/>
      <c r="Q931" s="88"/>
      <c r="R931" s="88"/>
      <c r="S931" s="88"/>
      <c r="T931" s="88"/>
      <c r="U931" s="88"/>
      <c r="V931" s="88"/>
      <c r="W931" s="88"/>
      <c r="X931" s="88"/>
      <c r="Y931" s="88"/>
      <c r="Z931" s="88"/>
    </row>
    <row r="932" spans="2:27" ht="19.5" x14ac:dyDescent="0.25">
      <c r="B932" s="50"/>
      <c r="C932" s="334"/>
      <c r="D932" s="338" t="str">
        <f>CONCATENATE("кв. ",M930," ","выд."," ",N930," ","делянка", " ",O930)</f>
        <v>кв. 90 выд. 5 делянка 1</v>
      </c>
      <c r="E932" s="338"/>
      <c r="F932" s="338"/>
      <c r="G932" s="338"/>
      <c r="H932" s="90"/>
      <c r="I932" s="88"/>
      <c r="J932" s="88"/>
      <c r="K932" s="88"/>
      <c r="L932" s="88"/>
      <c r="M932" s="88"/>
      <c r="N932" s="88"/>
      <c r="O932" s="88"/>
      <c r="P932" s="88"/>
      <c r="Q932" s="88"/>
      <c r="R932" s="88"/>
      <c r="S932" s="88"/>
      <c r="T932" s="88"/>
      <c r="U932" s="88"/>
      <c r="V932" s="88"/>
      <c r="W932" s="88"/>
      <c r="X932" s="88"/>
      <c r="Y932" s="88"/>
      <c r="Z932" s="88"/>
    </row>
    <row r="933" spans="2:27" ht="23.25" x14ac:dyDescent="0.25">
      <c r="B933" s="49"/>
      <c r="C933" s="61" t="s">
        <v>495</v>
      </c>
      <c r="D933" s="51">
        <f>P930</f>
        <v>5.4</v>
      </c>
      <c r="E933" s="62"/>
      <c r="F933" s="50"/>
      <c r="G933" s="48"/>
      <c r="H933" s="87"/>
    </row>
    <row r="934" spans="2:27" ht="22.5" x14ac:dyDescent="0.25">
      <c r="B934" s="49"/>
      <c r="C934" s="63" t="s">
        <v>496</v>
      </c>
      <c r="D934" s="106">
        <f>Q930</f>
        <v>1175.94</v>
      </c>
      <c r="E934" s="309" t="s">
        <v>497</v>
      </c>
      <c r="F934" s="310"/>
      <c r="G934" s="313">
        <f>D935/D934</f>
        <v>14.543743728421518</v>
      </c>
      <c r="H934" s="87"/>
    </row>
    <row r="935" spans="2:27" ht="22.5" x14ac:dyDescent="0.25">
      <c r="B935" s="49"/>
      <c r="C935" s="63" t="s">
        <v>498</v>
      </c>
      <c r="D935" s="52">
        <f>R930</f>
        <v>17102.57</v>
      </c>
      <c r="E935" s="311"/>
      <c r="F935" s="312"/>
      <c r="G935" s="314"/>
      <c r="H935" s="87"/>
    </row>
    <row r="936" spans="2:27" ht="23.25" x14ac:dyDescent="0.25">
      <c r="B936" s="49"/>
      <c r="C936" s="64"/>
      <c r="D936" s="53"/>
      <c r="E936" s="65"/>
      <c r="F936" s="49"/>
      <c r="G936" s="48"/>
      <c r="H936" s="87"/>
    </row>
    <row r="937" spans="2:27" ht="23.25" x14ac:dyDescent="0.25">
      <c r="B937" s="49"/>
      <c r="C937" s="82" t="s">
        <v>499</v>
      </c>
      <c r="D937" s="96" t="str">
        <f>S930</f>
        <v>8ОС1Б1ЛП</v>
      </c>
      <c r="E937" s="49"/>
      <c r="F937" s="49"/>
      <c r="G937" s="48"/>
      <c r="H937" s="87"/>
    </row>
    <row r="938" spans="2:27" ht="23.25" x14ac:dyDescent="0.25">
      <c r="B938" s="49"/>
      <c r="C938" s="82" t="s">
        <v>500</v>
      </c>
      <c r="D938" s="96">
        <f>U930</f>
        <v>55</v>
      </c>
      <c r="E938" s="49"/>
      <c r="F938" s="49"/>
      <c r="G938" s="48"/>
      <c r="H938" s="87"/>
    </row>
    <row r="939" spans="2:27" ht="23.25" x14ac:dyDescent="0.25">
      <c r="B939" s="49"/>
      <c r="C939" s="82" t="s">
        <v>501</v>
      </c>
      <c r="D939" s="83" t="s">
        <v>502</v>
      </c>
      <c r="E939" s="49"/>
      <c r="F939" s="49"/>
      <c r="G939" s="48"/>
      <c r="H939" s="87"/>
    </row>
    <row r="940" spans="2:27" ht="24" thickBot="1" x14ac:dyDescent="0.3">
      <c r="B940" s="49"/>
      <c r="C940" s="49"/>
      <c r="D940" s="49"/>
      <c r="E940" s="49"/>
      <c r="F940" s="49"/>
      <c r="G940" s="48"/>
      <c r="H940" s="87"/>
    </row>
    <row r="941" spans="2:27" ht="48" thickBot="1" x14ac:dyDescent="0.3">
      <c r="B941" s="315" t="s">
        <v>436</v>
      </c>
      <c r="C941" s="316"/>
      <c r="D941" s="54" t="s">
        <v>503</v>
      </c>
      <c r="E941" s="317" t="s">
        <v>504</v>
      </c>
      <c r="F941" s="318"/>
      <c r="G941" s="55" t="s">
        <v>505</v>
      </c>
      <c r="H941" s="87"/>
    </row>
    <row r="942" spans="2:27" ht="24" thickBot="1" x14ac:dyDescent="0.3">
      <c r="B942" s="319" t="s">
        <v>506</v>
      </c>
      <c r="C942" s="320"/>
      <c r="D942" s="136">
        <v>197.93</v>
      </c>
      <c r="E942" s="136">
        <f>D933</f>
        <v>5.4</v>
      </c>
      <c r="F942" s="77" t="s">
        <v>434</v>
      </c>
      <c r="G942" s="142">
        <f t="shared" ref="G942:G949" si="40">D942*E942</f>
        <v>1068.8220000000001</v>
      </c>
      <c r="H942" s="321"/>
    </row>
    <row r="943" spans="2:27" ht="23.25" x14ac:dyDescent="0.25">
      <c r="B943" s="322" t="s">
        <v>507</v>
      </c>
      <c r="C943" s="323"/>
      <c r="D943" s="137">
        <v>159.44</v>
      </c>
      <c r="E943" s="137">
        <f>V930</f>
        <v>1.28</v>
      </c>
      <c r="F943" s="78" t="s">
        <v>437</v>
      </c>
      <c r="G943" s="143">
        <f t="shared" si="40"/>
        <v>204.08320000000001</v>
      </c>
      <c r="H943" s="321"/>
    </row>
    <row r="944" spans="2:27" ht="24" thickBot="1" x14ac:dyDescent="0.3">
      <c r="B944" s="324" t="s">
        <v>508</v>
      </c>
      <c r="C944" s="325"/>
      <c r="D944" s="138">
        <v>276.62</v>
      </c>
      <c r="E944" s="138">
        <f>V930</f>
        <v>1.28</v>
      </c>
      <c r="F944" s="79" t="s">
        <v>437</v>
      </c>
      <c r="G944" s="144">
        <f t="shared" si="40"/>
        <v>354.0736</v>
      </c>
      <c r="H944" s="321"/>
    </row>
    <row r="945" spans="2:8" ht="24" thickBot="1" x14ac:dyDescent="0.3">
      <c r="B945" s="326" t="s">
        <v>438</v>
      </c>
      <c r="C945" s="327"/>
      <c r="D945" s="139">
        <v>519</v>
      </c>
      <c r="E945" s="139"/>
      <c r="F945" s="80" t="s">
        <v>434</v>
      </c>
      <c r="G945" s="145">
        <f t="shared" si="40"/>
        <v>0</v>
      </c>
      <c r="H945" s="321"/>
    </row>
    <row r="946" spans="2:8" ht="23.25" x14ac:dyDescent="0.25">
      <c r="B946" s="322" t="s">
        <v>509</v>
      </c>
      <c r="C946" s="323"/>
      <c r="D946" s="137">
        <v>920</v>
      </c>
      <c r="E946" s="137">
        <f>D933*2</f>
        <v>10.8</v>
      </c>
      <c r="F946" s="78" t="s">
        <v>434</v>
      </c>
      <c r="G946" s="143">
        <f t="shared" si="40"/>
        <v>9936</v>
      </c>
      <c r="H946" s="321"/>
    </row>
    <row r="947" spans="2:8" ht="23.25" x14ac:dyDescent="0.25">
      <c r="B947" s="328" t="s">
        <v>510</v>
      </c>
      <c r="C947" s="329"/>
      <c r="D947" s="140">
        <v>1300</v>
      </c>
      <c r="E947" s="140">
        <f>IF(T930="Осина",D933,"0")</f>
        <v>5.4</v>
      </c>
      <c r="F947" s="81" t="s">
        <v>434</v>
      </c>
      <c r="G947" s="146">
        <f t="shared" si="40"/>
        <v>7020.0000000000009</v>
      </c>
      <c r="H947" s="321"/>
    </row>
    <row r="948" spans="2:8" ht="23.25" x14ac:dyDescent="0.25">
      <c r="B948" s="328" t="s">
        <v>439</v>
      </c>
      <c r="C948" s="329"/>
      <c r="D948" s="141">
        <v>5165.12</v>
      </c>
      <c r="E948" s="140" t="str">
        <f>IF(T930="Осина","0",D933)</f>
        <v>0</v>
      </c>
      <c r="F948" s="81" t="s">
        <v>434</v>
      </c>
      <c r="G948" s="146">
        <f t="shared" si="40"/>
        <v>0</v>
      </c>
      <c r="H948" s="321"/>
    </row>
    <row r="949" spans="2:8" ht="23.25" x14ac:dyDescent="0.25">
      <c r="B949" s="328" t="s">
        <v>511</v>
      </c>
      <c r="C949" s="329"/>
      <c r="D949" s="141">
        <v>917</v>
      </c>
      <c r="E949" s="140" t="str">
        <f>IF(T930="Осина","0",D933)</f>
        <v>0</v>
      </c>
      <c r="F949" s="81" t="s">
        <v>434</v>
      </c>
      <c r="G949" s="146">
        <f t="shared" si="40"/>
        <v>0</v>
      </c>
      <c r="H949" s="321"/>
    </row>
    <row r="950" spans="2:8" ht="23.25" x14ac:dyDescent="0.25">
      <c r="B950" s="328" t="s">
        <v>441</v>
      </c>
      <c r="C950" s="329"/>
      <c r="D950" s="141">
        <v>461.56000000000006</v>
      </c>
      <c r="E950" s="140" t="str">
        <f>IF(T930="Осина","0",D933)</f>
        <v>0</v>
      </c>
      <c r="F950" s="81" t="s">
        <v>434</v>
      </c>
      <c r="G950" s="146">
        <f>D950*E950</f>
        <v>0</v>
      </c>
      <c r="H950" s="321"/>
    </row>
    <row r="951" spans="2:8" ht="24" thickBot="1" x14ac:dyDescent="0.3">
      <c r="B951" s="324" t="s">
        <v>440</v>
      </c>
      <c r="C951" s="325"/>
      <c r="D951" s="138">
        <v>353.15</v>
      </c>
      <c r="E951" s="140" t="str">
        <f>IF(T930="Осина","0",D933*4)</f>
        <v>0</v>
      </c>
      <c r="F951" s="79" t="s">
        <v>434</v>
      </c>
      <c r="G951" s="147">
        <f>D951*E951</f>
        <v>0</v>
      </c>
      <c r="H951" s="321"/>
    </row>
    <row r="952" spans="2:8" ht="23.25" x14ac:dyDescent="0.25">
      <c r="B952" s="49"/>
      <c r="C952" s="66"/>
      <c r="D952" s="66"/>
      <c r="E952" s="56"/>
      <c r="F952" s="56"/>
      <c r="G952" s="48"/>
      <c r="H952" s="92"/>
    </row>
    <row r="953" spans="2:8" ht="25.5" x14ac:dyDescent="0.25">
      <c r="B953" s="49"/>
      <c r="C953" s="59" t="s">
        <v>512</v>
      </c>
      <c r="D953" s="60"/>
      <c r="E953" s="49"/>
      <c r="F953" s="49"/>
      <c r="G953" s="48"/>
      <c r="H953" s="87"/>
    </row>
    <row r="954" spans="2:8" ht="18.75" x14ac:dyDescent="0.25">
      <c r="B954" s="49"/>
      <c r="C954" s="306" t="s">
        <v>513</v>
      </c>
      <c r="D954" s="84" t="s">
        <v>514</v>
      </c>
      <c r="E954" s="68">
        <f>ROUND((G942+D935)/D935,2)</f>
        <v>1.06</v>
      </c>
      <c r="F954" s="68"/>
      <c r="G954" s="50"/>
      <c r="H954" s="87"/>
    </row>
    <row r="955" spans="2:8" ht="23.25" x14ac:dyDescent="0.25">
      <c r="B955" s="49"/>
      <c r="C955" s="306"/>
      <c r="D955" s="84" t="s">
        <v>515</v>
      </c>
      <c r="E955" s="68">
        <f>ROUND((G943+G944+D935)/D935,2)</f>
        <v>1.03</v>
      </c>
      <c r="F955" s="68"/>
      <c r="G955" s="57"/>
      <c r="H955" s="93"/>
    </row>
    <row r="956" spans="2:8" ht="23.25" x14ac:dyDescent="0.25">
      <c r="B956" s="49"/>
      <c r="C956" s="306"/>
      <c r="D956" s="84" t="s">
        <v>516</v>
      </c>
      <c r="E956" s="68">
        <f>ROUND((G945+D935)/D935,2)</f>
        <v>1</v>
      </c>
      <c r="F956" s="50"/>
      <c r="G956" s="57"/>
      <c r="H956" s="87"/>
    </row>
    <row r="957" spans="2:8" ht="23.25" x14ac:dyDescent="0.25">
      <c r="B957" s="49"/>
      <c r="C957" s="306"/>
      <c r="D957" s="69" t="s">
        <v>517</v>
      </c>
      <c r="E957" s="70">
        <f>ROUND((SUM(G946:G951)+D935)/D935,2)</f>
        <v>1.99</v>
      </c>
      <c r="F957" s="50"/>
      <c r="G957" s="57"/>
      <c r="H957" s="87"/>
    </row>
    <row r="958" spans="2:8" ht="25.5" x14ac:dyDescent="0.25">
      <c r="B958" s="49"/>
      <c r="C958" s="49"/>
      <c r="D958" s="71" t="s">
        <v>518</v>
      </c>
      <c r="E958" s="72">
        <f>SUM(E954:E957)-IF(D939="сплошная",3,2)</f>
        <v>2.08</v>
      </c>
      <c r="F958" s="73"/>
      <c r="G958" s="48"/>
      <c r="H958" s="87"/>
    </row>
    <row r="959" spans="2:8" ht="23.25" x14ac:dyDescent="0.25">
      <c r="B959" s="49"/>
      <c r="C959" s="49"/>
      <c r="D959" s="49"/>
      <c r="E959" s="74"/>
      <c r="F959" s="49"/>
      <c r="G959" s="48"/>
      <c r="H959" s="87"/>
    </row>
    <row r="960" spans="2:8" ht="25.5" x14ac:dyDescent="0.35">
      <c r="B960" s="58"/>
      <c r="C960" s="75" t="s">
        <v>519</v>
      </c>
      <c r="D960" s="307">
        <f>E958*D935</f>
        <v>35573.345600000001</v>
      </c>
      <c r="E960" s="307"/>
      <c r="F960" s="49"/>
      <c r="G960" s="48"/>
      <c r="H960" s="87"/>
    </row>
    <row r="961" spans="2:27" ht="18.75" x14ac:dyDescent="0.3">
      <c r="B961" s="49"/>
      <c r="C961" s="76" t="s">
        <v>520</v>
      </c>
      <c r="D961" s="308">
        <f>D960/D934</f>
        <v>30.250986955116758</v>
      </c>
      <c r="E961" s="308"/>
      <c r="F961" s="49"/>
      <c r="G961" s="49"/>
      <c r="H961" s="94"/>
    </row>
    <row r="964" spans="2:27" ht="60.75" x14ac:dyDescent="0.8">
      <c r="B964" s="330" t="str">
        <f>CONCATENATE("ЛОТ № ",K967)</f>
        <v>ЛОТ № 27</v>
      </c>
      <c r="C964" s="330"/>
      <c r="D964" s="330"/>
      <c r="E964" s="330"/>
      <c r="F964" s="330"/>
      <c r="G964" s="330"/>
      <c r="H964" s="330"/>
    </row>
    <row r="965" spans="2:27" ht="18.75" x14ac:dyDescent="0.25">
      <c r="B965" s="331" t="s">
        <v>492</v>
      </c>
      <c r="C965" s="331"/>
      <c r="D965" s="331"/>
      <c r="E965" s="331"/>
      <c r="F965" s="331"/>
      <c r="G965" s="331"/>
      <c r="H965" s="87"/>
    </row>
    <row r="966" spans="2:27" ht="25.5" x14ac:dyDescent="0.25">
      <c r="B966" s="49"/>
      <c r="C966" s="59" t="s">
        <v>493</v>
      </c>
      <c r="D966" s="60"/>
      <c r="E966" s="49"/>
      <c r="F966" s="49"/>
      <c r="G966" s="48"/>
      <c r="H966" s="87"/>
      <c r="I966" s="88"/>
      <c r="J966" s="88"/>
      <c r="K966" s="88"/>
      <c r="L966" s="88" t="s">
        <v>454</v>
      </c>
      <c r="M966" s="88" t="s">
        <v>444</v>
      </c>
      <c r="N966" s="88" t="s">
        <v>445</v>
      </c>
      <c r="O966" s="88" t="s">
        <v>453</v>
      </c>
      <c r="P966" s="89" t="s">
        <v>446</v>
      </c>
      <c r="Q966" s="88" t="s">
        <v>435</v>
      </c>
      <c r="R966" s="40" t="s">
        <v>447</v>
      </c>
      <c r="S966" s="40" t="s">
        <v>522</v>
      </c>
      <c r="T966" s="88" t="s">
        <v>118</v>
      </c>
      <c r="U966" s="88" t="s">
        <v>500</v>
      </c>
      <c r="V966" s="88" t="s">
        <v>450</v>
      </c>
      <c r="W966" s="40" t="s">
        <v>448</v>
      </c>
      <c r="X966" s="40" t="s">
        <v>449</v>
      </c>
      <c r="Y966" s="88" t="s">
        <v>523</v>
      </c>
      <c r="Z966" s="88"/>
    </row>
    <row r="967" spans="2:27" ht="19.5" x14ac:dyDescent="0.25">
      <c r="B967" s="50"/>
      <c r="C967" s="332" t="s">
        <v>494</v>
      </c>
      <c r="D967" s="335" t="s">
        <v>521</v>
      </c>
      <c r="E967" s="336"/>
      <c r="F967" s="336"/>
      <c r="G967" s="337"/>
      <c r="H967" s="90"/>
      <c r="I967" s="88" t="s">
        <v>443</v>
      </c>
      <c r="J967" s="88"/>
      <c r="K967" s="43">
        <f>IF(I967="","",COUNTA(I$5:I967))</f>
        <v>27</v>
      </c>
      <c r="L967" s="95" t="str">
        <f>INDEX('Ведомость расчета мин. платы'!$B$10:$T$209,MATCH(ЛОТЫ!$K967,'Ведомость расчета мин. платы'!$B$10:$B$209,0),2)</f>
        <v>Мамыковское</v>
      </c>
      <c r="M967" s="95">
        <f>INDEX('Ведомость расчета мин. платы'!$B$10:$T$209,MATCH(ЛОТЫ!$K967,'Ведомость расчета мин. платы'!$B$10:$B$209,0),3)</f>
        <v>90</v>
      </c>
      <c r="N967" s="95">
        <f>INDEX('Ведомость расчета мин. платы'!$B$10:$T$209,MATCH(ЛОТЫ!$K967,'Ведомость расчета мин. платы'!$B$10:$B$209,0),4)</f>
        <v>8</v>
      </c>
      <c r="O967" s="95">
        <f>INDEX('Ведомость расчета мин. платы'!$B$10:$T$209,MATCH(ЛОТЫ!$K967,'Ведомость расчета мин. платы'!$B$10:$B$209,0),5)</f>
        <v>2</v>
      </c>
      <c r="P967" s="89">
        <f>IFERROR(INDEX(Коэффициенты!$G$4:$O$106,MATCH(CONCATENATE($L967,"/",$M967,"/",$N967,"/",$O967),Коэффициенты!$O$4:$O$106,0),1),"")</f>
        <v>2.8</v>
      </c>
      <c r="Q967" s="40">
        <f>IFERROR(INDEX(Коэффициенты!$G$4:$O$106,MATCH(CONCATENATE($L967,"/",$M967,"/",$N967,"/",$O967),Коэффициенты!$O$4:$O$106,0),6),"")</f>
        <v>539.55999999999995</v>
      </c>
      <c r="R967" s="40">
        <f>IFERROR(INDEX(Коэффициенты!$G$4:$O$106,MATCH(CONCATENATE($L967,"/",$M967,"/",$N967,"/",$O967),Коэффициенты!$O$4:$O$106,0),2),"")</f>
        <v>8020.59</v>
      </c>
      <c r="S967" s="43" t="str">
        <f>IFERROR(INDEX('Такс. опис.'!$A$5:$BW$50,MATCH(CONCATENATE($L967,"/",$M967,"/",$N967),'Такс. опис.'!$C$5:$C$50,0),26),"")</f>
        <v>9ОС1Б+Д</v>
      </c>
      <c r="T967" s="43" t="str">
        <f>IFERROR(INDEX('Такс. опис.'!$A$5:$BW$50,MATCH(CONCATENATE($L967,"/",$M967,"/",$N967),'Такс. опис.'!$C$5:$C$50,0),47),"")</f>
        <v>Осина</v>
      </c>
      <c r="U967" s="43">
        <f>IFERROR(INDEX('Такс. опис.'!$A$5:$BW$50,MATCH(CONCATENATE($L967,"/",$M967,"/",$N967),'Такс. опис.'!$C$5:$C$50,0),49),"")</f>
        <v>55</v>
      </c>
      <c r="V967" s="103">
        <f>IFERROR(INDEX('Ведомость расчета мин. платы'!$AC$10:$AD$214,MATCH(CONCATENATE($L967,"/",$M967,"/",$N967,"/",$O967),'Ведомость расчета мин. платы'!$AC$10:$AC$214,0),2),"")</f>
        <v>0.76</v>
      </c>
      <c r="W967" s="40">
        <f>E995</f>
        <v>2.2100000000000009</v>
      </c>
      <c r="X967" s="40">
        <f>D997</f>
        <v>17725.503900000007</v>
      </c>
      <c r="Y967" s="91">
        <f>D998</f>
        <v>32.851775335458541</v>
      </c>
      <c r="Z967" s="88"/>
      <c r="AA967" s="86">
        <f t="shared" ref="AA967" si="41">IF(M967&gt;0,1,0)</f>
        <v>1</v>
      </c>
    </row>
    <row r="968" spans="2:27" ht="19.5" x14ac:dyDescent="0.25">
      <c r="B968" s="50"/>
      <c r="C968" s="333"/>
      <c r="D968" s="338" t="str">
        <f>CONCATENATE(L967, " участковое лесничество")</f>
        <v>Мамыковское участковое лесничество</v>
      </c>
      <c r="E968" s="338"/>
      <c r="F968" s="338"/>
      <c r="G968" s="338"/>
      <c r="H968" s="90"/>
      <c r="I968" s="88"/>
      <c r="J968" s="88">
        <f>IFERROR(IF(ISBLANK(K967),"",K967),"")</f>
        <v>27</v>
      </c>
      <c r="K968" s="88"/>
      <c r="L968" s="88"/>
      <c r="M968" s="88"/>
      <c r="N968" s="88"/>
      <c r="O968" s="88"/>
      <c r="P968" s="88"/>
      <c r="Q968" s="88"/>
      <c r="R968" s="88"/>
      <c r="S968" s="88"/>
      <c r="T968" s="88"/>
      <c r="U968" s="88"/>
      <c r="V968" s="88"/>
      <c r="W968" s="88"/>
      <c r="X968" s="88"/>
      <c r="Y968" s="88"/>
      <c r="Z968" s="88"/>
    </row>
    <row r="969" spans="2:27" ht="19.5" x14ac:dyDescent="0.25">
      <c r="B969" s="50"/>
      <c r="C969" s="334"/>
      <c r="D969" s="338" t="str">
        <f>CONCATENATE("кв. ",M967," ","выд."," ",N967," ","делянка", " ",O967)</f>
        <v>кв. 90 выд. 8 делянка 2</v>
      </c>
      <c r="E969" s="338"/>
      <c r="F969" s="338"/>
      <c r="G969" s="338"/>
      <c r="H969" s="90"/>
      <c r="I969" s="88"/>
      <c r="J969" s="88"/>
      <c r="K969" s="88"/>
      <c r="L969" s="88"/>
      <c r="M969" s="88"/>
      <c r="N969" s="88"/>
      <c r="O969" s="88"/>
      <c r="P969" s="88"/>
      <c r="Q969" s="88"/>
      <c r="R969" s="88"/>
      <c r="S969" s="88"/>
      <c r="T969" s="88"/>
      <c r="U969" s="88"/>
      <c r="V969" s="88"/>
      <c r="W969" s="88"/>
      <c r="X969" s="88"/>
      <c r="Y969" s="88"/>
      <c r="Z969" s="88"/>
    </row>
    <row r="970" spans="2:27" ht="23.25" x14ac:dyDescent="0.25">
      <c r="B970" s="49"/>
      <c r="C970" s="61" t="s">
        <v>495</v>
      </c>
      <c r="D970" s="51">
        <f>P967</f>
        <v>2.8</v>
      </c>
      <c r="E970" s="62"/>
      <c r="F970" s="50"/>
      <c r="G970" s="48"/>
      <c r="H970" s="87"/>
    </row>
    <row r="971" spans="2:27" ht="22.5" x14ac:dyDescent="0.25">
      <c r="B971" s="49"/>
      <c r="C971" s="63" t="s">
        <v>496</v>
      </c>
      <c r="D971" s="106">
        <f>Q967</f>
        <v>539.55999999999995</v>
      </c>
      <c r="E971" s="309" t="s">
        <v>497</v>
      </c>
      <c r="F971" s="310"/>
      <c r="G971" s="313">
        <f>D972/D971</f>
        <v>14.865056712877161</v>
      </c>
      <c r="H971" s="87"/>
    </row>
    <row r="972" spans="2:27" ht="22.5" x14ac:dyDescent="0.25">
      <c r="B972" s="49"/>
      <c r="C972" s="63" t="s">
        <v>498</v>
      </c>
      <c r="D972" s="52">
        <f>R967</f>
        <v>8020.59</v>
      </c>
      <c r="E972" s="311"/>
      <c r="F972" s="312"/>
      <c r="G972" s="314"/>
      <c r="H972" s="87"/>
    </row>
    <row r="973" spans="2:27" ht="23.25" x14ac:dyDescent="0.25">
      <c r="B973" s="49"/>
      <c r="C973" s="64"/>
      <c r="D973" s="53"/>
      <c r="E973" s="65"/>
      <c r="F973" s="49"/>
      <c r="G973" s="48"/>
      <c r="H973" s="87"/>
    </row>
    <row r="974" spans="2:27" ht="23.25" x14ac:dyDescent="0.25">
      <c r="B974" s="49"/>
      <c r="C974" s="82" t="s">
        <v>499</v>
      </c>
      <c r="D974" s="96" t="str">
        <f>S967</f>
        <v>9ОС1Б+Д</v>
      </c>
      <c r="E974" s="49"/>
      <c r="F974" s="49"/>
      <c r="G974" s="48"/>
      <c r="H974" s="87"/>
    </row>
    <row r="975" spans="2:27" ht="23.25" x14ac:dyDescent="0.25">
      <c r="B975" s="49"/>
      <c r="C975" s="82" t="s">
        <v>500</v>
      </c>
      <c r="D975" s="96">
        <f>U967</f>
        <v>55</v>
      </c>
      <c r="E975" s="49"/>
      <c r="F975" s="49"/>
      <c r="G975" s="48"/>
      <c r="H975" s="87"/>
    </row>
    <row r="976" spans="2:27" ht="23.25" x14ac:dyDescent="0.25">
      <c r="B976" s="49"/>
      <c r="C976" s="82" t="s">
        <v>501</v>
      </c>
      <c r="D976" s="83" t="s">
        <v>502</v>
      </c>
      <c r="E976" s="49"/>
      <c r="F976" s="49"/>
      <c r="G976" s="48"/>
      <c r="H976" s="87"/>
    </row>
    <row r="977" spans="2:8" ht="24" thickBot="1" x14ac:dyDescent="0.3">
      <c r="B977" s="49"/>
      <c r="C977" s="49"/>
      <c r="D977" s="49"/>
      <c r="E977" s="49"/>
      <c r="F977" s="49"/>
      <c r="G977" s="48"/>
      <c r="H977" s="87"/>
    </row>
    <row r="978" spans="2:8" ht="48" thickBot="1" x14ac:dyDescent="0.3">
      <c r="B978" s="315" t="s">
        <v>436</v>
      </c>
      <c r="C978" s="316"/>
      <c r="D978" s="54" t="s">
        <v>503</v>
      </c>
      <c r="E978" s="317" t="s">
        <v>504</v>
      </c>
      <c r="F978" s="318"/>
      <c r="G978" s="55" t="s">
        <v>505</v>
      </c>
      <c r="H978" s="87"/>
    </row>
    <row r="979" spans="2:8" ht="24" thickBot="1" x14ac:dyDescent="0.3">
      <c r="B979" s="319" t="s">
        <v>506</v>
      </c>
      <c r="C979" s="320"/>
      <c r="D979" s="136">
        <v>197.93</v>
      </c>
      <c r="E979" s="136">
        <f>D970</f>
        <v>2.8</v>
      </c>
      <c r="F979" s="77" t="s">
        <v>434</v>
      </c>
      <c r="G979" s="142">
        <f t="shared" ref="G979:G986" si="42">D979*E979</f>
        <v>554.20399999999995</v>
      </c>
      <c r="H979" s="321"/>
    </row>
    <row r="980" spans="2:8" ht="23.25" x14ac:dyDescent="0.25">
      <c r="B980" s="322" t="s">
        <v>507</v>
      </c>
      <c r="C980" s="323"/>
      <c r="D980" s="137">
        <v>159.44</v>
      </c>
      <c r="E980" s="137">
        <f>V967</f>
        <v>0.76</v>
      </c>
      <c r="F980" s="78" t="s">
        <v>437</v>
      </c>
      <c r="G980" s="143">
        <f t="shared" si="42"/>
        <v>121.17440000000001</v>
      </c>
      <c r="H980" s="321"/>
    </row>
    <row r="981" spans="2:8" ht="24" thickBot="1" x14ac:dyDescent="0.3">
      <c r="B981" s="324" t="s">
        <v>508</v>
      </c>
      <c r="C981" s="325"/>
      <c r="D981" s="138">
        <v>276.62</v>
      </c>
      <c r="E981" s="138">
        <f>V967</f>
        <v>0.76</v>
      </c>
      <c r="F981" s="79" t="s">
        <v>437</v>
      </c>
      <c r="G981" s="144">
        <f t="shared" si="42"/>
        <v>210.2312</v>
      </c>
      <c r="H981" s="321"/>
    </row>
    <row r="982" spans="2:8" ht="24" thickBot="1" x14ac:dyDescent="0.3">
      <c r="B982" s="326" t="s">
        <v>438</v>
      </c>
      <c r="C982" s="327"/>
      <c r="D982" s="139">
        <v>519</v>
      </c>
      <c r="E982" s="139"/>
      <c r="F982" s="80" t="s">
        <v>434</v>
      </c>
      <c r="G982" s="145">
        <f t="shared" si="42"/>
        <v>0</v>
      </c>
      <c r="H982" s="321"/>
    </row>
    <row r="983" spans="2:8" ht="23.25" x14ac:dyDescent="0.25">
      <c r="B983" s="322" t="s">
        <v>509</v>
      </c>
      <c r="C983" s="323"/>
      <c r="D983" s="137">
        <v>920</v>
      </c>
      <c r="E983" s="137">
        <f>D970*2</f>
        <v>5.6</v>
      </c>
      <c r="F983" s="78" t="s">
        <v>434</v>
      </c>
      <c r="G983" s="143">
        <f t="shared" si="42"/>
        <v>5152</v>
      </c>
      <c r="H983" s="321"/>
    </row>
    <row r="984" spans="2:8" ht="23.25" x14ac:dyDescent="0.25">
      <c r="B984" s="328" t="s">
        <v>510</v>
      </c>
      <c r="C984" s="329"/>
      <c r="D984" s="140">
        <v>1300</v>
      </c>
      <c r="E984" s="140">
        <f>IF(T967="Осина",D970,"0")</f>
        <v>2.8</v>
      </c>
      <c r="F984" s="81" t="s">
        <v>434</v>
      </c>
      <c r="G984" s="146">
        <f t="shared" si="42"/>
        <v>3639.9999999999995</v>
      </c>
      <c r="H984" s="321"/>
    </row>
    <row r="985" spans="2:8" ht="23.25" x14ac:dyDescent="0.25">
      <c r="B985" s="328" t="s">
        <v>439</v>
      </c>
      <c r="C985" s="329"/>
      <c r="D985" s="141">
        <v>5165.12</v>
      </c>
      <c r="E985" s="140" t="str">
        <f>IF(T967="Осина","0",D970)</f>
        <v>0</v>
      </c>
      <c r="F985" s="81" t="s">
        <v>434</v>
      </c>
      <c r="G985" s="146">
        <f t="shared" si="42"/>
        <v>0</v>
      </c>
      <c r="H985" s="321"/>
    </row>
    <row r="986" spans="2:8" ht="23.25" x14ac:dyDescent="0.25">
      <c r="B986" s="328" t="s">
        <v>511</v>
      </c>
      <c r="C986" s="329"/>
      <c r="D986" s="141">
        <v>917</v>
      </c>
      <c r="E986" s="140" t="str">
        <f>IF(T967="Осина","0",D970)</f>
        <v>0</v>
      </c>
      <c r="F986" s="81" t="s">
        <v>434</v>
      </c>
      <c r="G986" s="146">
        <f t="shared" si="42"/>
        <v>0</v>
      </c>
      <c r="H986" s="321"/>
    </row>
    <row r="987" spans="2:8" ht="23.25" x14ac:dyDescent="0.25">
      <c r="B987" s="328" t="s">
        <v>441</v>
      </c>
      <c r="C987" s="329"/>
      <c r="D987" s="141">
        <v>461.56000000000006</v>
      </c>
      <c r="E987" s="140" t="str">
        <f>IF(T967="Осина","0",D970)</f>
        <v>0</v>
      </c>
      <c r="F987" s="81" t="s">
        <v>434</v>
      </c>
      <c r="G987" s="146">
        <f>D987*E987</f>
        <v>0</v>
      </c>
      <c r="H987" s="321"/>
    </row>
    <row r="988" spans="2:8" ht="24" thickBot="1" x14ac:dyDescent="0.3">
      <c r="B988" s="324" t="s">
        <v>440</v>
      </c>
      <c r="C988" s="325"/>
      <c r="D988" s="138">
        <v>353.15</v>
      </c>
      <c r="E988" s="140" t="str">
        <f>IF(T967="Осина","0",D970*4)</f>
        <v>0</v>
      </c>
      <c r="F988" s="79" t="s">
        <v>434</v>
      </c>
      <c r="G988" s="147">
        <f>D988*E988</f>
        <v>0</v>
      </c>
      <c r="H988" s="321"/>
    </row>
    <row r="989" spans="2:8" ht="23.25" x14ac:dyDescent="0.25">
      <c r="B989" s="49"/>
      <c r="C989" s="66"/>
      <c r="D989" s="66"/>
      <c r="E989" s="56"/>
      <c r="F989" s="56"/>
      <c r="G989" s="48"/>
      <c r="H989" s="92"/>
    </row>
    <row r="990" spans="2:8" ht="25.5" x14ac:dyDescent="0.25">
      <c r="B990" s="49"/>
      <c r="C990" s="59" t="s">
        <v>512</v>
      </c>
      <c r="D990" s="60"/>
      <c r="E990" s="49"/>
      <c r="F990" s="49"/>
      <c r="G990" s="48"/>
      <c r="H990" s="87"/>
    </row>
    <row r="991" spans="2:8" ht="18.75" x14ac:dyDescent="0.25">
      <c r="B991" s="49"/>
      <c r="C991" s="306" t="s">
        <v>513</v>
      </c>
      <c r="D991" s="107" t="s">
        <v>514</v>
      </c>
      <c r="E991" s="68">
        <f>ROUND((G979+D972)/D972,2)</f>
        <v>1.07</v>
      </c>
      <c r="F991" s="68"/>
      <c r="G991" s="50"/>
      <c r="H991" s="87"/>
    </row>
    <row r="992" spans="2:8" ht="23.25" x14ac:dyDescent="0.25">
      <c r="B992" s="49"/>
      <c r="C992" s="306"/>
      <c r="D992" s="107" t="s">
        <v>515</v>
      </c>
      <c r="E992" s="68">
        <f>ROUND((G980+G981+D972)/D972,2)</f>
        <v>1.04</v>
      </c>
      <c r="F992" s="68"/>
      <c r="G992" s="57"/>
      <c r="H992" s="93"/>
    </row>
    <row r="993" spans="2:27" ht="23.25" x14ac:dyDescent="0.25">
      <c r="B993" s="49"/>
      <c r="C993" s="306"/>
      <c r="D993" s="107" t="s">
        <v>516</v>
      </c>
      <c r="E993" s="68">
        <f>ROUND((G982+D972)/D972,2)</f>
        <v>1</v>
      </c>
      <c r="F993" s="50"/>
      <c r="G993" s="57"/>
      <c r="H993" s="87"/>
    </row>
    <row r="994" spans="2:27" ht="23.25" x14ac:dyDescent="0.25">
      <c r="B994" s="49"/>
      <c r="C994" s="306"/>
      <c r="D994" s="69" t="s">
        <v>517</v>
      </c>
      <c r="E994" s="70">
        <f>ROUND((SUM(G983:G988)+D972)/D972,2)</f>
        <v>2.1</v>
      </c>
      <c r="F994" s="50"/>
      <c r="G994" s="57"/>
      <c r="H994" s="87"/>
    </row>
    <row r="995" spans="2:27" ht="25.5" x14ac:dyDescent="0.25">
      <c r="B995" s="49"/>
      <c r="C995" s="49"/>
      <c r="D995" s="71" t="s">
        <v>518</v>
      </c>
      <c r="E995" s="72">
        <f>SUM(E991:E994)-IF(D976="сплошная",3,2)</f>
        <v>2.2100000000000009</v>
      </c>
      <c r="F995" s="73"/>
      <c r="G995" s="48"/>
      <c r="H995" s="87"/>
    </row>
    <row r="996" spans="2:27" ht="23.25" x14ac:dyDescent="0.25">
      <c r="B996" s="49"/>
      <c r="C996" s="49"/>
      <c r="D996" s="49"/>
      <c r="E996" s="74"/>
      <c r="F996" s="49"/>
      <c r="G996" s="48"/>
      <c r="H996" s="87"/>
    </row>
    <row r="997" spans="2:27" ht="25.5" x14ac:dyDescent="0.35">
      <c r="B997" s="58"/>
      <c r="C997" s="75" t="s">
        <v>519</v>
      </c>
      <c r="D997" s="307">
        <f>E995*D972</f>
        <v>17725.503900000007</v>
      </c>
      <c r="E997" s="307"/>
      <c r="F997" s="49"/>
      <c r="G997" s="48"/>
      <c r="H997" s="87"/>
    </row>
    <row r="998" spans="2:27" ht="18.75" x14ac:dyDescent="0.3">
      <c r="B998" s="49"/>
      <c r="C998" s="76" t="s">
        <v>520</v>
      </c>
      <c r="D998" s="308">
        <f>D997/D971</f>
        <v>32.851775335458541</v>
      </c>
      <c r="E998" s="308"/>
      <c r="F998" s="49"/>
      <c r="G998" s="49"/>
      <c r="H998" s="94"/>
    </row>
    <row r="1001" spans="2:27" ht="60.75" x14ac:dyDescent="0.8">
      <c r="B1001" s="330" t="str">
        <f>CONCATENATE("ЛОТ № ",K1004)</f>
        <v>ЛОТ № 28</v>
      </c>
      <c r="C1001" s="330"/>
      <c r="D1001" s="330"/>
      <c r="E1001" s="330"/>
      <c r="F1001" s="330"/>
      <c r="G1001" s="330"/>
      <c r="H1001" s="330"/>
    </row>
    <row r="1002" spans="2:27" ht="18.75" x14ac:dyDescent="0.25">
      <c r="B1002" s="331" t="s">
        <v>492</v>
      </c>
      <c r="C1002" s="331"/>
      <c r="D1002" s="331"/>
      <c r="E1002" s="331"/>
      <c r="F1002" s="331"/>
      <c r="G1002" s="331"/>
      <c r="H1002" s="87"/>
    </row>
    <row r="1003" spans="2:27" ht="25.5" x14ac:dyDescent="0.25">
      <c r="B1003" s="49"/>
      <c r="C1003" s="59" t="s">
        <v>493</v>
      </c>
      <c r="D1003" s="60"/>
      <c r="E1003" s="49"/>
      <c r="F1003" s="49"/>
      <c r="G1003" s="48"/>
      <c r="H1003" s="87"/>
      <c r="I1003" s="88"/>
      <c r="J1003" s="88"/>
      <c r="K1003" s="88"/>
      <c r="L1003" s="88" t="s">
        <v>454</v>
      </c>
      <c r="M1003" s="88" t="s">
        <v>444</v>
      </c>
      <c r="N1003" s="88" t="s">
        <v>445</v>
      </c>
      <c r="O1003" s="88" t="s">
        <v>453</v>
      </c>
      <c r="P1003" s="89" t="s">
        <v>446</v>
      </c>
      <c r="Q1003" s="88" t="s">
        <v>435</v>
      </c>
      <c r="R1003" s="40" t="s">
        <v>447</v>
      </c>
      <c r="S1003" s="40" t="s">
        <v>522</v>
      </c>
      <c r="T1003" s="88" t="s">
        <v>118</v>
      </c>
      <c r="U1003" s="88" t="s">
        <v>500</v>
      </c>
      <c r="V1003" s="88" t="s">
        <v>450</v>
      </c>
      <c r="W1003" s="40" t="s">
        <v>448</v>
      </c>
      <c r="X1003" s="40" t="s">
        <v>449</v>
      </c>
      <c r="Y1003" s="88" t="s">
        <v>523</v>
      </c>
      <c r="Z1003" s="88"/>
    </row>
    <row r="1004" spans="2:27" ht="19.5" x14ac:dyDescent="0.25">
      <c r="B1004" s="50"/>
      <c r="C1004" s="332" t="s">
        <v>494</v>
      </c>
      <c r="D1004" s="335" t="s">
        <v>521</v>
      </c>
      <c r="E1004" s="336"/>
      <c r="F1004" s="336"/>
      <c r="G1004" s="337"/>
      <c r="H1004" s="90"/>
      <c r="I1004" s="88" t="s">
        <v>443</v>
      </c>
      <c r="J1004" s="88"/>
      <c r="K1004" s="43">
        <f>IF(I1004="","",COUNTA(I$5:I1004))</f>
        <v>28</v>
      </c>
      <c r="L1004" s="95" t="str">
        <f>INDEX('Ведомость расчета мин. платы'!$B$10:$T$209,MATCH(ЛОТЫ!$K1004,'Ведомость расчета мин. платы'!$B$10:$B$209,0),2)</f>
        <v>Мамыковское</v>
      </c>
      <c r="M1004" s="95">
        <f>INDEX('Ведомость расчета мин. платы'!$B$10:$T$209,MATCH(ЛОТЫ!$K1004,'Ведомость расчета мин. платы'!$B$10:$B$209,0),3)</f>
        <v>90</v>
      </c>
      <c r="N1004" s="95">
        <f>INDEX('Ведомость расчета мин. платы'!$B$10:$T$209,MATCH(ЛОТЫ!$K1004,'Ведомость расчета мин. платы'!$B$10:$B$209,0),4)</f>
        <v>12</v>
      </c>
      <c r="O1004" s="95">
        <f>INDEX('Ведомость расчета мин. платы'!$B$10:$T$209,MATCH(ЛОТЫ!$K1004,'Ведомость расчета мин. платы'!$B$10:$B$209,0),5)</f>
        <v>3</v>
      </c>
      <c r="P1004" s="89">
        <f>IFERROR(INDEX(Коэффициенты!$G$4:$O$106,MATCH(CONCATENATE($L1004,"/",$M1004,"/",$N1004,"/",$O1004),Коэффициенты!$O$4:$O$106,0),1),"")</f>
        <v>3.7</v>
      </c>
      <c r="Q1004" s="40">
        <f>IFERROR(INDEX(Коэффициенты!$G$4:$O$106,MATCH(CONCATENATE($L1004,"/",$M1004,"/",$N1004,"/",$O1004),Коэффициенты!$O$4:$O$106,0),6),"")</f>
        <v>542.08999999999992</v>
      </c>
      <c r="R1004" s="40">
        <f>IFERROR(INDEX(Коэффициенты!$G$4:$O$106,MATCH(CONCATENATE($L1004,"/",$M1004,"/",$N1004,"/",$O1004),Коэффициенты!$O$4:$O$106,0),2),"")</f>
        <v>19505.21</v>
      </c>
      <c r="S1004" s="43" t="str">
        <f>IFERROR(INDEX('Такс. опис.'!$A$5:$BW$50,MATCH(CONCATENATE($L1004,"/",$M1004,"/",$N1004),'Такс. опис.'!$C$5:$C$50,0),26),"")</f>
        <v>4ОС3ЛП2Б1Д</v>
      </c>
      <c r="T1004" s="43" t="str">
        <f>IFERROR(INDEX('Такс. опис.'!$A$5:$BW$50,MATCH(CONCATENATE($L1004,"/",$M1004,"/",$N1004),'Такс. опис.'!$C$5:$C$50,0),47),"")</f>
        <v>Осина</v>
      </c>
      <c r="U1004" s="43">
        <f>IFERROR(INDEX('Такс. опис.'!$A$5:$BW$50,MATCH(CONCATENATE($L1004,"/",$M1004,"/",$N1004),'Такс. опис.'!$C$5:$C$50,0),49),"")</f>
        <v>45</v>
      </c>
      <c r="V1004" s="103">
        <f>IFERROR(INDEX('Ведомость расчета мин. платы'!$AC$10:$AD$214,MATCH(CONCATENATE($L1004,"/",$M1004,"/",$N1004,"/",$O1004),'Ведомость расчета мин. платы'!$AC$10:$AC$214,0),2),"")</f>
        <v>0.94</v>
      </c>
      <c r="W1004" s="40">
        <f>E1032</f>
        <v>1.6600000000000001</v>
      </c>
      <c r="X1004" s="40">
        <f>D1034</f>
        <v>32378.6486</v>
      </c>
      <c r="Y1004" s="91">
        <f>D1035</f>
        <v>59.729285911933452</v>
      </c>
      <c r="Z1004" s="88"/>
      <c r="AA1004" s="86">
        <f t="shared" ref="AA1004" si="43">IF(M1004&gt;0,1,0)</f>
        <v>1</v>
      </c>
    </row>
    <row r="1005" spans="2:27" ht="19.5" x14ac:dyDescent="0.25">
      <c r="B1005" s="50"/>
      <c r="C1005" s="333"/>
      <c r="D1005" s="338" t="str">
        <f>CONCATENATE(L1004, " участковое лесничество")</f>
        <v>Мамыковское участковое лесничество</v>
      </c>
      <c r="E1005" s="338"/>
      <c r="F1005" s="338"/>
      <c r="G1005" s="338"/>
      <c r="H1005" s="90"/>
      <c r="I1005" s="88"/>
      <c r="J1005" s="88">
        <f>IFERROR(IF(ISBLANK(K1004),"",K1004),"")</f>
        <v>28</v>
      </c>
      <c r="K1005" s="88"/>
      <c r="L1005" s="88"/>
      <c r="M1005" s="88"/>
      <c r="N1005" s="88"/>
      <c r="O1005" s="88"/>
      <c r="P1005" s="88"/>
      <c r="Q1005" s="88"/>
      <c r="R1005" s="88"/>
      <c r="S1005" s="88"/>
      <c r="T1005" s="88"/>
      <c r="U1005" s="88"/>
      <c r="V1005" s="88"/>
      <c r="W1005" s="88"/>
      <c r="X1005" s="88"/>
      <c r="Y1005" s="88"/>
      <c r="Z1005" s="88"/>
    </row>
    <row r="1006" spans="2:27" ht="19.5" x14ac:dyDescent="0.25">
      <c r="B1006" s="50"/>
      <c r="C1006" s="334"/>
      <c r="D1006" s="338" t="str">
        <f>CONCATENATE("кв. ",M1004," ","выд."," ",N1004," ","делянка", " ",O1004)</f>
        <v>кв. 90 выд. 12 делянка 3</v>
      </c>
      <c r="E1006" s="338"/>
      <c r="F1006" s="338"/>
      <c r="G1006" s="338"/>
      <c r="H1006" s="90"/>
      <c r="I1006" s="88"/>
      <c r="J1006" s="88"/>
      <c r="K1006" s="88"/>
      <c r="L1006" s="88"/>
      <c r="M1006" s="88"/>
      <c r="N1006" s="88"/>
      <c r="O1006" s="88"/>
      <c r="P1006" s="88"/>
      <c r="Q1006" s="88"/>
      <c r="R1006" s="88"/>
      <c r="S1006" s="88"/>
      <c r="T1006" s="88"/>
      <c r="U1006" s="88"/>
      <c r="V1006" s="88"/>
      <c r="W1006" s="88"/>
      <c r="X1006" s="88"/>
      <c r="Y1006" s="88"/>
      <c r="Z1006" s="88"/>
    </row>
    <row r="1007" spans="2:27" ht="23.25" x14ac:dyDescent="0.25">
      <c r="B1007" s="49"/>
      <c r="C1007" s="61" t="s">
        <v>495</v>
      </c>
      <c r="D1007" s="51">
        <f>P1004</f>
        <v>3.7</v>
      </c>
      <c r="E1007" s="62"/>
      <c r="F1007" s="50"/>
      <c r="G1007" s="48"/>
      <c r="H1007" s="87"/>
    </row>
    <row r="1008" spans="2:27" ht="22.5" x14ac:dyDescent="0.25">
      <c r="B1008" s="49"/>
      <c r="C1008" s="63" t="s">
        <v>496</v>
      </c>
      <c r="D1008" s="106">
        <f>Q1004</f>
        <v>542.08999999999992</v>
      </c>
      <c r="E1008" s="309" t="s">
        <v>497</v>
      </c>
      <c r="F1008" s="310"/>
      <c r="G1008" s="313">
        <f>D1009/D1008</f>
        <v>35.981497537309309</v>
      </c>
      <c r="H1008" s="87"/>
    </row>
    <row r="1009" spans="2:8" ht="22.5" x14ac:dyDescent="0.25">
      <c r="B1009" s="49"/>
      <c r="C1009" s="63" t="s">
        <v>498</v>
      </c>
      <c r="D1009" s="52">
        <f>R1004</f>
        <v>19505.21</v>
      </c>
      <c r="E1009" s="311"/>
      <c r="F1009" s="312"/>
      <c r="G1009" s="314"/>
      <c r="H1009" s="87"/>
    </row>
    <row r="1010" spans="2:8" ht="23.25" x14ac:dyDescent="0.25">
      <c r="B1010" s="49"/>
      <c r="C1010" s="64"/>
      <c r="D1010" s="53"/>
      <c r="E1010" s="65"/>
      <c r="F1010" s="49"/>
      <c r="G1010" s="48"/>
      <c r="H1010" s="87"/>
    </row>
    <row r="1011" spans="2:8" ht="23.25" x14ac:dyDescent="0.25">
      <c r="B1011" s="49"/>
      <c r="C1011" s="82" t="s">
        <v>499</v>
      </c>
      <c r="D1011" s="96" t="str">
        <f>S1004</f>
        <v>4ОС3ЛП2Б1Д</v>
      </c>
      <c r="E1011" s="49"/>
      <c r="F1011" s="49"/>
      <c r="G1011" s="48"/>
      <c r="H1011" s="87"/>
    </row>
    <row r="1012" spans="2:8" ht="23.25" x14ac:dyDescent="0.25">
      <c r="B1012" s="49"/>
      <c r="C1012" s="82" t="s">
        <v>500</v>
      </c>
      <c r="D1012" s="96">
        <f>U1004</f>
        <v>45</v>
      </c>
      <c r="E1012" s="49"/>
      <c r="F1012" s="49"/>
      <c r="G1012" s="48"/>
      <c r="H1012" s="87"/>
    </row>
    <row r="1013" spans="2:8" ht="23.25" x14ac:dyDescent="0.25">
      <c r="B1013" s="49"/>
      <c r="C1013" s="82" t="s">
        <v>501</v>
      </c>
      <c r="D1013" s="83" t="s">
        <v>502</v>
      </c>
      <c r="E1013" s="49"/>
      <c r="F1013" s="49"/>
      <c r="G1013" s="48"/>
      <c r="H1013" s="87"/>
    </row>
    <row r="1014" spans="2:8" ht="24" thickBot="1" x14ac:dyDescent="0.3">
      <c r="B1014" s="49"/>
      <c r="C1014" s="49"/>
      <c r="D1014" s="49"/>
      <c r="E1014" s="49"/>
      <c r="F1014" s="49"/>
      <c r="G1014" s="48"/>
      <c r="H1014" s="87"/>
    </row>
    <row r="1015" spans="2:8" ht="48" thickBot="1" x14ac:dyDescent="0.3">
      <c r="B1015" s="315" t="s">
        <v>436</v>
      </c>
      <c r="C1015" s="316"/>
      <c r="D1015" s="54" t="s">
        <v>503</v>
      </c>
      <c r="E1015" s="317" t="s">
        <v>504</v>
      </c>
      <c r="F1015" s="318"/>
      <c r="G1015" s="55" t="s">
        <v>505</v>
      </c>
      <c r="H1015" s="87"/>
    </row>
    <row r="1016" spans="2:8" ht="24" thickBot="1" x14ac:dyDescent="0.3">
      <c r="B1016" s="319" t="s">
        <v>506</v>
      </c>
      <c r="C1016" s="320"/>
      <c r="D1016" s="136">
        <v>197.93</v>
      </c>
      <c r="E1016" s="136">
        <f>D1007</f>
        <v>3.7</v>
      </c>
      <c r="F1016" s="77" t="s">
        <v>434</v>
      </c>
      <c r="G1016" s="142">
        <f t="shared" ref="G1016:G1023" si="44">D1016*E1016</f>
        <v>732.34100000000001</v>
      </c>
      <c r="H1016" s="321"/>
    </row>
    <row r="1017" spans="2:8" ht="23.25" x14ac:dyDescent="0.25">
      <c r="B1017" s="322" t="s">
        <v>507</v>
      </c>
      <c r="C1017" s="323"/>
      <c r="D1017" s="137">
        <v>159.44</v>
      </c>
      <c r="E1017" s="137">
        <f>V1004</f>
        <v>0.94</v>
      </c>
      <c r="F1017" s="78" t="s">
        <v>437</v>
      </c>
      <c r="G1017" s="143">
        <f t="shared" si="44"/>
        <v>149.87359999999998</v>
      </c>
      <c r="H1017" s="321"/>
    </row>
    <row r="1018" spans="2:8" ht="24" thickBot="1" x14ac:dyDescent="0.3">
      <c r="B1018" s="324" t="s">
        <v>508</v>
      </c>
      <c r="C1018" s="325"/>
      <c r="D1018" s="138">
        <v>276.62</v>
      </c>
      <c r="E1018" s="138">
        <f>V1004</f>
        <v>0.94</v>
      </c>
      <c r="F1018" s="79" t="s">
        <v>437</v>
      </c>
      <c r="G1018" s="144">
        <f t="shared" si="44"/>
        <v>260.02280000000002</v>
      </c>
      <c r="H1018" s="321"/>
    </row>
    <row r="1019" spans="2:8" ht="24" thickBot="1" x14ac:dyDescent="0.3">
      <c r="B1019" s="326" t="s">
        <v>438</v>
      </c>
      <c r="C1019" s="327"/>
      <c r="D1019" s="139">
        <v>519</v>
      </c>
      <c r="E1019" s="139"/>
      <c r="F1019" s="80" t="s">
        <v>434</v>
      </c>
      <c r="G1019" s="145">
        <f t="shared" si="44"/>
        <v>0</v>
      </c>
      <c r="H1019" s="321"/>
    </row>
    <row r="1020" spans="2:8" ht="23.25" x14ac:dyDescent="0.25">
      <c r="B1020" s="322" t="s">
        <v>509</v>
      </c>
      <c r="C1020" s="323"/>
      <c r="D1020" s="137">
        <v>920</v>
      </c>
      <c r="E1020" s="137">
        <f>D1007*2</f>
        <v>7.4</v>
      </c>
      <c r="F1020" s="78" t="s">
        <v>434</v>
      </c>
      <c r="G1020" s="143">
        <f t="shared" si="44"/>
        <v>6808</v>
      </c>
      <c r="H1020" s="321"/>
    </row>
    <row r="1021" spans="2:8" ht="23.25" x14ac:dyDescent="0.25">
      <c r="B1021" s="328" t="s">
        <v>510</v>
      </c>
      <c r="C1021" s="329"/>
      <c r="D1021" s="140">
        <v>1300</v>
      </c>
      <c r="E1021" s="140">
        <f>IF(T1004="Осина",D1007,"0")</f>
        <v>3.7</v>
      </c>
      <c r="F1021" s="81" t="s">
        <v>434</v>
      </c>
      <c r="G1021" s="146">
        <f t="shared" si="44"/>
        <v>4810</v>
      </c>
      <c r="H1021" s="321"/>
    </row>
    <row r="1022" spans="2:8" ht="23.25" x14ac:dyDescent="0.25">
      <c r="B1022" s="328" t="s">
        <v>439</v>
      </c>
      <c r="C1022" s="329"/>
      <c r="D1022" s="141">
        <v>5165.12</v>
      </c>
      <c r="E1022" s="140" t="str">
        <f>IF(T1004="Осина","0",D1007)</f>
        <v>0</v>
      </c>
      <c r="F1022" s="81" t="s">
        <v>434</v>
      </c>
      <c r="G1022" s="146">
        <f t="shared" si="44"/>
        <v>0</v>
      </c>
      <c r="H1022" s="321"/>
    </row>
    <row r="1023" spans="2:8" ht="23.25" x14ac:dyDescent="0.25">
      <c r="B1023" s="328" t="s">
        <v>511</v>
      </c>
      <c r="C1023" s="329"/>
      <c r="D1023" s="141">
        <v>917</v>
      </c>
      <c r="E1023" s="140" t="str">
        <f>IF(T1004="Осина","0",D1007)</f>
        <v>0</v>
      </c>
      <c r="F1023" s="81" t="s">
        <v>434</v>
      </c>
      <c r="G1023" s="146">
        <f t="shared" si="44"/>
        <v>0</v>
      </c>
      <c r="H1023" s="321"/>
    </row>
    <row r="1024" spans="2:8" ht="23.25" x14ac:dyDescent="0.25">
      <c r="B1024" s="328" t="s">
        <v>441</v>
      </c>
      <c r="C1024" s="329"/>
      <c r="D1024" s="141">
        <v>461.56000000000006</v>
      </c>
      <c r="E1024" s="140" t="str">
        <f>IF(T1004="Осина","0",D1007)</f>
        <v>0</v>
      </c>
      <c r="F1024" s="81" t="s">
        <v>434</v>
      </c>
      <c r="G1024" s="146">
        <f>D1024*E1024</f>
        <v>0</v>
      </c>
      <c r="H1024" s="321"/>
    </row>
    <row r="1025" spans="2:26" ht="24" thickBot="1" x14ac:dyDescent="0.3">
      <c r="B1025" s="324" t="s">
        <v>440</v>
      </c>
      <c r="C1025" s="325"/>
      <c r="D1025" s="138">
        <v>353.15</v>
      </c>
      <c r="E1025" s="140" t="str">
        <f>IF(T1004="Осина","0",D1007*4)</f>
        <v>0</v>
      </c>
      <c r="F1025" s="79" t="s">
        <v>434</v>
      </c>
      <c r="G1025" s="147">
        <f>D1025*E1025</f>
        <v>0</v>
      </c>
      <c r="H1025" s="321"/>
    </row>
    <row r="1026" spans="2:26" ht="23.25" x14ac:dyDescent="0.25">
      <c r="B1026" s="49"/>
      <c r="C1026" s="66"/>
      <c r="D1026" s="66"/>
      <c r="E1026" s="56"/>
      <c r="F1026" s="56"/>
      <c r="G1026" s="48"/>
      <c r="H1026" s="92"/>
    </row>
    <row r="1027" spans="2:26" ht="25.5" x14ac:dyDescent="0.25">
      <c r="B1027" s="49"/>
      <c r="C1027" s="59" t="s">
        <v>512</v>
      </c>
      <c r="D1027" s="60"/>
      <c r="E1027" s="49"/>
      <c r="F1027" s="49"/>
      <c r="G1027" s="48"/>
      <c r="H1027" s="87"/>
    </row>
    <row r="1028" spans="2:26" ht="18.75" x14ac:dyDescent="0.25">
      <c r="B1028" s="49"/>
      <c r="C1028" s="306" t="s">
        <v>513</v>
      </c>
      <c r="D1028" s="107" t="s">
        <v>514</v>
      </c>
      <c r="E1028" s="68">
        <f>ROUND((G1016+D1009)/D1009,2)</f>
        <v>1.04</v>
      </c>
      <c r="F1028" s="68"/>
      <c r="G1028" s="50"/>
      <c r="H1028" s="87"/>
    </row>
    <row r="1029" spans="2:26" ht="23.25" x14ac:dyDescent="0.25">
      <c r="B1029" s="49"/>
      <c r="C1029" s="306"/>
      <c r="D1029" s="107" t="s">
        <v>515</v>
      </c>
      <c r="E1029" s="68">
        <f>ROUND((G1017+G1018+D1009)/D1009,2)</f>
        <v>1.02</v>
      </c>
      <c r="F1029" s="68"/>
      <c r="G1029" s="57"/>
      <c r="H1029" s="93"/>
    </row>
    <row r="1030" spans="2:26" ht="23.25" x14ac:dyDescent="0.25">
      <c r="B1030" s="49"/>
      <c r="C1030" s="306"/>
      <c r="D1030" s="107" t="s">
        <v>516</v>
      </c>
      <c r="E1030" s="68">
        <f>ROUND((G1019+D1009)/D1009,2)</f>
        <v>1</v>
      </c>
      <c r="F1030" s="50"/>
      <c r="G1030" s="57"/>
      <c r="H1030" s="87"/>
    </row>
    <row r="1031" spans="2:26" ht="23.25" x14ac:dyDescent="0.25">
      <c r="B1031" s="49"/>
      <c r="C1031" s="306"/>
      <c r="D1031" s="69" t="s">
        <v>517</v>
      </c>
      <c r="E1031" s="70">
        <f>ROUND((SUM(G1020:G1025)+D1009)/D1009,2)</f>
        <v>1.6</v>
      </c>
      <c r="F1031" s="50"/>
      <c r="G1031" s="57"/>
      <c r="H1031" s="87"/>
    </row>
    <row r="1032" spans="2:26" ht="25.5" x14ac:dyDescent="0.25">
      <c r="B1032" s="49"/>
      <c r="C1032" s="49"/>
      <c r="D1032" s="71" t="s">
        <v>518</v>
      </c>
      <c r="E1032" s="72">
        <f>SUM(E1028:E1031)-IF(D1013="сплошная",3,2)</f>
        <v>1.6600000000000001</v>
      </c>
      <c r="F1032" s="73"/>
      <c r="G1032" s="48"/>
      <c r="H1032" s="87"/>
    </row>
    <row r="1033" spans="2:26" ht="23.25" x14ac:dyDescent="0.25">
      <c r="B1033" s="49"/>
      <c r="C1033" s="49"/>
      <c r="D1033" s="49"/>
      <c r="E1033" s="74"/>
      <c r="F1033" s="49"/>
      <c r="G1033" s="48"/>
      <c r="H1033" s="87"/>
    </row>
    <row r="1034" spans="2:26" ht="25.5" x14ac:dyDescent="0.35">
      <c r="B1034" s="58"/>
      <c r="C1034" s="75" t="s">
        <v>519</v>
      </c>
      <c r="D1034" s="307">
        <f>E1032*D1009</f>
        <v>32378.6486</v>
      </c>
      <c r="E1034" s="307"/>
      <c r="F1034" s="49"/>
      <c r="G1034" s="48"/>
      <c r="H1034" s="87"/>
    </row>
    <row r="1035" spans="2:26" ht="18.75" x14ac:dyDescent="0.3">
      <c r="B1035" s="49"/>
      <c r="C1035" s="76" t="s">
        <v>520</v>
      </c>
      <c r="D1035" s="308">
        <f>D1034/D1008</f>
        <v>59.729285911933452</v>
      </c>
      <c r="E1035" s="308"/>
      <c r="F1035" s="49"/>
      <c r="G1035" s="49"/>
      <c r="H1035" s="94"/>
    </row>
    <row r="1038" spans="2:26" ht="60.75" x14ac:dyDescent="0.8">
      <c r="B1038" s="330" t="str">
        <f>CONCATENATE("ЛОТ № ",K1041)</f>
        <v>ЛОТ № 29</v>
      </c>
      <c r="C1038" s="330"/>
      <c r="D1038" s="330"/>
      <c r="E1038" s="330"/>
      <c r="F1038" s="330"/>
      <c r="G1038" s="330"/>
      <c r="H1038" s="330"/>
    </row>
    <row r="1039" spans="2:26" ht="18.75" x14ac:dyDescent="0.25">
      <c r="B1039" s="331" t="s">
        <v>492</v>
      </c>
      <c r="C1039" s="331"/>
      <c r="D1039" s="331"/>
      <c r="E1039" s="331"/>
      <c r="F1039" s="331"/>
      <c r="G1039" s="331"/>
      <c r="H1039" s="87"/>
    </row>
    <row r="1040" spans="2:26" ht="25.5" x14ac:dyDescent="0.25">
      <c r="B1040" s="49"/>
      <c r="C1040" s="59" t="s">
        <v>493</v>
      </c>
      <c r="D1040" s="60"/>
      <c r="E1040" s="49"/>
      <c r="F1040" s="49"/>
      <c r="G1040" s="48"/>
      <c r="H1040" s="87"/>
      <c r="I1040" s="88"/>
      <c r="J1040" s="88"/>
      <c r="K1040" s="88"/>
      <c r="L1040" s="88" t="s">
        <v>454</v>
      </c>
      <c r="M1040" s="88" t="s">
        <v>444</v>
      </c>
      <c r="N1040" s="88" t="s">
        <v>445</v>
      </c>
      <c r="O1040" s="88" t="s">
        <v>453</v>
      </c>
      <c r="P1040" s="89" t="s">
        <v>446</v>
      </c>
      <c r="Q1040" s="88" t="s">
        <v>435</v>
      </c>
      <c r="R1040" s="40" t="s">
        <v>447</v>
      </c>
      <c r="S1040" s="40" t="s">
        <v>522</v>
      </c>
      <c r="T1040" s="88" t="s">
        <v>118</v>
      </c>
      <c r="U1040" s="88" t="s">
        <v>500</v>
      </c>
      <c r="V1040" s="88" t="s">
        <v>450</v>
      </c>
      <c r="W1040" s="40" t="s">
        <v>448</v>
      </c>
      <c r="X1040" s="40" t="s">
        <v>449</v>
      </c>
      <c r="Y1040" s="88" t="s">
        <v>523</v>
      </c>
      <c r="Z1040" s="88"/>
    </row>
    <row r="1041" spans="2:27" ht="19.5" x14ac:dyDescent="0.25">
      <c r="B1041" s="50"/>
      <c r="C1041" s="332" t="s">
        <v>494</v>
      </c>
      <c r="D1041" s="335" t="s">
        <v>521</v>
      </c>
      <c r="E1041" s="336"/>
      <c r="F1041" s="336"/>
      <c r="G1041" s="337"/>
      <c r="H1041" s="90"/>
      <c r="I1041" s="88" t="s">
        <v>443</v>
      </c>
      <c r="J1041" s="88"/>
      <c r="K1041" s="43">
        <f>IF(I1041="","",COUNTA(I$5:I1041))</f>
        <v>29</v>
      </c>
      <c r="L1041" s="95" t="str">
        <f>INDEX('Ведомость расчета мин. платы'!$B$10:$T$209,MATCH(ЛОТЫ!$K1041,'Ведомость расчета мин. платы'!$B$10:$B$209,0),2)</f>
        <v>Мамыковское</v>
      </c>
      <c r="M1041" s="95">
        <f>INDEX('Ведомость расчета мин. платы'!$B$10:$T$209,MATCH(ЛОТЫ!$K1041,'Ведомость расчета мин. платы'!$B$10:$B$209,0),3)</f>
        <v>91</v>
      </c>
      <c r="N1041" s="95">
        <f>INDEX('Ведомость расчета мин. платы'!$B$10:$T$209,MATCH(ЛОТЫ!$K1041,'Ведомость расчета мин. платы'!$B$10:$B$209,0),4)</f>
        <v>9</v>
      </c>
      <c r="O1041" s="95">
        <f>INDEX('Ведомость расчета мин. платы'!$B$10:$T$209,MATCH(ЛОТЫ!$K1041,'Ведомость расчета мин. платы'!$B$10:$B$209,0),5)</f>
        <v>1</v>
      </c>
      <c r="P1041" s="89">
        <f>IFERROR(INDEX(Коэффициенты!$G$4:$O$106,MATCH(CONCATENATE($L1041,"/",$M1041,"/",$N1041,"/",$O1041),Коэффициенты!$O$4:$O$106,0),1),"")</f>
        <v>6.1</v>
      </c>
      <c r="Q1041" s="40">
        <f>IFERROR(INDEX(Коэффициенты!$G$4:$O$106,MATCH(CONCATENATE($L1041,"/",$M1041,"/",$N1041,"/",$O1041),Коэффициенты!$O$4:$O$106,0),6),"")</f>
        <v>1117.54</v>
      </c>
      <c r="R1041" s="40">
        <f>IFERROR(INDEX(Коэффициенты!$G$4:$O$106,MATCH(CONCATENATE($L1041,"/",$M1041,"/",$N1041,"/",$O1041),Коэффициенты!$O$4:$O$106,0),2),"")</f>
        <v>47089.74</v>
      </c>
      <c r="S1041" s="43" t="str">
        <f>IFERROR(INDEX('Такс. опис.'!$A$5:$BW$50,MATCH(CONCATENATE($L1041,"/",$M1041,"/",$N1041),'Такс. опис.'!$C$5:$C$50,0),26),"")</f>
        <v>6ОС2Б1ЛП1Д</v>
      </c>
      <c r="T1041" s="43" t="str">
        <f>IFERROR(INDEX('Такс. опис.'!$A$5:$BW$50,MATCH(CONCATENATE($L1041,"/",$M1041,"/",$N1041),'Такс. опис.'!$C$5:$C$50,0),47),"")</f>
        <v>Осина</v>
      </c>
      <c r="U1041" s="43">
        <f>IFERROR(INDEX('Такс. опис.'!$A$5:$BW$50,MATCH(CONCATENATE($L1041,"/",$M1041,"/",$N1041),'Такс. опис.'!$C$5:$C$50,0),49),"")</f>
        <v>55</v>
      </c>
      <c r="V1041" s="103">
        <f>IFERROR(INDEX('Ведомость расчета мин. платы'!$AC$10:$AD$214,MATCH(CONCATENATE($L1041,"/",$M1041,"/",$N1041,"/",$O1041),'Ведомость расчета мин. платы'!$AC$10:$AC$214,0),2),"")</f>
        <v>1.42</v>
      </c>
      <c r="W1041" s="40">
        <f>E1069</f>
        <v>1.4500000000000002</v>
      </c>
      <c r="X1041" s="40">
        <f>D1071</f>
        <v>68280.123000000007</v>
      </c>
      <c r="Y1041" s="91">
        <f>D1072</f>
        <v>61.09859423376345</v>
      </c>
      <c r="Z1041" s="88"/>
      <c r="AA1041" s="86">
        <f t="shared" ref="AA1041" si="45">IF(M1041&gt;0,1,0)</f>
        <v>1</v>
      </c>
    </row>
    <row r="1042" spans="2:27" ht="19.5" x14ac:dyDescent="0.25">
      <c r="B1042" s="50"/>
      <c r="C1042" s="333"/>
      <c r="D1042" s="338" t="str">
        <f>CONCATENATE(L1041, " участковое лесничество")</f>
        <v>Мамыковское участковое лесничество</v>
      </c>
      <c r="E1042" s="338"/>
      <c r="F1042" s="338"/>
      <c r="G1042" s="338"/>
      <c r="H1042" s="90"/>
      <c r="I1042" s="88"/>
      <c r="J1042" s="88">
        <f>IFERROR(IF(ISBLANK(K1041),"",K1041),"")</f>
        <v>29</v>
      </c>
      <c r="K1042" s="88"/>
      <c r="L1042" s="88"/>
      <c r="M1042" s="88"/>
      <c r="N1042" s="88"/>
      <c r="O1042" s="88"/>
      <c r="P1042" s="88"/>
      <c r="Q1042" s="88"/>
      <c r="R1042" s="88"/>
      <c r="S1042" s="88"/>
      <c r="T1042" s="88"/>
      <c r="U1042" s="88"/>
      <c r="V1042" s="88"/>
      <c r="W1042" s="88"/>
      <c r="X1042" s="88"/>
      <c r="Y1042" s="88"/>
      <c r="Z1042" s="88"/>
    </row>
    <row r="1043" spans="2:27" ht="19.5" x14ac:dyDescent="0.25">
      <c r="B1043" s="50"/>
      <c r="C1043" s="334"/>
      <c r="D1043" s="338" t="str">
        <f>CONCATENATE("кв. ",M1041," ","выд."," ",N1041," ","делянка", " ",O1041)</f>
        <v>кв. 91 выд. 9 делянка 1</v>
      </c>
      <c r="E1043" s="338"/>
      <c r="F1043" s="338"/>
      <c r="G1043" s="338"/>
      <c r="H1043" s="90"/>
      <c r="I1043" s="88"/>
      <c r="J1043" s="88"/>
      <c r="K1043" s="88"/>
      <c r="L1043" s="88"/>
      <c r="M1043" s="88"/>
      <c r="N1043" s="88"/>
      <c r="O1043" s="88"/>
      <c r="P1043" s="88"/>
      <c r="Q1043" s="88"/>
      <c r="R1043" s="88"/>
      <c r="S1043" s="88"/>
      <c r="T1043" s="88"/>
      <c r="U1043" s="88"/>
      <c r="V1043" s="88"/>
      <c r="W1043" s="88"/>
      <c r="X1043" s="88"/>
      <c r="Y1043" s="88"/>
      <c r="Z1043" s="88"/>
    </row>
    <row r="1044" spans="2:27" ht="23.25" x14ac:dyDescent="0.25">
      <c r="B1044" s="49"/>
      <c r="C1044" s="61" t="s">
        <v>495</v>
      </c>
      <c r="D1044" s="51">
        <f>P1041</f>
        <v>6.1</v>
      </c>
      <c r="E1044" s="62"/>
      <c r="F1044" s="50"/>
      <c r="G1044" s="48"/>
      <c r="H1044" s="87"/>
    </row>
    <row r="1045" spans="2:27" ht="22.5" x14ac:dyDescent="0.25">
      <c r="B1045" s="49"/>
      <c r="C1045" s="63" t="s">
        <v>496</v>
      </c>
      <c r="D1045" s="106">
        <f>Q1041</f>
        <v>1117.54</v>
      </c>
      <c r="E1045" s="309" t="s">
        <v>497</v>
      </c>
      <c r="F1045" s="310"/>
      <c r="G1045" s="313">
        <f>D1046/D1045</f>
        <v>42.136961540526514</v>
      </c>
      <c r="H1045" s="87"/>
    </row>
    <row r="1046" spans="2:27" ht="22.5" x14ac:dyDescent="0.25">
      <c r="B1046" s="49"/>
      <c r="C1046" s="63" t="s">
        <v>498</v>
      </c>
      <c r="D1046" s="52">
        <f>R1041</f>
        <v>47089.74</v>
      </c>
      <c r="E1046" s="311"/>
      <c r="F1046" s="312"/>
      <c r="G1046" s="314"/>
      <c r="H1046" s="87"/>
    </row>
    <row r="1047" spans="2:27" ht="23.25" x14ac:dyDescent="0.25">
      <c r="B1047" s="49"/>
      <c r="C1047" s="64"/>
      <c r="D1047" s="53"/>
      <c r="E1047" s="65"/>
      <c r="F1047" s="49"/>
      <c r="G1047" s="48"/>
      <c r="H1047" s="87"/>
    </row>
    <row r="1048" spans="2:27" ht="23.25" x14ac:dyDescent="0.25">
      <c r="B1048" s="49"/>
      <c r="C1048" s="82" t="s">
        <v>499</v>
      </c>
      <c r="D1048" s="96" t="str">
        <f>S1041</f>
        <v>6ОС2Б1ЛП1Д</v>
      </c>
      <c r="E1048" s="49"/>
      <c r="F1048" s="49"/>
      <c r="G1048" s="48"/>
      <c r="H1048" s="87"/>
    </row>
    <row r="1049" spans="2:27" ht="23.25" x14ac:dyDescent="0.25">
      <c r="B1049" s="49"/>
      <c r="C1049" s="82" t="s">
        <v>500</v>
      </c>
      <c r="D1049" s="96">
        <f>U1041</f>
        <v>55</v>
      </c>
      <c r="E1049" s="49"/>
      <c r="F1049" s="49"/>
      <c r="G1049" s="48"/>
      <c r="H1049" s="87"/>
    </row>
    <row r="1050" spans="2:27" ht="23.25" x14ac:dyDescent="0.25">
      <c r="B1050" s="49"/>
      <c r="C1050" s="82" t="s">
        <v>501</v>
      </c>
      <c r="D1050" s="83" t="s">
        <v>502</v>
      </c>
      <c r="E1050" s="49"/>
      <c r="F1050" s="49"/>
      <c r="G1050" s="48"/>
      <c r="H1050" s="87"/>
    </row>
    <row r="1051" spans="2:27" ht="24" thickBot="1" x14ac:dyDescent="0.3">
      <c r="B1051" s="49"/>
      <c r="C1051" s="49"/>
      <c r="D1051" s="49"/>
      <c r="E1051" s="49"/>
      <c r="F1051" s="49"/>
      <c r="G1051" s="48"/>
      <c r="H1051" s="87"/>
    </row>
    <row r="1052" spans="2:27" ht="48" thickBot="1" x14ac:dyDescent="0.3">
      <c r="B1052" s="315" t="s">
        <v>436</v>
      </c>
      <c r="C1052" s="316"/>
      <c r="D1052" s="54" t="s">
        <v>503</v>
      </c>
      <c r="E1052" s="317" t="s">
        <v>504</v>
      </c>
      <c r="F1052" s="318"/>
      <c r="G1052" s="55" t="s">
        <v>505</v>
      </c>
      <c r="H1052" s="87"/>
    </row>
    <row r="1053" spans="2:27" ht="24" thickBot="1" x14ac:dyDescent="0.3">
      <c r="B1053" s="319" t="s">
        <v>506</v>
      </c>
      <c r="C1053" s="320"/>
      <c r="D1053" s="136">
        <v>197.93</v>
      </c>
      <c r="E1053" s="136">
        <f>D1044</f>
        <v>6.1</v>
      </c>
      <c r="F1053" s="77" t="s">
        <v>434</v>
      </c>
      <c r="G1053" s="142">
        <f t="shared" ref="G1053:G1060" si="46">D1053*E1053</f>
        <v>1207.373</v>
      </c>
      <c r="H1053" s="321"/>
    </row>
    <row r="1054" spans="2:27" ht="23.25" x14ac:dyDescent="0.25">
      <c r="B1054" s="322" t="s">
        <v>507</v>
      </c>
      <c r="C1054" s="323"/>
      <c r="D1054" s="137">
        <v>159.44</v>
      </c>
      <c r="E1054" s="137">
        <f>V1041</f>
        <v>1.42</v>
      </c>
      <c r="F1054" s="78" t="s">
        <v>437</v>
      </c>
      <c r="G1054" s="143">
        <f t="shared" si="46"/>
        <v>226.40479999999999</v>
      </c>
      <c r="H1054" s="321"/>
    </row>
    <row r="1055" spans="2:27" ht="24" thickBot="1" x14ac:dyDescent="0.3">
      <c r="B1055" s="324" t="s">
        <v>508</v>
      </c>
      <c r="C1055" s="325"/>
      <c r="D1055" s="138">
        <v>276.62</v>
      </c>
      <c r="E1055" s="138">
        <f>V1041</f>
        <v>1.42</v>
      </c>
      <c r="F1055" s="79" t="s">
        <v>437</v>
      </c>
      <c r="G1055" s="144">
        <f t="shared" si="46"/>
        <v>392.80039999999997</v>
      </c>
      <c r="H1055" s="321"/>
    </row>
    <row r="1056" spans="2:27" ht="24" thickBot="1" x14ac:dyDescent="0.3">
      <c r="B1056" s="326" t="s">
        <v>438</v>
      </c>
      <c r="C1056" s="327"/>
      <c r="D1056" s="139">
        <v>519</v>
      </c>
      <c r="E1056" s="139"/>
      <c r="F1056" s="80" t="s">
        <v>434</v>
      </c>
      <c r="G1056" s="145">
        <f t="shared" si="46"/>
        <v>0</v>
      </c>
      <c r="H1056" s="321"/>
    </row>
    <row r="1057" spans="2:8" ht="23.25" x14ac:dyDescent="0.25">
      <c r="B1057" s="322" t="s">
        <v>509</v>
      </c>
      <c r="C1057" s="323"/>
      <c r="D1057" s="137">
        <v>920</v>
      </c>
      <c r="E1057" s="137">
        <f>D1044*2</f>
        <v>12.2</v>
      </c>
      <c r="F1057" s="78" t="s">
        <v>434</v>
      </c>
      <c r="G1057" s="143">
        <f t="shared" si="46"/>
        <v>11224</v>
      </c>
      <c r="H1057" s="321"/>
    </row>
    <row r="1058" spans="2:8" ht="23.25" x14ac:dyDescent="0.25">
      <c r="B1058" s="328" t="s">
        <v>510</v>
      </c>
      <c r="C1058" s="329"/>
      <c r="D1058" s="140">
        <v>1300</v>
      </c>
      <c r="E1058" s="140">
        <f>IF(T1041="Осина",D1044,"0")</f>
        <v>6.1</v>
      </c>
      <c r="F1058" s="81" t="s">
        <v>434</v>
      </c>
      <c r="G1058" s="146">
        <f t="shared" si="46"/>
        <v>7929.9999999999991</v>
      </c>
      <c r="H1058" s="321"/>
    </row>
    <row r="1059" spans="2:8" ht="23.25" x14ac:dyDescent="0.25">
      <c r="B1059" s="328" t="s">
        <v>439</v>
      </c>
      <c r="C1059" s="329"/>
      <c r="D1059" s="141">
        <v>5165.12</v>
      </c>
      <c r="E1059" s="140" t="str">
        <f>IF(T1041="Осина","0",D1044)</f>
        <v>0</v>
      </c>
      <c r="F1059" s="81" t="s">
        <v>434</v>
      </c>
      <c r="G1059" s="146">
        <f t="shared" si="46"/>
        <v>0</v>
      </c>
      <c r="H1059" s="321"/>
    </row>
    <row r="1060" spans="2:8" ht="23.25" x14ac:dyDescent="0.25">
      <c r="B1060" s="328" t="s">
        <v>511</v>
      </c>
      <c r="C1060" s="329"/>
      <c r="D1060" s="141">
        <v>917</v>
      </c>
      <c r="E1060" s="140" t="str">
        <f>IF(T1041="Осина","0",D1044)</f>
        <v>0</v>
      </c>
      <c r="F1060" s="81" t="s">
        <v>434</v>
      </c>
      <c r="G1060" s="146">
        <f t="shared" si="46"/>
        <v>0</v>
      </c>
      <c r="H1060" s="321"/>
    </row>
    <row r="1061" spans="2:8" ht="23.25" x14ac:dyDescent="0.25">
      <c r="B1061" s="328" t="s">
        <v>441</v>
      </c>
      <c r="C1061" s="329"/>
      <c r="D1061" s="141">
        <v>461.56000000000006</v>
      </c>
      <c r="E1061" s="140" t="str">
        <f>IF(T1041="Осина","0",D1044)</f>
        <v>0</v>
      </c>
      <c r="F1061" s="81" t="s">
        <v>434</v>
      </c>
      <c r="G1061" s="146">
        <f>D1061*E1061</f>
        <v>0</v>
      </c>
      <c r="H1061" s="321"/>
    </row>
    <row r="1062" spans="2:8" ht="24" thickBot="1" x14ac:dyDescent="0.3">
      <c r="B1062" s="324" t="s">
        <v>440</v>
      </c>
      <c r="C1062" s="325"/>
      <c r="D1062" s="138">
        <v>353.15</v>
      </c>
      <c r="E1062" s="140" t="str">
        <f>IF(T1041="Осина","0",D1044*4)</f>
        <v>0</v>
      </c>
      <c r="F1062" s="79" t="s">
        <v>434</v>
      </c>
      <c r="G1062" s="147">
        <f>D1062*E1062</f>
        <v>0</v>
      </c>
      <c r="H1062" s="321"/>
    </row>
    <row r="1063" spans="2:8" ht="23.25" x14ac:dyDescent="0.25">
      <c r="B1063" s="49"/>
      <c r="C1063" s="66"/>
      <c r="D1063" s="66"/>
      <c r="E1063" s="56"/>
      <c r="F1063" s="56"/>
      <c r="G1063" s="48"/>
      <c r="H1063" s="92"/>
    </row>
    <row r="1064" spans="2:8" ht="25.5" x14ac:dyDescent="0.25">
      <c r="B1064" s="49"/>
      <c r="C1064" s="59" t="s">
        <v>512</v>
      </c>
      <c r="D1064" s="60"/>
      <c r="E1064" s="49"/>
      <c r="F1064" s="49"/>
      <c r="G1064" s="48"/>
      <c r="H1064" s="87"/>
    </row>
    <row r="1065" spans="2:8" ht="18.75" x14ac:dyDescent="0.25">
      <c r="B1065" s="49"/>
      <c r="C1065" s="306" t="s">
        <v>513</v>
      </c>
      <c r="D1065" s="107" t="s">
        <v>514</v>
      </c>
      <c r="E1065" s="68">
        <f>ROUND((G1053+D1046)/D1046,2)</f>
        <v>1.03</v>
      </c>
      <c r="F1065" s="68"/>
      <c r="G1065" s="50"/>
      <c r="H1065" s="87"/>
    </row>
    <row r="1066" spans="2:8" ht="23.25" x14ac:dyDescent="0.25">
      <c r="B1066" s="49"/>
      <c r="C1066" s="306"/>
      <c r="D1066" s="107" t="s">
        <v>515</v>
      </c>
      <c r="E1066" s="68">
        <f>ROUND((G1054+G1055+D1046)/D1046,2)</f>
        <v>1.01</v>
      </c>
      <c r="F1066" s="68"/>
      <c r="G1066" s="57"/>
      <c r="H1066" s="93"/>
    </row>
    <row r="1067" spans="2:8" ht="23.25" x14ac:dyDescent="0.25">
      <c r="B1067" s="49"/>
      <c r="C1067" s="306"/>
      <c r="D1067" s="107" t="s">
        <v>516</v>
      </c>
      <c r="E1067" s="68">
        <f>ROUND((G1056+D1046)/D1046,2)</f>
        <v>1</v>
      </c>
      <c r="F1067" s="50"/>
      <c r="G1067" s="57"/>
      <c r="H1067" s="87"/>
    </row>
    <row r="1068" spans="2:8" ht="23.25" x14ac:dyDescent="0.25">
      <c r="B1068" s="49"/>
      <c r="C1068" s="306"/>
      <c r="D1068" s="69" t="s">
        <v>517</v>
      </c>
      <c r="E1068" s="70">
        <f>ROUND((SUM(G1057:G1062)+D1046)/D1046,2)</f>
        <v>1.41</v>
      </c>
      <c r="F1068" s="50"/>
      <c r="G1068" s="57"/>
      <c r="H1068" s="87"/>
    </row>
    <row r="1069" spans="2:8" ht="25.5" x14ac:dyDescent="0.25">
      <c r="B1069" s="49"/>
      <c r="C1069" s="49"/>
      <c r="D1069" s="71" t="s">
        <v>518</v>
      </c>
      <c r="E1069" s="72">
        <f>SUM(E1065:E1068)-IF(D1050="сплошная",3,2)</f>
        <v>1.4500000000000002</v>
      </c>
      <c r="F1069" s="73"/>
      <c r="G1069" s="48"/>
      <c r="H1069" s="87"/>
    </row>
    <row r="1070" spans="2:8" ht="23.25" x14ac:dyDescent="0.25">
      <c r="B1070" s="49"/>
      <c r="C1070" s="49"/>
      <c r="D1070" s="49"/>
      <c r="E1070" s="74"/>
      <c r="F1070" s="49"/>
      <c r="G1070" s="48"/>
      <c r="H1070" s="87"/>
    </row>
    <row r="1071" spans="2:8" ht="25.5" x14ac:dyDescent="0.35">
      <c r="B1071" s="58"/>
      <c r="C1071" s="75" t="s">
        <v>519</v>
      </c>
      <c r="D1071" s="307">
        <f>E1069*D1046</f>
        <v>68280.123000000007</v>
      </c>
      <c r="E1071" s="307"/>
      <c r="F1071" s="49"/>
      <c r="G1071" s="48"/>
      <c r="H1071" s="87"/>
    </row>
    <row r="1072" spans="2:8" ht="18.75" x14ac:dyDescent="0.3">
      <c r="B1072" s="49"/>
      <c r="C1072" s="76" t="s">
        <v>520</v>
      </c>
      <c r="D1072" s="308">
        <f>D1071/D1045</f>
        <v>61.09859423376345</v>
      </c>
      <c r="E1072" s="308"/>
      <c r="F1072" s="49"/>
      <c r="G1072" s="49"/>
      <c r="H1072" s="94"/>
    </row>
    <row r="1075" spans="2:27" ht="60.75" x14ac:dyDescent="0.8">
      <c r="B1075" s="330" t="str">
        <f>CONCATENATE("ЛОТ № ",K1078)</f>
        <v>ЛОТ № 30</v>
      </c>
      <c r="C1075" s="330"/>
      <c r="D1075" s="330"/>
      <c r="E1075" s="330"/>
      <c r="F1075" s="330"/>
      <c r="G1075" s="330"/>
      <c r="H1075" s="330"/>
    </row>
    <row r="1076" spans="2:27" ht="18.75" x14ac:dyDescent="0.25">
      <c r="B1076" s="331" t="s">
        <v>492</v>
      </c>
      <c r="C1076" s="331"/>
      <c r="D1076" s="331"/>
      <c r="E1076" s="331"/>
      <c r="F1076" s="331"/>
      <c r="G1076" s="331"/>
      <c r="H1076" s="87"/>
    </row>
    <row r="1077" spans="2:27" ht="25.5" x14ac:dyDescent="0.25">
      <c r="B1077" s="49"/>
      <c r="C1077" s="59" t="s">
        <v>493</v>
      </c>
      <c r="D1077" s="60"/>
      <c r="E1077" s="49"/>
      <c r="F1077" s="49"/>
      <c r="G1077" s="48"/>
      <c r="H1077" s="87"/>
      <c r="I1077" s="88"/>
      <c r="J1077" s="88"/>
      <c r="K1077" s="88"/>
      <c r="L1077" s="88" t="s">
        <v>454</v>
      </c>
      <c r="M1077" s="88" t="s">
        <v>444</v>
      </c>
      <c r="N1077" s="88" t="s">
        <v>445</v>
      </c>
      <c r="O1077" s="88" t="s">
        <v>453</v>
      </c>
      <c r="P1077" s="89" t="s">
        <v>446</v>
      </c>
      <c r="Q1077" s="88" t="s">
        <v>435</v>
      </c>
      <c r="R1077" s="40" t="s">
        <v>447</v>
      </c>
      <c r="S1077" s="40" t="s">
        <v>522</v>
      </c>
      <c r="T1077" s="88" t="s">
        <v>118</v>
      </c>
      <c r="U1077" s="88" t="s">
        <v>500</v>
      </c>
      <c r="V1077" s="88" t="s">
        <v>450</v>
      </c>
      <c r="W1077" s="40" t="s">
        <v>448</v>
      </c>
      <c r="X1077" s="40" t="s">
        <v>449</v>
      </c>
      <c r="Y1077" s="88" t="s">
        <v>523</v>
      </c>
      <c r="Z1077" s="88"/>
    </row>
    <row r="1078" spans="2:27" ht="19.5" x14ac:dyDescent="0.25">
      <c r="B1078" s="50"/>
      <c r="C1078" s="332" t="s">
        <v>494</v>
      </c>
      <c r="D1078" s="335" t="s">
        <v>521</v>
      </c>
      <c r="E1078" s="336"/>
      <c r="F1078" s="336"/>
      <c r="G1078" s="337"/>
      <c r="H1078" s="90"/>
      <c r="I1078" s="88" t="s">
        <v>443</v>
      </c>
      <c r="J1078" s="88"/>
      <c r="K1078" s="43">
        <f>IF(I1078="","",COUNTA(I$5:I1078))</f>
        <v>30</v>
      </c>
      <c r="L1078" s="95" t="str">
        <f>INDEX('Ведомость расчета мин. платы'!$B$10:$T$209,MATCH(ЛОТЫ!$K1078,'Ведомость расчета мин. платы'!$B$10:$B$209,0),2)</f>
        <v>Мамыковское</v>
      </c>
      <c r="M1078" s="95">
        <f>INDEX('Ведомость расчета мин. платы'!$B$10:$T$209,MATCH(ЛОТЫ!$K1078,'Ведомость расчета мин. платы'!$B$10:$B$209,0),3)</f>
        <v>96</v>
      </c>
      <c r="N1078" s="95">
        <f>INDEX('Ведомость расчета мин. платы'!$B$10:$T$209,MATCH(ЛОТЫ!$K1078,'Ведомость расчета мин. платы'!$B$10:$B$209,0),4)</f>
        <v>5</v>
      </c>
      <c r="O1078" s="95">
        <f>INDEX('Ведомость расчета мин. платы'!$B$10:$T$209,MATCH(ЛОТЫ!$K1078,'Ведомость расчета мин. платы'!$B$10:$B$209,0),5)</f>
        <v>1</v>
      </c>
      <c r="P1078" s="89">
        <f>IFERROR(INDEX(Коэффициенты!$G$4:$O$106,MATCH(CONCATENATE($L1078,"/",$M1078,"/",$N1078,"/",$O1078),Коэффициенты!$O$4:$O$106,0),1),"")</f>
        <v>5.6</v>
      </c>
      <c r="Q1078" s="40">
        <f>IFERROR(INDEX(Коэффициенты!$G$4:$O$106,MATCH(CONCATENATE($L1078,"/",$M1078,"/",$N1078,"/",$O1078),Коэффициенты!$O$4:$O$106,0),6),"")</f>
        <v>923.46</v>
      </c>
      <c r="R1078" s="40">
        <f>IFERROR(INDEX(Коэффициенты!$G$4:$O$106,MATCH(CONCATENATE($L1078,"/",$M1078,"/",$N1078,"/",$O1078),Коэффициенты!$O$4:$O$106,0),2),"")</f>
        <v>40097.680000000008</v>
      </c>
      <c r="S1078" s="43" t="str">
        <f>IFERROR(INDEX('Такс. опис.'!$A$5:$BW$50,MATCH(CONCATENATE($L1078,"/",$M1078,"/",$N1078),'Такс. опис.'!$C$5:$C$50,0),26),"")</f>
        <v>6ОС2ЛП1Б1Д+КЛ</v>
      </c>
      <c r="T1078" s="43" t="str">
        <f>IFERROR(INDEX('Такс. опис.'!$A$5:$BW$50,MATCH(CONCATENATE($L1078,"/",$M1078,"/",$N1078),'Такс. опис.'!$C$5:$C$50,0),47),"")</f>
        <v>Осина</v>
      </c>
      <c r="U1078" s="43">
        <f>IFERROR(INDEX('Такс. опис.'!$A$5:$BW$50,MATCH(CONCATENATE($L1078,"/",$M1078,"/",$N1078),'Такс. опис.'!$C$5:$C$50,0),49),"")</f>
        <v>55</v>
      </c>
      <c r="V1078" s="103">
        <f>IFERROR(INDEX('Ведомость расчета мин. платы'!$AC$10:$AD$214,MATCH(CONCATENATE($L1078,"/",$M1078,"/",$N1078,"/",$O1078),'Ведомость расчета мин. платы'!$AC$10:$AC$214,0),2),"")</f>
        <v>1.32</v>
      </c>
      <c r="W1078" s="40">
        <f>E1106</f>
        <v>1.4800000000000004</v>
      </c>
      <c r="X1078" s="40">
        <f>D1108</f>
        <v>59344.566400000025</v>
      </c>
      <c r="Y1078" s="91">
        <f>D1109</f>
        <v>64.263277673099026</v>
      </c>
      <c r="Z1078" s="88"/>
      <c r="AA1078" s="86">
        <f t="shared" ref="AA1078" si="47">IF(M1078&gt;0,1,0)</f>
        <v>1</v>
      </c>
    </row>
    <row r="1079" spans="2:27" ht="19.5" x14ac:dyDescent="0.25">
      <c r="B1079" s="50"/>
      <c r="C1079" s="333"/>
      <c r="D1079" s="338" t="str">
        <f>CONCATENATE(L1078, " участковое лесничество")</f>
        <v>Мамыковское участковое лесничество</v>
      </c>
      <c r="E1079" s="338"/>
      <c r="F1079" s="338"/>
      <c r="G1079" s="338"/>
      <c r="H1079" s="90"/>
      <c r="I1079" s="88"/>
      <c r="J1079" s="88">
        <f>IFERROR(IF(ISBLANK(K1078),"",K1078),"")</f>
        <v>30</v>
      </c>
      <c r="K1079" s="88"/>
      <c r="L1079" s="88"/>
      <c r="M1079" s="88"/>
      <c r="N1079" s="88"/>
      <c r="O1079" s="88"/>
      <c r="P1079" s="88"/>
      <c r="Q1079" s="88"/>
      <c r="R1079" s="88"/>
      <c r="S1079" s="88"/>
      <c r="T1079" s="88"/>
      <c r="U1079" s="88"/>
      <c r="V1079" s="88"/>
      <c r="W1079" s="88"/>
      <c r="X1079" s="88"/>
      <c r="Y1079" s="88"/>
      <c r="Z1079" s="88"/>
    </row>
    <row r="1080" spans="2:27" ht="19.5" x14ac:dyDescent="0.25">
      <c r="B1080" s="50"/>
      <c r="C1080" s="334"/>
      <c r="D1080" s="338" t="str">
        <f>CONCATENATE("кв. ",M1078," ","выд."," ",N1078," ","делянка", " ",O1078)</f>
        <v>кв. 96 выд. 5 делянка 1</v>
      </c>
      <c r="E1080" s="338"/>
      <c r="F1080" s="338"/>
      <c r="G1080" s="338"/>
      <c r="H1080" s="90"/>
      <c r="I1080" s="88"/>
      <c r="J1080" s="88"/>
      <c r="K1080" s="88"/>
      <c r="L1080" s="88"/>
      <c r="M1080" s="88"/>
      <c r="N1080" s="88"/>
      <c r="O1080" s="88"/>
      <c r="P1080" s="88"/>
      <c r="Q1080" s="88"/>
      <c r="R1080" s="88"/>
      <c r="S1080" s="88"/>
      <c r="T1080" s="88"/>
      <c r="U1080" s="88"/>
      <c r="V1080" s="88"/>
      <c r="W1080" s="88"/>
      <c r="X1080" s="88"/>
      <c r="Y1080" s="88"/>
      <c r="Z1080" s="88"/>
    </row>
    <row r="1081" spans="2:27" ht="23.25" x14ac:dyDescent="0.25">
      <c r="B1081" s="49"/>
      <c r="C1081" s="61" t="s">
        <v>495</v>
      </c>
      <c r="D1081" s="51">
        <f>P1078</f>
        <v>5.6</v>
      </c>
      <c r="E1081" s="62"/>
      <c r="F1081" s="50"/>
      <c r="G1081" s="48"/>
      <c r="H1081" s="87"/>
    </row>
    <row r="1082" spans="2:27" ht="22.5" x14ac:dyDescent="0.25">
      <c r="B1082" s="49"/>
      <c r="C1082" s="63" t="s">
        <v>496</v>
      </c>
      <c r="D1082" s="106">
        <f>Q1078</f>
        <v>923.46</v>
      </c>
      <c r="E1082" s="309" t="s">
        <v>497</v>
      </c>
      <c r="F1082" s="310"/>
      <c r="G1082" s="313">
        <f>D1083/D1082</f>
        <v>43.421133562904735</v>
      </c>
      <c r="H1082" s="87"/>
    </row>
    <row r="1083" spans="2:27" ht="22.5" x14ac:dyDescent="0.25">
      <c r="B1083" s="49"/>
      <c r="C1083" s="63" t="s">
        <v>498</v>
      </c>
      <c r="D1083" s="52">
        <f>R1078</f>
        <v>40097.680000000008</v>
      </c>
      <c r="E1083" s="311"/>
      <c r="F1083" s="312"/>
      <c r="G1083" s="314"/>
      <c r="H1083" s="87"/>
    </row>
    <row r="1084" spans="2:27" ht="23.25" x14ac:dyDescent="0.25">
      <c r="B1084" s="49"/>
      <c r="C1084" s="64"/>
      <c r="D1084" s="53"/>
      <c r="E1084" s="65"/>
      <c r="F1084" s="49"/>
      <c r="G1084" s="48"/>
      <c r="H1084" s="87"/>
    </row>
    <row r="1085" spans="2:27" ht="23.25" x14ac:dyDescent="0.25">
      <c r="B1085" s="49"/>
      <c r="C1085" s="82" t="s">
        <v>499</v>
      </c>
      <c r="D1085" s="96" t="str">
        <f>S1078</f>
        <v>6ОС2ЛП1Б1Д+КЛ</v>
      </c>
      <c r="E1085" s="49"/>
      <c r="F1085" s="49"/>
      <c r="G1085" s="48"/>
      <c r="H1085" s="87"/>
    </row>
    <row r="1086" spans="2:27" ht="23.25" x14ac:dyDescent="0.25">
      <c r="B1086" s="49"/>
      <c r="C1086" s="82" t="s">
        <v>500</v>
      </c>
      <c r="D1086" s="96">
        <f>U1078</f>
        <v>55</v>
      </c>
      <c r="E1086" s="49"/>
      <c r="F1086" s="49"/>
      <c r="G1086" s="48"/>
      <c r="H1086" s="87"/>
    </row>
    <row r="1087" spans="2:27" ht="23.25" x14ac:dyDescent="0.25">
      <c r="B1087" s="49"/>
      <c r="C1087" s="82" t="s">
        <v>501</v>
      </c>
      <c r="D1087" s="83" t="s">
        <v>502</v>
      </c>
      <c r="E1087" s="49"/>
      <c r="F1087" s="49"/>
      <c r="G1087" s="48"/>
      <c r="H1087" s="87"/>
    </row>
    <row r="1088" spans="2:27" ht="24" thickBot="1" x14ac:dyDescent="0.3">
      <c r="B1088" s="49"/>
      <c r="C1088" s="49"/>
      <c r="D1088" s="49"/>
      <c r="E1088" s="49"/>
      <c r="F1088" s="49"/>
      <c r="G1088" s="48"/>
      <c r="H1088" s="87"/>
    </row>
    <row r="1089" spans="2:8" ht="48" thickBot="1" x14ac:dyDescent="0.3">
      <c r="B1089" s="315" t="s">
        <v>436</v>
      </c>
      <c r="C1089" s="316"/>
      <c r="D1089" s="54" t="s">
        <v>503</v>
      </c>
      <c r="E1089" s="317" t="s">
        <v>504</v>
      </c>
      <c r="F1089" s="318"/>
      <c r="G1089" s="55" t="s">
        <v>505</v>
      </c>
      <c r="H1089" s="87"/>
    </row>
    <row r="1090" spans="2:8" ht="24" thickBot="1" x14ac:dyDescent="0.3">
      <c r="B1090" s="319" t="s">
        <v>506</v>
      </c>
      <c r="C1090" s="320"/>
      <c r="D1090" s="136">
        <v>197.93</v>
      </c>
      <c r="E1090" s="136">
        <f>D1081</f>
        <v>5.6</v>
      </c>
      <c r="F1090" s="77" t="s">
        <v>434</v>
      </c>
      <c r="G1090" s="142">
        <f t="shared" ref="G1090:G1097" si="48">D1090*E1090</f>
        <v>1108.4079999999999</v>
      </c>
      <c r="H1090" s="321"/>
    </row>
    <row r="1091" spans="2:8" ht="23.25" x14ac:dyDescent="0.25">
      <c r="B1091" s="322" t="s">
        <v>507</v>
      </c>
      <c r="C1091" s="323"/>
      <c r="D1091" s="137">
        <v>159.44</v>
      </c>
      <c r="E1091" s="137">
        <f>V1078</f>
        <v>1.32</v>
      </c>
      <c r="F1091" s="78" t="s">
        <v>437</v>
      </c>
      <c r="G1091" s="143">
        <f t="shared" si="48"/>
        <v>210.46080000000001</v>
      </c>
      <c r="H1091" s="321"/>
    </row>
    <row r="1092" spans="2:8" ht="24" thickBot="1" x14ac:dyDescent="0.3">
      <c r="B1092" s="324" t="s">
        <v>508</v>
      </c>
      <c r="C1092" s="325"/>
      <c r="D1092" s="138">
        <v>276.62</v>
      </c>
      <c r="E1092" s="138">
        <f>V1078</f>
        <v>1.32</v>
      </c>
      <c r="F1092" s="79" t="s">
        <v>437</v>
      </c>
      <c r="G1092" s="144">
        <f t="shared" si="48"/>
        <v>365.13840000000005</v>
      </c>
      <c r="H1092" s="321"/>
    </row>
    <row r="1093" spans="2:8" ht="24" thickBot="1" x14ac:dyDescent="0.3">
      <c r="B1093" s="326" t="s">
        <v>438</v>
      </c>
      <c r="C1093" s="327"/>
      <c r="D1093" s="139">
        <v>519</v>
      </c>
      <c r="E1093" s="139"/>
      <c r="F1093" s="80" t="s">
        <v>434</v>
      </c>
      <c r="G1093" s="145">
        <f t="shared" si="48"/>
        <v>0</v>
      </c>
      <c r="H1093" s="321"/>
    </row>
    <row r="1094" spans="2:8" ht="23.25" x14ac:dyDescent="0.25">
      <c r="B1094" s="322" t="s">
        <v>509</v>
      </c>
      <c r="C1094" s="323"/>
      <c r="D1094" s="137">
        <v>920</v>
      </c>
      <c r="E1094" s="137">
        <f>D1081*2</f>
        <v>11.2</v>
      </c>
      <c r="F1094" s="78" t="s">
        <v>434</v>
      </c>
      <c r="G1094" s="143">
        <f t="shared" si="48"/>
        <v>10304</v>
      </c>
      <c r="H1094" s="321"/>
    </row>
    <row r="1095" spans="2:8" ht="23.25" x14ac:dyDescent="0.25">
      <c r="B1095" s="328" t="s">
        <v>510</v>
      </c>
      <c r="C1095" s="329"/>
      <c r="D1095" s="140">
        <v>1300</v>
      </c>
      <c r="E1095" s="140">
        <f>IF(T1078="Осина",D1081,"0")</f>
        <v>5.6</v>
      </c>
      <c r="F1095" s="81" t="s">
        <v>434</v>
      </c>
      <c r="G1095" s="146">
        <f t="shared" si="48"/>
        <v>7279.9999999999991</v>
      </c>
      <c r="H1095" s="321"/>
    </row>
    <row r="1096" spans="2:8" ht="23.25" x14ac:dyDescent="0.25">
      <c r="B1096" s="328" t="s">
        <v>439</v>
      </c>
      <c r="C1096" s="329"/>
      <c r="D1096" s="141">
        <v>5165.12</v>
      </c>
      <c r="E1096" s="140" t="str">
        <f>IF(T1078="Осина","0",D1081)</f>
        <v>0</v>
      </c>
      <c r="F1096" s="81" t="s">
        <v>434</v>
      </c>
      <c r="G1096" s="146">
        <f t="shared" si="48"/>
        <v>0</v>
      </c>
      <c r="H1096" s="321"/>
    </row>
    <row r="1097" spans="2:8" ht="23.25" x14ac:dyDescent="0.25">
      <c r="B1097" s="328" t="s">
        <v>511</v>
      </c>
      <c r="C1097" s="329"/>
      <c r="D1097" s="141">
        <v>917</v>
      </c>
      <c r="E1097" s="140" t="str">
        <f>IF(T1078="Осина","0",D1081)</f>
        <v>0</v>
      </c>
      <c r="F1097" s="81" t="s">
        <v>434</v>
      </c>
      <c r="G1097" s="146">
        <f t="shared" si="48"/>
        <v>0</v>
      </c>
      <c r="H1097" s="321"/>
    </row>
    <row r="1098" spans="2:8" ht="23.25" x14ac:dyDescent="0.25">
      <c r="B1098" s="328" t="s">
        <v>441</v>
      </c>
      <c r="C1098" s="329"/>
      <c r="D1098" s="141">
        <v>461.56000000000006</v>
      </c>
      <c r="E1098" s="140" t="str">
        <f>IF(T1078="Осина","0",D1081)</f>
        <v>0</v>
      </c>
      <c r="F1098" s="81" t="s">
        <v>434</v>
      </c>
      <c r="G1098" s="146">
        <f>D1098*E1098</f>
        <v>0</v>
      </c>
      <c r="H1098" s="321"/>
    </row>
    <row r="1099" spans="2:8" ht="24" thickBot="1" x14ac:dyDescent="0.3">
      <c r="B1099" s="324" t="s">
        <v>440</v>
      </c>
      <c r="C1099" s="325"/>
      <c r="D1099" s="138">
        <v>353.15</v>
      </c>
      <c r="E1099" s="140" t="str">
        <f>IF(T1078="Осина","0",D1081*4)</f>
        <v>0</v>
      </c>
      <c r="F1099" s="79" t="s">
        <v>434</v>
      </c>
      <c r="G1099" s="147">
        <f>D1099*E1099</f>
        <v>0</v>
      </c>
      <c r="H1099" s="321"/>
    </row>
    <row r="1100" spans="2:8" ht="23.25" x14ac:dyDescent="0.25">
      <c r="B1100" s="49"/>
      <c r="C1100" s="66"/>
      <c r="D1100" s="66"/>
      <c r="E1100" s="56"/>
      <c r="F1100" s="56"/>
      <c r="G1100" s="48"/>
      <c r="H1100" s="92"/>
    </row>
    <row r="1101" spans="2:8" ht="25.5" x14ac:dyDescent="0.25">
      <c r="B1101" s="49"/>
      <c r="C1101" s="59" t="s">
        <v>512</v>
      </c>
      <c r="D1101" s="60"/>
      <c r="E1101" s="49"/>
      <c r="F1101" s="49"/>
      <c r="G1101" s="48"/>
      <c r="H1101" s="87"/>
    </row>
    <row r="1102" spans="2:8" ht="18.75" x14ac:dyDescent="0.25">
      <c r="B1102" s="49"/>
      <c r="C1102" s="306" t="s">
        <v>513</v>
      </c>
      <c r="D1102" s="107" t="s">
        <v>514</v>
      </c>
      <c r="E1102" s="68">
        <f>ROUND((G1090+D1083)/D1083,2)</f>
        <v>1.03</v>
      </c>
      <c r="F1102" s="68"/>
      <c r="G1102" s="50"/>
      <c r="H1102" s="87"/>
    </row>
    <row r="1103" spans="2:8" ht="23.25" x14ac:dyDescent="0.25">
      <c r="B1103" s="49"/>
      <c r="C1103" s="306"/>
      <c r="D1103" s="107" t="s">
        <v>515</v>
      </c>
      <c r="E1103" s="68">
        <f>ROUND((G1091+G1092+D1083)/D1083,2)</f>
        <v>1.01</v>
      </c>
      <c r="F1103" s="68"/>
      <c r="G1103" s="57"/>
      <c r="H1103" s="93"/>
    </row>
    <row r="1104" spans="2:8" ht="23.25" x14ac:dyDescent="0.25">
      <c r="B1104" s="49"/>
      <c r="C1104" s="306"/>
      <c r="D1104" s="107" t="s">
        <v>516</v>
      </c>
      <c r="E1104" s="68">
        <f>ROUND((G1093+D1083)/D1083,2)</f>
        <v>1</v>
      </c>
      <c r="F1104" s="50"/>
      <c r="G1104" s="57"/>
      <c r="H1104" s="87"/>
    </row>
    <row r="1105" spans="2:27" ht="23.25" x14ac:dyDescent="0.25">
      <c r="B1105" s="49"/>
      <c r="C1105" s="306"/>
      <c r="D1105" s="69" t="s">
        <v>517</v>
      </c>
      <c r="E1105" s="70">
        <f>ROUND((SUM(G1094:G1099)+D1083)/D1083,2)</f>
        <v>1.44</v>
      </c>
      <c r="F1105" s="50"/>
      <c r="G1105" s="57"/>
      <c r="H1105" s="87"/>
    </row>
    <row r="1106" spans="2:27" ht="25.5" x14ac:dyDescent="0.25">
      <c r="B1106" s="49"/>
      <c r="C1106" s="49"/>
      <c r="D1106" s="71" t="s">
        <v>518</v>
      </c>
      <c r="E1106" s="72">
        <f>SUM(E1102:E1105)-IF(D1087="сплошная",3,2)</f>
        <v>1.4800000000000004</v>
      </c>
      <c r="F1106" s="73"/>
      <c r="G1106" s="48"/>
      <c r="H1106" s="87"/>
    </row>
    <row r="1107" spans="2:27" ht="23.25" x14ac:dyDescent="0.25">
      <c r="B1107" s="49"/>
      <c r="C1107" s="49"/>
      <c r="D1107" s="49"/>
      <c r="E1107" s="74"/>
      <c r="F1107" s="49"/>
      <c r="G1107" s="48"/>
      <c r="H1107" s="87"/>
    </row>
    <row r="1108" spans="2:27" ht="25.5" x14ac:dyDescent="0.35">
      <c r="B1108" s="58"/>
      <c r="C1108" s="75" t="s">
        <v>519</v>
      </c>
      <c r="D1108" s="307">
        <f>E1106*D1083</f>
        <v>59344.566400000025</v>
      </c>
      <c r="E1108" s="307"/>
      <c r="F1108" s="49"/>
      <c r="G1108" s="48"/>
      <c r="H1108" s="87"/>
    </row>
    <row r="1109" spans="2:27" ht="18.75" x14ac:dyDescent="0.3">
      <c r="B1109" s="49"/>
      <c r="C1109" s="76" t="s">
        <v>520</v>
      </c>
      <c r="D1109" s="308">
        <f>D1108/D1082</f>
        <v>64.263277673099026</v>
      </c>
      <c r="E1109" s="308"/>
      <c r="F1109" s="49"/>
      <c r="G1109" s="49"/>
      <c r="H1109" s="94"/>
    </row>
    <row r="1112" spans="2:27" ht="60.75" x14ac:dyDescent="0.8">
      <c r="B1112" s="330" t="str">
        <f>CONCATENATE("ЛОТ № ",K1115)</f>
        <v>ЛОТ № 31</v>
      </c>
      <c r="C1112" s="330"/>
      <c r="D1112" s="330"/>
      <c r="E1112" s="330"/>
      <c r="F1112" s="330"/>
      <c r="G1112" s="330"/>
      <c r="H1112" s="330"/>
    </row>
    <row r="1113" spans="2:27" ht="18.75" x14ac:dyDescent="0.25">
      <c r="B1113" s="331" t="s">
        <v>492</v>
      </c>
      <c r="C1113" s="331"/>
      <c r="D1113" s="331"/>
      <c r="E1113" s="331"/>
      <c r="F1113" s="331"/>
      <c r="G1113" s="331"/>
      <c r="H1113" s="87"/>
    </row>
    <row r="1114" spans="2:27" ht="25.5" x14ac:dyDescent="0.25">
      <c r="B1114" s="49"/>
      <c r="C1114" s="59" t="s">
        <v>493</v>
      </c>
      <c r="D1114" s="60"/>
      <c r="E1114" s="49"/>
      <c r="F1114" s="49"/>
      <c r="G1114" s="48"/>
      <c r="H1114" s="87"/>
      <c r="I1114" s="88"/>
      <c r="J1114" s="88"/>
      <c r="K1114" s="88"/>
      <c r="L1114" s="88" t="s">
        <v>454</v>
      </c>
      <c r="M1114" s="88" t="s">
        <v>444</v>
      </c>
      <c r="N1114" s="88" t="s">
        <v>445</v>
      </c>
      <c r="O1114" s="88" t="s">
        <v>453</v>
      </c>
      <c r="P1114" s="89" t="s">
        <v>446</v>
      </c>
      <c r="Q1114" s="88" t="s">
        <v>435</v>
      </c>
      <c r="R1114" s="40" t="s">
        <v>447</v>
      </c>
      <c r="S1114" s="40" t="s">
        <v>522</v>
      </c>
      <c r="T1114" s="88" t="s">
        <v>118</v>
      </c>
      <c r="U1114" s="88" t="s">
        <v>500</v>
      </c>
      <c r="V1114" s="88" t="s">
        <v>450</v>
      </c>
      <c r="W1114" s="40" t="s">
        <v>448</v>
      </c>
      <c r="X1114" s="40" t="s">
        <v>449</v>
      </c>
      <c r="Y1114" s="88" t="s">
        <v>523</v>
      </c>
      <c r="Z1114" s="88"/>
    </row>
    <row r="1115" spans="2:27" ht="19.5" x14ac:dyDescent="0.25">
      <c r="B1115" s="50"/>
      <c r="C1115" s="332" t="s">
        <v>494</v>
      </c>
      <c r="D1115" s="335" t="s">
        <v>521</v>
      </c>
      <c r="E1115" s="336"/>
      <c r="F1115" s="336"/>
      <c r="G1115" s="337"/>
      <c r="H1115" s="90"/>
      <c r="I1115" s="88" t="s">
        <v>443</v>
      </c>
      <c r="J1115" s="88"/>
      <c r="K1115" s="43">
        <f>IF(I1115="","",COUNTA(I$5:I1115))</f>
        <v>31</v>
      </c>
      <c r="L1115" s="95" t="str">
        <f>INDEX('Ведомость расчета мин. платы'!$B$10:$T$209,MATCH(ЛОТЫ!$K1115,'Ведомость расчета мин. платы'!$B$10:$B$209,0),2)</f>
        <v>Тимерликовское</v>
      </c>
      <c r="M1115" s="95">
        <f>INDEX('Ведомость расчета мин. платы'!$B$10:$T$209,MATCH(ЛОТЫ!$K1115,'Ведомость расчета мин. платы'!$B$10:$B$209,0),3)</f>
        <v>11</v>
      </c>
      <c r="N1115" s="95">
        <f>INDEX('Ведомость расчета мин. платы'!$B$10:$T$209,MATCH(ЛОТЫ!$K1115,'Ведомость расчета мин. платы'!$B$10:$B$209,0),4)</f>
        <v>3</v>
      </c>
      <c r="O1115" s="95">
        <f>INDEX('Ведомость расчета мин. платы'!$B$10:$T$209,MATCH(ЛОТЫ!$K1115,'Ведомость расчета мин. платы'!$B$10:$B$209,0),5)</f>
        <v>1</v>
      </c>
      <c r="P1115" s="89">
        <f>IFERROR(INDEX(Коэффициенты!$G$4:$O$106,MATCH(CONCATENATE($L1115,"/",$M1115,"/",$N1115,"/",$O1115),Коэффициенты!$O$4:$O$106,0),1),"")</f>
        <v>4.3</v>
      </c>
      <c r="Q1115" s="40">
        <f>IFERROR(INDEX(Коэффициенты!$G$4:$O$106,MATCH(CONCATENATE($L1115,"/",$M1115,"/",$N1115,"/",$O1115),Коэффициенты!$O$4:$O$106,0),6),"")</f>
        <v>815.1</v>
      </c>
      <c r="R1115" s="40">
        <f>IFERROR(INDEX(Коэффициенты!$G$4:$O$106,MATCH(CONCATENATE($L1115,"/",$M1115,"/",$N1115,"/",$O1115),Коэффициенты!$O$4:$O$106,0),2),"")</f>
        <v>16378.64</v>
      </c>
      <c r="S1115" s="43" t="str">
        <f>IFERROR(INDEX('Такс. опис.'!$A$5:$BW$50,MATCH(CONCATENATE($L1115,"/",$M1115,"/",$N1115),'Такс. опис.'!$C$5:$C$50,0),26),"")</f>
        <v>8ОС2Б</v>
      </c>
      <c r="T1115" s="43" t="str">
        <f>IFERROR(INDEX('Такс. опис.'!$A$5:$BW$50,MATCH(CONCATENATE($L1115,"/",$M1115,"/",$N1115),'Такс. опис.'!$C$5:$C$50,0),47),"")</f>
        <v>Осина</v>
      </c>
      <c r="U1115" s="43">
        <f>IFERROR(INDEX('Такс. опис.'!$A$5:$BW$50,MATCH(CONCATENATE($L1115,"/",$M1115,"/",$N1115),'Такс. опис.'!$C$5:$C$50,0),49),"")</f>
        <v>55</v>
      </c>
      <c r="V1115" s="103">
        <f>IFERROR(INDEX('Ведомость расчета мин. платы'!$AC$10:$AD$214,MATCH(CONCATENATE($L1115,"/",$M1115,"/",$N1115,"/",$O1115),'Ведомость расчета мин. платы'!$AC$10:$AC$214,0),2),"")</f>
        <v>1.06</v>
      </c>
      <c r="W1115" s="40">
        <f>E1143</f>
        <v>1.9000000000000004</v>
      </c>
      <c r="X1115" s="40">
        <f>D1145</f>
        <v>31119.416000000005</v>
      </c>
      <c r="Y1115" s="91">
        <f>D1146</f>
        <v>38.178648018648026</v>
      </c>
      <c r="Z1115" s="88"/>
      <c r="AA1115" s="86">
        <f t="shared" ref="AA1115" si="49">IF(M1115&gt;0,1,0)</f>
        <v>1</v>
      </c>
    </row>
    <row r="1116" spans="2:27" ht="19.5" x14ac:dyDescent="0.25">
      <c r="B1116" s="50"/>
      <c r="C1116" s="333"/>
      <c r="D1116" s="338" t="str">
        <f>CONCATENATE(L1115, " участковое лесничество")</f>
        <v>Тимерликовское участковое лесничество</v>
      </c>
      <c r="E1116" s="338"/>
      <c r="F1116" s="338"/>
      <c r="G1116" s="338"/>
      <c r="H1116" s="90"/>
      <c r="I1116" s="88"/>
      <c r="J1116" s="88">
        <f>IFERROR(IF(ISBLANK(K1115),"",K1115),"")</f>
        <v>31</v>
      </c>
      <c r="K1116" s="88"/>
      <c r="L1116" s="88"/>
      <c r="M1116" s="88"/>
      <c r="N1116" s="88"/>
      <c r="O1116" s="88"/>
      <c r="P1116" s="88"/>
      <c r="Q1116" s="88"/>
      <c r="R1116" s="88"/>
      <c r="S1116" s="88"/>
      <c r="T1116" s="88"/>
      <c r="U1116" s="88"/>
      <c r="V1116" s="88"/>
      <c r="W1116" s="88"/>
      <c r="X1116" s="88"/>
      <c r="Y1116" s="88"/>
      <c r="Z1116" s="88"/>
    </row>
    <row r="1117" spans="2:27" ht="19.5" x14ac:dyDescent="0.25">
      <c r="B1117" s="50"/>
      <c r="C1117" s="334"/>
      <c r="D1117" s="338" t="str">
        <f>CONCATENATE("кв. ",M1115," ","выд."," ",N1115," ","делянка", " ",O1115)</f>
        <v>кв. 11 выд. 3 делянка 1</v>
      </c>
      <c r="E1117" s="338"/>
      <c r="F1117" s="338"/>
      <c r="G1117" s="338"/>
      <c r="H1117" s="90"/>
      <c r="I1117" s="88"/>
      <c r="J1117" s="88"/>
      <c r="K1117" s="88"/>
      <c r="L1117" s="88"/>
      <c r="M1117" s="88"/>
      <c r="N1117" s="88"/>
      <c r="O1117" s="88"/>
      <c r="P1117" s="88"/>
      <c r="Q1117" s="88"/>
      <c r="R1117" s="88"/>
      <c r="S1117" s="88"/>
      <c r="T1117" s="88"/>
      <c r="U1117" s="88"/>
      <c r="V1117" s="88"/>
      <c r="W1117" s="88"/>
      <c r="X1117" s="88"/>
      <c r="Y1117" s="88"/>
      <c r="Z1117" s="88"/>
    </row>
    <row r="1118" spans="2:27" ht="23.25" x14ac:dyDescent="0.25">
      <c r="B1118" s="49"/>
      <c r="C1118" s="61" t="s">
        <v>495</v>
      </c>
      <c r="D1118" s="51">
        <f>P1115</f>
        <v>4.3</v>
      </c>
      <c r="E1118" s="62"/>
      <c r="F1118" s="50"/>
      <c r="G1118" s="48"/>
      <c r="H1118" s="87"/>
    </row>
    <row r="1119" spans="2:27" ht="22.5" x14ac:dyDescent="0.25">
      <c r="B1119" s="49"/>
      <c r="C1119" s="63" t="s">
        <v>496</v>
      </c>
      <c r="D1119" s="106">
        <f>Q1115</f>
        <v>815.1</v>
      </c>
      <c r="E1119" s="309" t="s">
        <v>497</v>
      </c>
      <c r="F1119" s="310"/>
      <c r="G1119" s="313">
        <f>D1120/D1119</f>
        <v>20.09402527297264</v>
      </c>
      <c r="H1119" s="87"/>
    </row>
    <row r="1120" spans="2:27" ht="22.5" x14ac:dyDescent="0.25">
      <c r="B1120" s="49"/>
      <c r="C1120" s="63" t="s">
        <v>498</v>
      </c>
      <c r="D1120" s="52">
        <f>R1115</f>
        <v>16378.64</v>
      </c>
      <c r="E1120" s="311"/>
      <c r="F1120" s="312"/>
      <c r="G1120" s="314"/>
      <c r="H1120" s="87"/>
    </row>
    <row r="1121" spans="2:8" ht="23.25" x14ac:dyDescent="0.25">
      <c r="B1121" s="49"/>
      <c r="C1121" s="64"/>
      <c r="D1121" s="53"/>
      <c r="E1121" s="65"/>
      <c r="F1121" s="49"/>
      <c r="G1121" s="48"/>
      <c r="H1121" s="87"/>
    </row>
    <row r="1122" spans="2:8" ht="23.25" x14ac:dyDescent="0.25">
      <c r="B1122" s="49"/>
      <c r="C1122" s="82" t="s">
        <v>499</v>
      </c>
      <c r="D1122" s="96" t="str">
        <f>S1115</f>
        <v>8ОС2Б</v>
      </c>
      <c r="E1122" s="49"/>
      <c r="F1122" s="49"/>
      <c r="G1122" s="48"/>
      <c r="H1122" s="87"/>
    </row>
    <row r="1123" spans="2:8" ht="23.25" x14ac:dyDescent="0.25">
      <c r="B1123" s="49"/>
      <c r="C1123" s="82" t="s">
        <v>500</v>
      </c>
      <c r="D1123" s="96">
        <f>U1115</f>
        <v>55</v>
      </c>
      <c r="E1123" s="49"/>
      <c r="F1123" s="49"/>
      <c r="G1123" s="48"/>
      <c r="H1123" s="87"/>
    </row>
    <row r="1124" spans="2:8" ht="23.25" x14ac:dyDescent="0.25">
      <c r="B1124" s="49"/>
      <c r="C1124" s="82" t="s">
        <v>501</v>
      </c>
      <c r="D1124" s="83" t="s">
        <v>502</v>
      </c>
      <c r="E1124" s="49"/>
      <c r="F1124" s="49"/>
      <c r="G1124" s="48"/>
      <c r="H1124" s="87"/>
    </row>
    <row r="1125" spans="2:8" ht="24" thickBot="1" x14ac:dyDescent="0.3">
      <c r="B1125" s="49"/>
      <c r="C1125" s="49"/>
      <c r="D1125" s="49"/>
      <c r="E1125" s="49"/>
      <c r="F1125" s="49"/>
      <c r="G1125" s="48"/>
      <c r="H1125" s="87"/>
    </row>
    <row r="1126" spans="2:8" ht="48" thickBot="1" x14ac:dyDescent="0.3">
      <c r="B1126" s="315" t="s">
        <v>436</v>
      </c>
      <c r="C1126" s="316"/>
      <c r="D1126" s="54" t="s">
        <v>503</v>
      </c>
      <c r="E1126" s="317" t="s">
        <v>504</v>
      </c>
      <c r="F1126" s="318"/>
      <c r="G1126" s="55" t="s">
        <v>505</v>
      </c>
      <c r="H1126" s="87"/>
    </row>
    <row r="1127" spans="2:8" ht="24" thickBot="1" x14ac:dyDescent="0.3">
      <c r="B1127" s="319" t="s">
        <v>506</v>
      </c>
      <c r="C1127" s="320"/>
      <c r="D1127" s="136">
        <v>197.93</v>
      </c>
      <c r="E1127" s="136">
        <f>D1118</f>
        <v>4.3</v>
      </c>
      <c r="F1127" s="77" t="s">
        <v>434</v>
      </c>
      <c r="G1127" s="142">
        <f t="shared" ref="G1127:G1134" si="50">D1127*E1127</f>
        <v>851.09900000000005</v>
      </c>
      <c r="H1127" s="321"/>
    </row>
    <row r="1128" spans="2:8" ht="23.25" x14ac:dyDescent="0.25">
      <c r="B1128" s="322" t="s">
        <v>507</v>
      </c>
      <c r="C1128" s="323"/>
      <c r="D1128" s="137">
        <v>159.44</v>
      </c>
      <c r="E1128" s="137">
        <f>V1115</f>
        <v>1.06</v>
      </c>
      <c r="F1128" s="78" t="s">
        <v>437</v>
      </c>
      <c r="G1128" s="143">
        <f t="shared" si="50"/>
        <v>169.00640000000001</v>
      </c>
      <c r="H1128" s="321"/>
    </row>
    <row r="1129" spans="2:8" ht="24" thickBot="1" x14ac:dyDescent="0.3">
      <c r="B1129" s="324" t="s">
        <v>508</v>
      </c>
      <c r="C1129" s="325"/>
      <c r="D1129" s="138">
        <v>276.62</v>
      </c>
      <c r="E1129" s="138">
        <f>V1115</f>
        <v>1.06</v>
      </c>
      <c r="F1129" s="79" t="s">
        <v>437</v>
      </c>
      <c r="G1129" s="144">
        <f t="shared" si="50"/>
        <v>293.21719999999999</v>
      </c>
      <c r="H1129" s="321"/>
    </row>
    <row r="1130" spans="2:8" ht="24" thickBot="1" x14ac:dyDescent="0.3">
      <c r="B1130" s="326" t="s">
        <v>438</v>
      </c>
      <c r="C1130" s="327"/>
      <c r="D1130" s="139">
        <v>519</v>
      </c>
      <c r="E1130" s="139"/>
      <c r="F1130" s="80" t="s">
        <v>434</v>
      </c>
      <c r="G1130" s="145">
        <f t="shared" si="50"/>
        <v>0</v>
      </c>
      <c r="H1130" s="321"/>
    </row>
    <row r="1131" spans="2:8" ht="23.25" x14ac:dyDescent="0.25">
      <c r="B1131" s="322" t="s">
        <v>509</v>
      </c>
      <c r="C1131" s="323"/>
      <c r="D1131" s="137">
        <v>920</v>
      </c>
      <c r="E1131" s="137">
        <f>D1118*2</f>
        <v>8.6</v>
      </c>
      <c r="F1131" s="78" t="s">
        <v>434</v>
      </c>
      <c r="G1131" s="143">
        <f t="shared" si="50"/>
        <v>7912</v>
      </c>
      <c r="H1131" s="321"/>
    </row>
    <row r="1132" spans="2:8" ht="23.25" x14ac:dyDescent="0.25">
      <c r="B1132" s="328" t="s">
        <v>510</v>
      </c>
      <c r="C1132" s="329"/>
      <c r="D1132" s="140">
        <v>1300</v>
      </c>
      <c r="E1132" s="140">
        <f>IF(T1115="Осина",D1118,"0")</f>
        <v>4.3</v>
      </c>
      <c r="F1132" s="81" t="s">
        <v>434</v>
      </c>
      <c r="G1132" s="146">
        <f t="shared" si="50"/>
        <v>5590</v>
      </c>
      <c r="H1132" s="321"/>
    </row>
    <row r="1133" spans="2:8" ht="23.25" x14ac:dyDescent="0.25">
      <c r="B1133" s="328" t="s">
        <v>439</v>
      </c>
      <c r="C1133" s="329"/>
      <c r="D1133" s="141">
        <v>5165.12</v>
      </c>
      <c r="E1133" s="140" t="str">
        <f>IF(T1115="Осина","0",D1118)</f>
        <v>0</v>
      </c>
      <c r="F1133" s="81" t="s">
        <v>434</v>
      </c>
      <c r="G1133" s="146">
        <f t="shared" si="50"/>
        <v>0</v>
      </c>
      <c r="H1133" s="321"/>
    </row>
    <row r="1134" spans="2:8" ht="23.25" x14ac:dyDescent="0.25">
      <c r="B1134" s="328" t="s">
        <v>511</v>
      </c>
      <c r="C1134" s="329"/>
      <c r="D1134" s="141">
        <v>917</v>
      </c>
      <c r="E1134" s="140" t="str">
        <f>IF(T1115="Осина","0",D1118)</f>
        <v>0</v>
      </c>
      <c r="F1134" s="81" t="s">
        <v>434</v>
      </c>
      <c r="G1134" s="146">
        <f t="shared" si="50"/>
        <v>0</v>
      </c>
      <c r="H1134" s="321"/>
    </row>
    <row r="1135" spans="2:8" ht="23.25" x14ac:dyDescent="0.25">
      <c r="B1135" s="328" t="s">
        <v>441</v>
      </c>
      <c r="C1135" s="329"/>
      <c r="D1135" s="141">
        <v>461.56000000000006</v>
      </c>
      <c r="E1135" s="140" t="str">
        <f>IF(T1115="Осина","0",D1118)</f>
        <v>0</v>
      </c>
      <c r="F1135" s="81" t="s">
        <v>434</v>
      </c>
      <c r="G1135" s="146">
        <f>D1135*E1135</f>
        <v>0</v>
      </c>
      <c r="H1135" s="321"/>
    </row>
    <row r="1136" spans="2:8" ht="24" thickBot="1" x14ac:dyDescent="0.3">
      <c r="B1136" s="324" t="s">
        <v>440</v>
      </c>
      <c r="C1136" s="325"/>
      <c r="D1136" s="138">
        <v>353.15</v>
      </c>
      <c r="E1136" s="140" t="str">
        <f>IF(T1115="Осина","0",D1118*4)</f>
        <v>0</v>
      </c>
      <c r="F1136" s="79" t="s">
        <v>434</v>
      </c>
      <c r="G1136" s="147">
        <f>D1136*E1136</f>
        <v>0</v>
      </c>
      <c r="H1136" s="321"/>
    </row>
    <row r="1137" spans="2:27" ht="23.25" x14ac:dyDescent="0.25">
      <c r="B1137" s="49"/>
      <c r="C1137" s="66"/>
      <c r="D1137" s="66"/>
      <c r="E1137" s="56"/>
      <c r="F1137" s="56"/>
      <c r="G1137" s="48"/>
      <c r="H1137" s="92"/>
    </row>
    <row r="1138" spans="2:27" ht="25.5" x14ac:dyDescent="0.25">
      <c r="B1138" s="49"/>
      <c r="C1138" s="59" t="s">
        <v>512</v>
      </c>
      <c r="D1138" s="60"/>
      <c r="E1138" s="49"/>
      <c r="F1138" s="49"/>
      <c r="G1138" s="48"/>
      <c r="H1138" s="87"/>
    </row>
    <row r="1139" spans="2:27" ht="18.75" x14ac:dyDescent="0.25">
      <c r="B1139" s="49"/>
      <c r="C1139" s="306" t="s">
        <v>513</v>
      </c>
      <c r="D1139" s="107" t="s">
        <v>514</v>
      </c>
      <c r="E1139" s="68">
        <f>ROUND((G1127+D1120)/D1120,2)</f>
        <v>1.05</v>
      </c>
      <c r="F1139" s="68"/>
      <c r="G1139" s="50"/>
      <c r="H1139" s="87"/>
    </row>
    <row r="1140" spans="2:27" ht="23.25" x14ac:dyDescent="0.25">
      <c r="B1140" s="49"/>
      <c r="C1140" s="306"/>
      <c r="D1140" s="107" t="s">
        <v>515</v>
      </c>
      <c r="E1140" s="68">
        <f>ROUND((G1128+G1129+D1120)/D1120,2)</f>
        <v>1.03</v>
      </c>
      <c r="F1140" s="68"/>
      <c r="G1140" s="57"/>
      <c r="H1140" s="93"/>
    </row>
    <row r="1141" spans="2:27" ht="23.25" x14ac:dyDescent="0.25">
      <c r="B1141" s="49"/>
      <c r="C1141" s="306"/>
      <c r="D1141" s="107" t="s">
        <v>516</v>
      </c>
      <c r="E1141" s="68">
        <f>ROUND((G1130+D1120)/D1120,2)</f>
        <v>1</v>
      </c>
      <c r="F1141" s="50"/>
      <c r="G1141" s="57"/>
      <c r="H1141" s="87"/>
    </row>
    <row r="1142" spans="2:27" ht="23.25" x14ac:dyDescent="0.25">
      <c r="B1142" s="49"/>
      <c r="C1142" s="306"/>
      <c r="D1142" s="69" t="s">
        <v>517</v>
      </c>
      <c r="E1142" s="70">
        <f>ROUND((SUM(G1131:G1136)+D1120)/D1120,2)</f>
        <v>1.82</v>
      </c>
      <c r="F1142" s="50"/>
      <c r="G1142" s="57"/>
      <c r="H1142" s="87"/>
    </row>
    <row r="1143" spans="2:27" ht="25.5" x14ac:dyDescent="0.25">
      <c r="B1143" s="49"/>
      <c r="C1143" s="49"/>
      <c r="D1143" s="71" t="s">
        <v>518</v>
      </c>
      <c r="E1143" s="72">
        <f>SUM(E1139:E1142)-IF(D1124="сплошная",3,2)</f>
        <v>1.9000000000000004</v>
      </c>
      <c r="F1143" s="73"/>
      <c r="G1143" s="48"/>
      <c r="H1143" s="87"/>
    </row>
    <row r="1144" spans="2:27" ht="23.25" x14ac:dyDescent="0.25">
      <c r="B1144" s="49"/>
      <c r="C1144" s="49"/>
      <c r="D1144" s="49"/>
      <c r="E1144" s="74"/>
      <c r="F1144" s="49"/>
      <c r="G1144" s="48"/>
      <c r="H1144" s="87"/>
    </row>
    <row r="1145" spans="2:27" ht="25.5" x14ac:dyDescent="0.35">
      <c r="B1145" s="58"/>
      <c r="C1145" s="75" t="s">
        <v>519</v>
      </c>
      <c r="D1145" s="307">
        <f>E1143*D1120</f>
        <v>31119.416000000005</v>
      </c>
      <c r="E1145" s="307"/>
      <c r="F1145" s="49"/>
      <c r="G1145" s="48"/>
      <c r="H1145" s="87"/>
    </row>
    <row r="1146" spans="2:27" ht="18.75" x14ac:dyDescent="0.3">
      <c r="B1146" s="49"/>
      <c r="C1146" s="76" t="s">
        <v>520</v>
      </c>
      <c r="D1146" s="308">
        <f>D1145/D1119</f>
        <v>38.178648018648026</v>
      </c>
      <c r="E1146" s="308"/>
      <c r="F1146" s="49"/>
      <c r="G1146" s="49"/>
      <c r="H1146" s="94"/>
    </row>
    <row r="1149" spans="2:27" ht="60.75" x14ac:dyDescent="0.8">
      <c r="B1149" s="330" t="str">
        <f>CONCATENATE("ЛОТ № ",K1152)</f>
        <v>ЛОТ № 32</v>
      </c>
      <c r="C1149" s="330"/>
      <c r="D1149" s="330"/>
      <c r="E1149" s="330"/>
      <c r="F1149" s="330"/>
      <c r="G1149" s="330"/>
      <c r="H1149" s="330"/>
    </row>
    <row r="1150" spans="2:27" ht="18.75" x14ac:dyDescent="0.25">
      <c r="B1150" s="331" t="s">
        <v>492</v>
      </c>
      <c r="C1150" s="331"/>
      <c r="D1150" s="331"/>
      <c r="E1150" s="331"/>
      <c r="F1150" s="331"/>
      <c r="G1150" s="331"/>
      <c r="H1150" s="87"/>
    </row>
    <row r="1151" spans="2:27" ht="25.5" x14ac:dyDescent="0.25">
      <c r="B1151" s="49"/>
      <c r="C1151" s="59" t="s">
        <v>493</v>
      </c>
      <c r="D1151" s="60"/>
      <c r="E1151" s="49"/>
      <c r="F1151" s="49"/>
      <c r="G1151" s="48"/>
      <c r="H1151" s="87"/>
      <c r="I1151" s="88"/>
      <c r="J1151" s="88"/>
      <c r="K1151" s="88"/>
      <c r="L1151" s="88" t="s">
        <v>454</v>
      </c>
      <c r="M1151" s="88" t="s">
        <v>444</v>
      </c>
      <c r="N1151" s="88" t="s">
        <v>445</v>
      </c>
      <c r="O1151" s="88" t="s">
        <v>453</v>
      </c>
      <c r="P1151" s="89" t="s">
        <v>446</v>
      </c>
      <c r="Q1151" s="88" t="s">
        <v>435</v>
      </c>
      <c r="R1151" s="40" t="s">
        <v>447</v>
      </c>
      <c r="S1151" s="40" t="s">
        <v>522</v>
      </c>
      <c r="T1151" s="88" t="s">
        <v>118</v>
      </c>
      <c r="U1151" s="88" t="s">
        <v>500</v>
      </c>
      <c r="V1151" s="88" t="s">
        <v>450</v>
      </c>
      <c r="W1151" s="40" t="s">
        <v>448</v>
      </c>
      <c r="X1151" s="40" t="s">
        <v>449</v>
      </c>
      <c r="Y1151" s="88" t="s">
        <v>523</v>
      </c>
      <c r="Z1151" s="88"/>
    </row>
    <row r="1152" spans="2:27" ht="19.5" x14ac:dyDescent="0.25">
      <c r="B1152" s="50"/>
      <c r="C1152" s="332" t="s">
        <v>494</v>
      </c>
      <c r="D1152" s="335" t="s">
        <v>521</v>
      </c>
      <c r="E1152" s="336"/>
      <c r="F1152" s="336"/>
      <c r="G1152" s="337"/>
      <c r="H1152" s="90"/>
      <c r="I1152" s="88" t="s">
        <v>443</v>
      </c>
      <c r="J1152" s="88"/>
      <c r="K1152" s="43">
        <f>IF(I1152="","",COUNTA(I$5:I1152))</f>
        <v>32</v>
      </c>
      <c r="L1152" s="95" t="str">
        <f>INDEX('Ведомость расчета мин. платы'!$B$10:$T$209,MATCH(ЛОТЫ!$K1152,'Ведомость расчета мин. платы'!$B$10:$B$209,0),2)</f>
        <v>Тимерликовское</v>
      </c>
      <c r="M1152" s="95">
        <f>INDEX('Ведомость расчета мин. платы'!$B$10:$T$209,MATCH(ЛОТЫ!$K1152,'Ведомость расчета мин. платы'!$B$10:$B$209,0),3)</f>
        <v>11</v>
      </c>
      <c r="N1152" s="95">
        <f>INDEX('Ведомость расчета мин. платы'!$B$10:$T$209,MATCH(ЛОТЫ!$K1152,'Ведомость расчета мин. платы'!$B$10:$B$209,0),4)</f>
        <v>5</v>
      </c>
      <c r="O1152" s="95">
        <f>INDEX('Ведомость расчета мин. платы'!$B$10:$T$209,MATCH(ЛОТЫ!$K1152,'Ведомость расчета мин. платы'!$B$10:$B$209,0),5)</f>
        <v>2</v>
      </c>
      <c r="P1152" s="89">
        <f>IFERROR(INDEX(Коэффициенты!$G$4:$O$106,MATCH(CONCATENATE($L1152,"/",$M1152,"/",$N1152,"/",$O1152),Коэффициенты!$O$4:$O$106,0),1),"")</f>
        <v>4.5</v>
      </c>
      <c r="Q1152" s="40">
        <f>IFERROR(INDEX(Коэффициенты!$G$4:$O$106,MATCH(CONCATENATE($L1152,"/",$M1152,"/",$N1152,"/",$O1152),Коэффициенты!$O$4:$O$106,0),6),"")</f>
        <v>749.44</v>
      </c>
      <c r="R1152" s="40">
        <f>IFERROR(INDEX(Коэффициенты!$G$4:$O$106,MATCH(CONCATENATE($L1152,"/",$M1152,"/",$N1152,"/",$O1152),Коэффициенты!$O$4:$O$106,0),2),"")</f>
        <v>15244.809999999998</v>
      </c>
      <c r="S1152" s="43" t="str">
        <f>IFERROR(INDEX('Такс. опис.'!$A$5:$BW$50,MATCH(CONCATENATE($L1152,"/",$M1152,"/",$N1152),'Такс. опис.'!$C$5:$C$50,0),26),"")</f>
        <v>7ОС2Б1ЛП</v>
      </c>
      <c r="T1152" s="43" t="str">
        <f>IFERROR(INDEX('Такс. опис.'!$A$5:$BW$50,MATCH(CONCATENATE($L1152,"/",$M1152,"/",$N1152),'Такс. опис.'!$C$5:$C$50,0),47),"")</f>
        <v>Осина</v>
      </c>
      <c r="U1152" s="43">
        <f>IFERROR(INDEX('Такс. опис.'!$A$5:$BW$50,MATCH(CONCATENATE($L1152,"/",$M1152,"/",$N1152),'Такс. опис.'!$C$5:$C$50,0),49),"")</f>
        <v>65</v>
      </c>
      <c r="V1152" s="103">
        <f>IFERROR(INDEX('Ведомость расчета мин. платы'!$AC$10:$AD$214,MATCH(CONCATENATE($L1152,"/",$M1152,"/",$N1152,"/",$O1152),'Ведомость расчета мин. платы'!$AC$10:$AC$214,0),2),"")</f>
        <v>1.1000000000000001</v>
      </c>
      <c r="W1152" s="40">
        <f>E1180</f>
        <v>2.0199999999999996</v>
      </c>
      <c r="X1152" s="40">
        <f>D1182</f>
        <v>30794.516199999987</v>
      </c>
      <c r="Y1152" s="91">
        <f>D1183</f>
        <v>41.090035493168209</v>
      </c>
      <c r="Z1152" s="88"/>
      <c r="AA1152" s="86">
        <f t="shared" ref="AA1152" si="51">IF(M1152&gt;0,1,0)</f>
        <v>1</v>
      </c>
    </row>
    <row r="1153" spans="2:26" ht="19.5" x14ac:dyDescent="0.25">
      <c r="B1153" s="50"/>
      <c r="C1153" s="333"/>
      <c r="D1153" s="338" t="str">
        <f>CONCATENATE(L1152, " участковое лесничество")</f>
        <v>Тимерликовское участковое лесничество</v>
      </c>
      <c r="E1153" s="338"/>
      <c r="F1153" s="338"/>
      <c r="G1153" s="338"/>
      <c r="H1153" s="90"/>
      <c r="I1153" s="88"/>
      <c r="J1153" s="88">
        <f>IFERROR(IF(ISBLANK(K1152),"",K1152),"")</f>
        <v>32</v>
      </c>
      <c r="K1153" s="88"/>
      <c r="L1153" s="88"/>
      <c r="M1153" s="88"/>
      <c r="N1153" s="88"/>
      <c r="O1153" s="88"/>
      <c r="P1153" s="88"/>
      <c r="Q1153" s="88"/>
      <c r="R1153" s="88"/>
      <c r="S1153" s="88"/>
      <c r="T1153" s="88"/>
      <c r="U1153" s="88"/>
      <c r="V1153" s="88"/>
      <c r="W1153" s="88"/>
      <c r="X1153" s="88"/>
      <c r="Y1153" s="88"/>
      <c r="Z1153" s="88"/>
    </row>
    <row r="1154" spans="2:26" ht="19.5" x14ac:dyDescent="0.25">
      <c r="B1154" s="50"/>
      <c r="C1154" s="334"/>
      <c r="D1154" s="338" t="str">
        <f>CONCATENATE("кв. ",M1152," ","выд."," ",N1152," ","делянка", " ",O1152)</f>
        <v>кв. 11 выд. 5 делянка 2</v>
      </c>
      <c r="E1154" s="338"/>
      <c r="F1154" s="338"/>
      <c r="G1154" s="338"/>
      <c r="H1154" s="90"/>
      <c r="I1154" s="88"/>
      <c r="J1154" s="88"/>
      <c r="K1154" s="88"/>
      <c r="L1154" s="88"/>
      <c r="M1154" s="88"/>
      <c r="N1154" s="88"/>
      <c r="O1154" s="88"/>
      <c r="P1154" s="88"/>
      <c r="Q1154" s="88"/>
      <c r="R1154" s="88"/>
      <c r="S1154" s="88"/>
      <c r="T1154" s="88"/>
      <c r="U1154" s="88"/>
      <c r="V1154" s="88"/>
      <c r="W1154" s="88"/>
      <c r="X1154" s="88"/>
      <c r="Y1154" s="88"/>
      <c r="Z1154" s="88"/>
    </row>
    <row r="1155" spans="2:26" ht="23.25" x14ac:dyDescent="0.25">
      <c r="B1155" s="49"/>
      <c r="C1155" s="61" t="s">
        <v>495</v>
      </c>
      <c r="D1155" s="51">
        <f>P1152</f>
        <v>4.5</v>
      </c>
      <c r="E1155" s="62"/>
      <c r="F1155" s="50"/>
      <c r="G1155" s="48"/>
      <c r="H1155" s="87"/>
    </row>
    <row r="1156" spans="2:26" ht="22.5" x14ac:dyDescent="0.25">
      <c r="B1156" s="49"/>
      <c r="C1156" s="63" t="s">
        <v>496</v>
      </c>
      <c r="D1156" s="106">
        <f>Q1152</f>
        <v>749.44</v>
      </c>
      <c r="E1156" s="309" t="s">
        <v>497</v>
      </c>
      <c r="F1156" s="310"/>
      <c r="G1156" s="313">
        <f>D1157/D1156</f>
        <v>20.341601729291199</v>
      </c>
      <c r="H1156" s="87"/>
    </row>
    <row r="1157" spans="2:26" ht="22.5" x14ac:dyDescent="0.25">
      <c r="B1157" s="49"/>
      <c r="C1157" s="63" t="s">
        <v>498</v>
      </c>
      <c r="D1157" s="52">
        <f>R1152</f>
        <v>15244.809999999998</v>
      </c>
      <c r="E1157" s="311"/>
      <c r="F1157" s="312"/>
      <c r="G1157" s="314"/>
      <c r="H1157" s="87"/>
    </row>
    <row r="1158" spans="2:26" ht="23.25" x14ac:dyDescent="0.25">
      <c r="B1158" s="49"/>
      <c r="C1158" s="64"/>
      <c r="D1158" s="53"/>
      <c r="E1158" s="65"/>
      <c r="F1158" s="49"/>
      <c r="G1158" s="48"/>
      <c r="H1158" s="87"/>
    </row>
    <row r="1159" spans="2:26" ht="23.25" x14ac:dyDescent="0.25">
      <c r="B1159" s="49"/>
      <c r="C1159" s="82" t="s">
        <v>499</v>
      </c>
      <c r="D1159" s="96" t="str">
        <f>S1152</f>
        <v>7ОС2Б1ЛП</v>
      </c>
      <c r="E1159" s="49"/>
      <c r="F1159" s="49"/>
      <c r="G1159" s="48"/>
      <c r="H1159" s="87"/>
    </row>
    <row r="1160" spans="2:26" ht="23.25" x14ac:dyDescent="0.25">
      <c r="B1160" s="49"/>
      <c r="C1160" s="82" t="s">
        <v>500</v>
      </c>
      <c r="D1160" s="96">
        <f>U1152</f>
        <v>65</v>
      </c>
      <c r="E1160" s="49"/>
      <c r="F1160" s="49"/>
      <c r="G1160" s="48"/>
      <c r="H1160" s="87"/>
    </row>
    <row r="1161" spans="2:26" ht="23.25" x14ac:dyDescent="0.25">
      <c r="B1161" s="49"/>
      <c r="C1161" s="82" t="s">
        <v>501</v>
      </c>
      <c r="D1161" s="83" t="s">
        <v>502</v>
      </c>
      <c r="E1161" s="49"/>
      <c r="F1161" s="49"/>
      <c r="G1161" s="48"/>
      <c r="H1161" s="87"/>
    </row>
    <row r="1162" spans="2:26" ht="24" thickBot="1" x14ac:dyDescent="0.3">
      <c r="B1162" s="49"/>
      <c r="C1162" s="49"/>
      <c r="D1162" s="49"/>
      <c r="E1162" s="49"/>
      <c r="F1162" s="49"/>
      <c r="G1162" s="48"/>
      <c r="H1162" s="87"/>
    </row>
    <row r="1163" spans="2:26" ht="48" thickBot="1" x14ac:dyDescent="0.3">
      <c r="B1163" s="315" t="s">
        <v>436</v>
      </c>
      <c r="C1163" s="316"/>
      <c r="D1163" s="54" t="s">
        <v>503</v>
      </c>
      <c r="E1163" s="317" t="s">
        <v>504</v>
      </c>
      <c r="F1163" s="318"/>
      <c r="G1163" s="55" t="s">
        <v>505</v>
      </c>
      <c r="H1163" s="87"/>
    </row>
    <row r="1164" spans="2:26" ht="24" thickBot="1" x14ac:dyDescent="0.3">
      <c r="B1164" s="319" t="s">
        <v>506</v>
      </c>
      <c r="C1164" s="320"/>
      <c r="D1164" s="136">
        <v>197.93</v>
      </c>
      <c r="E1164" s="136">
        <f>D1155</f>
        <v>4.5</v>
      </c>
      <c r="F1164" s="77" t="s">
        <v>434</v>
      </c>
      <c r="G1164" s="142">
        <f t="shared" ref="G1164:G1171" si="52">D1164*E1164</f>
        <v>890.68500000000006</v>
      </c>
      <c r="H1164" s="321"/>
    </row>
    <row r="1165" spans="2:26" ht="23.25" x14ac:dyDescent="0.25">
      <c r="B1165" s="322" t="s">
        <v>507</v>
      </c>
      <c r="C1165" s="323"/>
      <c r="D1165" s="137">
        <v>159.44</v>
      </c>
      <c r="E1165" s="137">
        <f>V1152</f>
        <v>1.1000000000000001</v>
      </c>
      <c r="F1165" s="78" t="s">
        <v>437</v>
      </c>
      <c r="G1165" s="143">
        <f t="shared" si="52"/>
        <v>175.38400000000001</v>
      </c>
      <c r="H1165" s="321"/>
    </row>
    <row r="1166" spans="2:26" ht="24" thickBot="1" x14ac:dyDescent="0.3">
      <c r="B1166" s="324" t="s">
        <v>508</v>
      </c>
      <c r="C1166" s="325"/>
      <c r="D1166" s="138">
        <v>276.62</v>
      </c>
      <c r="E1166" s="138">
        <f>V1152</f>
        <v>1.1000000000000001</v>
      </c>
      <c r="F1166" s="79" t="s">
        <v>437</v>
      </c>
      <c r="G1166" s="144">
        <f t="shared" si="52"/>
        <v>304.28200000000004</v>
      </c>
      <c r="H1166" s="321"/>
    </row>
    <row r="1167" spans="2:26" ht="24" thickBot="1" x14ac:dyDescent="0.3">
      <c r="B1167" s="326" t="s">
        <v>438</v>
      </c>
      <c r="C1167" s="327"/>
      <c r="D1167" s="139">
        <v>519</v>
      </c>
      <c r="E1167" s="139"/>
      <c r="F1167" s="80" t="s">
        <v>434</v>
      </c>
      <c r="G1167" s="145">
        <f t="shared" si="52"/>
        <v>0</v>
      </c>
      <c r="H1167" s="321"/>
    </row>
    <row r="1168" spans="2:26" ht="23.25" x14ac:dyDescent="0.25">
      <c r="B1168" s="322" t="s">
        <v>509</v>
      </c>
      <c r="C1168" s="323"/>
      <c r="D1168" s="137">
        <v>920</v>
      </c>
      <c r="E1168" s="137">
        <f>D1155*2</f>
        <v>9</v>
      </c>
      <c r="F1168" s="78" t="s">
        <v>434</v>
      </c>
      <c r="G1168" s="143">
        <f t="shared" si="52"/>
        <v>8280</v>
      </c>
      <c r="H1168" s="321"/>
    </row>
    <row r="1169" spans="2:8" ht="23.25" x14ac:dyDescent="0.25">
      <c r="B1169" s="328" t="s">
        <v>510</v>
      </c>
      <c r="C1169" s="329"/>
      <c r="D1169" s="140">
        <v>1300</v>
      </c>
      <c r="E1169" s="140">
        <f>IF(T1152="Осина",D1155,"0")</f>
        <v>4.5</v>
      </c>
      <c r="F1169" s="81" t="s">
        <v>434</v>
      </c>
      <c r="G1169" s="146">
        <f t="shared" si="52"/>
        <v>5850</v>
      </c>
      <c r="H1169" s="321"/>
    </row>
    <row r="1170" spans="2:8" ht="23.25" x14ac:dyDescent="0.25">
      <c r="B1170" s="328" t="s">
        <v>439</v>
      </c>
      <c r="C1170" s="329"/>
      <c r="D1170" s="141">
        <v>5165.12</v>
      </c>
      <c r="E1170" s="140" t="str">
        <f>IF(T1152="Осина","0",D1155)</f>
        <v>0</v>
      </c>
      <c r="F1170" s="81" t="s">
        <v>434</v>
      </c>
      <c r="G1170" s="146">
        <f t="shared" si="52"/>
        <v>0</v>
      </c>
      <c r="H1170" s="321"/>
    </row>
    <row r="1171" spans="2:8" ht="23.25" x14ac:dyDescent="0.25">
      <c r="B1171" s="328" t="s">
        <v>511</v>
      </c>
      <c r="C1171" s="329"/>
      <c r="D1171" s="141">
        <v>917</v>
      </c>
      <c r="E1171" s="140" t="str">
        <f>IF(T1152="Осина","0",D1155)</f>
        <v>0</v>
      </c>
      <c r="F1171" s="81" t="s">
        <v>434</v>
      </c>
      <c r="G1171" s="146">
        <f t="shared" si="52"/>
        <v>0</v>
      </c>
      <c r="H1171" s="321"/>
    </row>
    <row r="1172" spans="2:8" ht="23.25" x14ac:dyDescent="0.25">
      <c r="B1172" s="328" t="s">
        <v>441</v>
      </c>
      <c r="C1172" s="329"/>
      <c r="D1172" s="141">
        <v>461.56000000000006</v>
      </c>
      <c r="E1172" s="140" t="str">
        <f>IF(T1152="Осина","0",D1155)</f>
        <v>0</v>
      </c>
      <c r="F1172" s="81" t="s">
        <v>434</v>
      </c>
      <c r="G1172" s="146">
        <f>D1172*E1172</f>
        <v>0</v>
      </c>
      <c r="H1172" s="321"/>
    </row>
    <row r="1173" spans="2:8" ht="24" thickBot="1" x14ac:dyDescent="0.3">
      <c r="B1173" s="324" t="s">
        <v>440</v>
      </c>
      <c r="C1173" s="325"/>
      <c r="D1173" s="138">
        <v>353.15</v>
      </c>
      <c r="E1173" s="140" t="str">
        <f>IF(T1152="Осина","0",D1155*4)</f>
        <v>0</v>
      </c>
      <c r="F1173" s="79" t="s">
        <v>434</v>
      </c>
      <c r="G1173" s="147">
        <f>D1173*E1173</f>
        <v>0</v>
      </c>
      <c r="H1173" s="321"/>
    </row>
    <row r="1174" spans="2:8" ht="23.25" x14ac:dyDescent="0.25">
      <c r="B1174" s="49"/>
      <c r="C1174" s="66"/>
      <c r="D1174" s="66"/>
      <c r="E1174" s="56"/>
      <c r="F1174" s="56"/>
      <c r="G1174" s="48"/>
      <c r="H1174" s="92"/>
    </row>
    <row r="1175" spans="2:8" ht="25.5" x14ac:dyDescent="0.25">
      <c r="B1175" s="49"/>
      <c r="C1175" s="59" t="s">
        <v>512</v>
      </c>
      <c r="D1175" s="60"/>
      <c r="E1175" s="49"/>
      <c r="F1175" s="49"/>
      <c r="G1175" s="48"/>
      <c r="H1175" s="87"/>
    </row>
    <row r="1176" spans="2:8" ht="18.75" x14ac:dyDescent="0.25">
      <c r="B1176" s="49"/>
      <c r="C1176" s="306" t="s">
        <v>513</v>
      </c>
      <c r="D1176" s="107" t="s">
        <v>514</v>
      </c>
      <c r="E1176" s="68">
        <f>ROUND((G1164+D1157)/D1157,2)</f>
        <v>1.06</v>
      </c>
      <c r="F1176" s="68"/>
      <c r="G1176" s="50"/>
      <c r="H1176" s="87"/>
    </row>
    <row r="1177" spans="2:8" ht="23.25" x14ac:dyDescent="0.25">
      <c r="B1177" s="49"/>
      <c r="C1177" s="306"/>
      <c r="D1177" s="107" t="s">
        <v>515</v>
      </c>
      <c r="E1177" s="68">
        <f>ROUND((G1165+G1166+D1157)/D1157,2)</f>
        <v>1.03</v>
      </c>
      <c r="F1177" s="68"/>
      <c r="G1177" s="57"/>
      <c r="H1177" s="93"/>
    </row>
    <row r="1178" spans="2:8" ht="23.25" x14ac:dyDescent="0.25">
      <c r="B1178" s="49"/>
      <c r="C1178" s="306"/>
      <c r="D1178" s="107" t="s">
        <v>516</v>
      </c>
      <c r="E1178" s="68">
        <f>ROUND((G1167+D1157)/D1157,2)</f>
        <v>1</v>
      </c>
      <c r="F1178" s="50"/>
      <c r="G1178" s="57"/>
      <c r="H1178" s="87"/>
    </row>
    <row r="1179" spans="2:8" ht="23.25" x14ac:dyDescent="0.25">
      <c r="B1179" s="49"/>
      <c r="C1179" s="306"/>
      <c r="D1179" s="69" t="s">
        <v>517</v>
      </c>
      <c r="E1179" s="70">
        <f>ROUND((SUM(G1168:G1173)+D1157)/D1157,2)</f>
        <v>1.93</v>
      </c>
      <c r="F1179" s="50"/>
      <c r="G1179" s="57"/>
      <c r="H1179" s="87"/>
    </row>
    <row r="1180" spans="2:8" ht="25.5" x14ac:dyDescent="0.25">
      <c r="B1180" s="49"/>
      <c r="C1180" s="49"/>
      <c r="D1180" s="71" t="s">
        <v>518</v>
      </c>
      <c r="E1180" s="72">
        <f>SUM(E1176:E1179)-IF(D1161="сплошная",3,2)</f>
        <v>2.0199999999999996</v>
      </c>
      <c r="F1180" s="73"/>
      <c r="G1180" s="48"/>
      <c r="H1180" s="87"/>
    </row>
    <row r="1181" spans="2:8" ht="23.25" x14ac:dyDescent="0.25">
      <c r="B1181" s="49"/>
      <c r="C1181" s="49"/>
      <c r="D1181" s="49"/>
      <c r="E1181" s="74"/>
      <c r="F1181" s="49"/>
      <c r="G1181" s="48"/>
      <c r="H1181" s="87"/>
    </row>
    <row r="1182" spans="2:8" ht="25.5" x14ac:dyDescent="0.35">
      <c r="B1182" s="58"/>
      <c r="C1182" s="75" t="s">
        <v>519</v>
      </c>
      <c r="D1182" s="307">
        <f>E1180*D1157</f>
        <v>30794.516199999987</v>
      </c>
      <c r="E1182" s="307"/>
      <c r="F1182" s="49"/>
      <c r="G1182" s="48"/>
      <c r="H1182" s="87"/>
    </row>
    <row r="1183" spans="2:8" ht="18.75" x14ac:dyDescent="0.3">
      <c r="B1183" s="49"/>
      <c r="C1183" s="76" t="s">
        <v>520</v>
      </c>
      <c r="D1183" s="308">
        <f>D1182/D1156</f>
        <v>41.090035493168209</v>
      </c>
      <c r="E1183" s="308"/>
      <c r="F1183" s="49"/>
      <c r="G1183" s="49"/>
      <c r="H1183" s="94"/>
    </row>
    <row r="1186" spans="2:27" ht="60.75" x14ac:dyDescent="0.8">
      <c r="B1186" s="330" t="str">
        <f>CONCATENATE("ЛОТ № ",K1189)</f>
        <v>ЛОТ № 33</v>
      </c>
      <c r="C1186" s="330"/>
      <c r="D1186" s="330"/>
      <c r="E1186" s="330"/>
      <c r="F1186" s="330"/>
      <c r="G1186" s="330"/>
      <c r="H1186" s="330"/>
    </row>
    <row r="1187" spans="2:27" ht="18.75" x14ac:dyDescent="0.25">
      <c r="B1187" s="331" t="s">
        <v>492</v>
      </c>
      <c r="C1187" s="331"/>
      <c r="D1187" s="331"/>
      <c r="E1187" s="331"/>
      <c r="F1187" s="331"/>
      <c r="G1187" s="331"/>
      <c r="H1187" s="87"/>
    </row>
    <row r="1188" spans="2:27" ht="25.5" x14ac:dyDescent="0.25">
      <c r="B1188" s="49"/>
      <c r="C1188" s="59" t="s">
        <v>493</v>
      </c>
      <c r="D1188" s="60"/>
      <c r="E1188" s="49"/>
      <c r="F1188" s="49"/>
      <c r="G1188" s="48"/>
      <c r="H1188" s="87"/>
      <c r="I1188" s="88"/>
      <c r="J1188" s="88"/>
      <c r="K1188" s="88"/>
      <c r="L1188" s="88" t="s">
        <v>454</v>
      </c>
      <c r="M1188" s="88" t="s">
        <v>444</v>
      </c>
      <c r="N1188" s="88" t="s">
        <v>445</v>
      </c>
      <c r="O1188" s="88" t="s">
        <v>453</v>
      </c>
      <c r="P1188" s="89" t="s">
        <v>446</v>
      </c>
      <c r="Q1188" s="88" t="s">
        <v>435</v>
      </c>
      <c r="R1188" s="40" t="s">
        <v>447</v>
      </c>
      <c r="S1188" s="40" t="s">
        <v>522</v>
      </c>
      <c r="T1188" s="88" t="s">
        <v>118</v>
      </c>
      <c r="U1188" s="88" t="s">
        <v>500</v>
      </c>
      <c r="V1188" s="88" t="s">
        <v>450</v>
      </c>
      <c r="W1188" s="40" t="s">
        <v>448</v>
      </c>
      <c r="X1188" s="40" t="s">
        <v>449</v>
      </c>
      <c r="Y1188" s="88" t="s">
        <v>523</v>
      </c>
      <c r="Z1188" s="88"/>
    </row>
    <row r="1189" spans="2:27" ht="19.5" x14ac:dyDescent="0.25">
      <c r="B1189" s="50"/>
      <c r="C1189" s="332" t="s">
        <v>494</v>
      </c>
      <c r="D1189" s="335" t="s">
        <v>521</v>
      </c>
      <c r="E1189" s="336"/>
      <c r="F1189" s="336"/>
      <c r="G1189" s="337"/>
      <c r="H1189" s="90"/>
      <c r="I1189" s="88" t="s">
        <v>443</v>
      </c>
      <c r="J1189" s="88"/>
      <c r="K1189" s="43">
        <f>IF(I1189="","",COUNTA(I$5:I1189))</f>
        <v>33</v>
      </c>
      <c r="L1189" s="95" t="str">
        <f>INDEX('Ведомость расчета мин. платы'!$B$10:$T$209,MATCH(ЛОТЫ!$K1189,'Ведомость расчета мин. платы'!$B$10:$B$209,0),2)</f>
        <v>Тимерликовское</v>
      </c>
      <c r="M1189" s="95">
        <f>INDEX('Ведомость расчета мин. платы'!$B$10:$T$209,MATCH(ЛОТЫ!$K1189,'Ведомость расчета мин. платы'!$B$10:$B$209,0),3)</f>
        <v>11</v>
      </c>
      <c r="N1189" s="95">
        <f>INDEX('Ведомость расчета мин. платы'!$B$10:$T$209,MATCH(ЛОТЫ!$K1189,'Ведомость расчета мин. платы'!$B$10:$B$209,0),4)</f>
        <v>8</v>
      </c>
      <c r="O1189" s="95">
        <f>INDEX('Ведомость расчета мин. платы'!$B$10:$T$209,MATCH(ЛОТЫ!$K1189,'Ведомость расчета мин. платы'!$B$10:$B$209,0),5)</f>
        <v>3</v>
      </c>
      <c r="P1189" s="89">
        <f>IFERROR(INDEX(Коэффициенты!$G$4:$O$106,MATCH(CONCATENATE($L1189,"/",$M1189,"/",$N1189,"/",$O1189),Коэффициенты!$O$4:$O$106,0),1),"")</f>
        <v>3.1</v>
      </c>
      <c r="Q1189" s="40">
        <f>IFERROR(INDEX(Коэффициенты!$G$4:$O$106,MATCH(CONCATENATE($L1189,"/",$M1189,"/",$N1189,"/",$O1189),Коэффициенты!$O$4:$O$106,0),6),"")</f>
        <v>740.02</v>
      </c>
      <c r="R1189" s="40">
        <f>IFERROR(INDEX(Коэффициенты!$G$4:$O$106,MATCH(CONCATENATE($L1189,"/",$M1189,"/",$N1189,"/",$O1189),Коэффициенты!$O$4:$O$106,0),2),"")</f>
        <v>18767.349999999999</v>
      </c>
      <c r="S1189" s="43" t="str">
        <f>IFERROR(INDEX('Такс. опис.'!$A$5:$BW$50,MATCH(CONCATENATE($L1189,"/",$M1189,"/",$N1189),'Такс. опис.'!$C$5:$C$50,0),26),"")</f>
        <v>7ОС3Б+ЛП</v>
      </c>
      <c r="T1189" s="43" t="str">
        <f>IFERROR(INDEX('Такс. опис.'!$A$5:$BW$50,MATCH(CONCATENATE($L1189,"/",$M1189,"/",$N1189),'Такс. опис.'!$C$5:$C$50,0),47),"")</f>
        <v>Осина</v>
      </c>
      <c r="U1189" s="43">
        <f>IFERROR(INDEX('Такс. опис.'!$A$5:$BW$50,MATCH(CONCATENATE($L1189,"/",$M1189,"/",$N1189),'Такс. опис.'!$C$5:$C$50,0),49),"")</f>
        <v>55</v>
      </c>
      <c r="V1189" s="103">
        <f>IFERROR(INDEX('Ведомость расчета мин. платы'!$AC$10:$AD$214,MATCH(CONCATENATE($L1189,"/",$M1189,"/",$N1189,"/",$O1189),'Ведомость расчета мин. платы'!$AC$10:$AC$214,0),2),"")</f>
        <v>0.82</v>
      </c>
      <c r="W1189" s="40">
        <f>E1217</f>
        <v>1.5700000000000003</v>
      </c>
      <c r="X1189" s="40">
        <f>D1219</f>
        <v>29464.739500000003</v>
      </c>
      <c r="Y1189" s="91">
        <f>D1220</f>
        <v>39.816139428664094</v>
      </c>
      <c r="Z1189" s="88"/>
      <c r="AA1189" s="86">
        <f t="shared" ref="AA1189" si="53">IF(M1189&gt;0,1,0)</f>
        <v>1</v>
      </c>
    </row>
    <row r="1190" spans="2:27" ht="19.5" x14ac:dyDescent="0.25">
      <c r="B1190" s="50"/>
      <c r="C1190" s="333"/>
      <c r="D1190" s="338" t="str">
        <f>CONCATENATE(L1189, " участковое лесничество")</f>
        <v>Тимерликовское участковое лесничество</v>
      </c>
      <c r="E1190" s="338"/>
      <c r="F1190" s="338"/>
      <c r="G1190" s="338"/>
      <c r="H1190" s="90"/>
      <c r="I1190" s="88"/>
      <c r="J1190" s="88">
        <f>IFERROR(IF(ISBLANK(K1189),"",K1189),"")</f>
        <v>33</v>
      </c>
      <c r="K1190" s="88"/>
      <c r="L1190" s="88"/>
      <c r="M1190" s="88"/>
      <c r="N1190" s="88"/>
      <c r="O1190" s="88"/>
      <c r="P1190" s="88"/>
      <c r="Q1190" s="88"/>
      <c r="R1190" s="88"/>
      <c r="S1190" s="88"/>
      <c r="T1190" s="88"/>
      <c r="U1190" s="88"/>
      <c r="V1190" s="88"/>
      <c r="W1190" s="88"/>
      <c r="X1190" s="88"/>
      <c r="Y1190" s="88"/>
      <c r="Z1190" s="88"/>
    </row>
    <row r="1191" spans="2:27" ht="19.5" x14ac:dyDescent="0.25">
      <c r="B1191" s="50"/>
      <c r="C1191" s="334"/>
      <c r="D1191" s="338" t="str">
        <f>CONCATENATE("кв. ",M1189," ","выд."," ",N1189," ","делянка", " ",O1189)</f>
        <v>кв. 11 выд. 8 делянка 3</v>
      </c>
      <c r="E1191" s="338"/>
      <c r="F1191" s="338"/>
      <c r="G1191" s="338"/>
      <c r="H1191" s="90"/>
      <c r="I1191" s="88"/>
      <c r="J1191" s="88"/>
      <c r="K1191" s="88"/>
      <c r="L1191" s="88"/>
      <c r="M1191" s="88"/>
      <c r="N1191" s="88"/>
      <c r="O1191" s="88"/>
      <c r="P1191" s="88"/>
      <c r="Q1191" s="88"/>
      <c r="R1191" s="88"/>
      <c r="S1191" s="88"/>
      <c r="T1191" s="88"/>
      <c r="U1191" s="88"/>
      <c r="V1191" s="88"/>
      <c r="W1191" s="88"/>
      <c r="X1191" s="88"/>
      <c r="Y1191" s="88"/>
      <c r="Z1191" s="88"/>
    </row>
    <row r="1192" spans="2:27" ht="23.25" x14ac:dyDescent="0.25">
      <c r="B1192" s="49"/>
      <c r="C1192" s="61" t="s">
        <v>495</v>
      </c>
      <c r="D1192" s="51">
        <f>P1189</f>
        <v>3.1</v>
      </c>
      <c r="E1192" s="62"/>
      <c r="F1192" s="50"/>
      <c r="G1192" s="48"/>
      <c r="H1192" s="87"/>
    </row>
    <row r="1193" spans="2:27" ht="22.5" x14ac:dyDescent="0.25">
      <c r="B1193" s="49"/>
      <c r="C1193" s="63" t="s">
        <v>496</v>
      </c>
      <c r="D1193" s="106">
        <f>Q1189</f>
        <v>740.02</v>
      </c>
      <c r="E1193" s="309" t="s">
        <v>497</v>
      </c>
      <c r="F1193" s="310"/>
      <c r="G1193" s="313">
        <f>D1194/D1193</f>
        <v>25.360598362206424</v>
      </c>
      <c r="H1193" s="87"/>
    </row>
    <row r="1194" spans="2:27" ht="22.5" x14ac:dyDescent="0.25">
      <c r="B1194" s="49"/>
      <c r="C1194" s="63" t="s">
        <v>498</v>
      </c>
      <c r="D1194" s="52">
        <f>R1189</f>
        <v>18767.349999999999</v>
      </c>
      <c r="E1194" s="311"/>
      <c r="F1194" s="312"/>
      <c r="G1194" s="314"/>
      <c r="H1194" s="87"/>
    </row>
    <row r="1195" spans="2:27" ht="23.25" x14ac:dyDescent="0.25">
      <c r="B1195" s="49"/>
      <c r="C1195" s="64"/>
      <c r="D1195" s="53"/>
      <c r="E1195" s="65"/>
      <c r="F1195" s="49"/>
      <c r="G1195" s="48"/>
      <c r="H1195" s="87"/>
    </row>
    <row r="1196" spans="2:27" ht="23.25" x14ac:dyDescent="0.25">
      <c r="B1196" s="49"/>
      <c r="C1196" s="82" t="s">
        <v>499</v>
      </c>
      <c r="D1196" s="96" t="str">
        <f>S1189</f>
        <v>7ОС3Б+ЛП</v>
      </c>
      <c r="E1196" s="49"/>
      <c r="F1196" s="49"/>
      <c r="G1196" s="48"/>
      <c r="H1196" s="87"/>
    </row>
    <row r="1197" spans="2:27" ht="23.25" x14ac:dyDescent="0.25">
      <c r="B1197" s="49"/>
      <c r="C1197" s="82" t="s">
        <v>500</v>
      </c>
      <c r="D1197" s="96">
        <f>U1189</f>
        <v>55</v>
      </c>
      <c r="E1197" s="49"/>
      <c r="F1197" s="49"/>
      <c r="G1197" s="48"/>
      <c r="H1197" s="87"/>
    </row>
    <row r="1198" spans="2:27" ht="23.25" x14ac:dyDescent="0.25">
      <c r="B1198" s="49"/>
      <c r="C1198" s="82" t="s">
        <v>501</v>
      </c>
      <c r="D1198" s="83" t="s">
        <v>502</v>
      </c>
      <c r="E1198" s="49"/>
      <c r="F1198" s="49"/>
      <c r="G1198" s="48"/>
      <c r="H1198" s="87"/>
    </row>
    <row r="1199" spans="2:27" ht="24" thickBot="1" x14ac:dyDescent="0.3">
      <c r="B1199" s="49"/>
      <c r="C1199" s="49"/>
      <c r="D1199" s="49"/>
      <c r="E1199" s="49"/>
      <c r="F1199" s="49"/>
      <c r="G1199" s="48"/>
      <c r="H1199" s="87"/>
    </row>
    <row r="1200" spans="2:27" ht="48" thickBot="1" x14ac:dyDescent="0.3">
      <c r="B1200" s="315" t="s">
        <v>436</v>
      </c>
      <c r="C1200" s="316"/>
      <c r="D1200" s="54" t="s">
        <v>503</v>
      </c>
      <c r="E1200" s="317" t="s">
        <v>504</v>
      </c>
      <c r="F1200" s="318"/>
      <c r="G1200" s="55" t="s">
        <v>505</v>
      </c>
      <c r="H1200" s="87"/>
    </row>
    <row r="1201" spans="2:8" ht="24" thickBot="1" x14ac:dyDescent="0.3">
      <c r="B1201" s="319" t="s">
        <v>506</v>
      </c>
      <c r="C1201" s="320"/>
      <c r="D1201" s="136">
        <v>197.93</v>
      </c>
      <c r="E1201" s="136">
        <f>D1192</f>
        <v>3.1</v>
      </c>
      <c r="F1201" s="77" t="s">
        <v>434</v>
      </c>
      <c r="G1201" s="142">
        <f t="shared" ref="G1201:G1208" si="54">D1201*E1201</f>
        <v>613.58300000000008</v>
      </c>
      <c r="H1201" s="321"/>
    </row>
    <row r="1202" spans="2:8" ht="23.25" x14ac:dyDescent="0.25">
      <c r="B1202" s="322" t="s">
        <v>507</v>
      </c>
      <c r="C1202" s="323"/>
      <c r="D1202" s="137">
        <v>159.44</v>
      </c>
      <c r="E1202" s="137">
        <f>V1189</f>
        <v>0.82</v>
      </c>
      <c r="F1202" s="78" t="s">
        <v>437</v>
      </c>
      <c r="G1202" s="143">
        <f t="shared" si="54"/>
        <v>130.74079999999998</v>
      </c>
      <c r="H1202" s="321"/>
    </row>
    <row r="1203" spans="2:8" ht="24" thickBot="1" x14ac:dyDescent="0.3">
      <c r="B1203" s="324" t="s">
        <v>508</v>
      </c>
      <c r="C1203" s="325"/>
      <c r="D1203" s="138">
        <v>276.62</v>
      </c>
      <c r="E1203" s="138">
        <f>V1189</f>
        <v>0.82</v>
      </c>
      <c r="F1203" s="79" t="s">
        <v>437</v>
      </c>
      <c r="G1203" s="144">
        <f t="shared" si="54"/>
        <v>226.82839999999999</v>
      </c>
      <c r="H1203" s="321"/>
    </row>
    <row r="1204" spans="2:8" ht="24" thickBot="1" x14ac:dyDescent="0.3">
      <c r="B1204" s="326" t="s">
        <v>438</v>
      </c>
      <c r="C1204" s="327"/>
      <c r="D1204" s="139">
        <v>519</v>
      </c>
      <c r="E1204" s="139"/>
      <c r="F1204" s="80" t="s">
        <v>434</v>
      </c>
      <c r="G1204" s="145">
        <f t="shared" si="54"/>
        <v>0</v>
      </c>
      <c r="H1204" s="321"/>
    </row>
    <row r="1205" spans="2:8" ht="23.25" x14ac:dyDescent="0.25">
      <c r="B1205" s="322" t="s">
        <v>509</v>
      </c>
      <c r="C1205" s="323"/>
      <c r="D1205" s="137">
        <v>920</v>
      </c>
      <c r="E1205" s="137">
        <f>D1192*2</f>
        <v>6.2</v>
      </c>
      <c r="F1205" s="78" t="s">
        <v>434</v>
      </c>
      <c r="G1205" s="143">
        <f t="shared" si="54"/>
        <v>5704</v>
      </c>
      <c r="H1205" s="321"/>
    </row>
    <row r="1206" spans="2:8" ht="23.25" x14ac:dyDescent="0.25">
      <c r="B1206" s="328" t="s">
        <v>510</v>
      </c>
      <c r="C1206" s="329"/>
      <c r="D1206" s="140">
        <v>1300</v>
      </c>
      <c r="E1206" s="140">
        <f>IF(T1189="Осина",D1192,"0")</f>
        <v>3.1</v>
      </c>
      <c r="F1206" s="81" t="s">
        <v>434</v>
      </c>
      <c r="G1206" s="146">
        <f t="shared" si="54"/>
        <v>4030</v>
      </c>
      <c r="H1206" s="321"/>
    </row>
    <row r="1207" spans="2:8" ht="23.25" x14ac:dyDescent="0.25">
      <c r="B1207" s="328" t="s">
        <v>439</v>
      </c>
      <c r="C1207" s="329"/>
      <c r="D1207" s="141">
        <v>5165.12</v>
      </c>
      <c r="E1207" s="140" t="str">
        <f>IF(T1189="Осина","0",D1192)</f>
        <v>0</v>
      </c>
      <c r="F1207" s="81" t="s">
        <v>434</v>
      </c>
      <c r="G1207" s="146">
        <f t="shared" si="54"/>
        <v>0</v>
      </c>
      <c r="H1207" s="321"/>
    </row>
    <row r="1208" spans="2:8" ht="23.25" x14ac:dyDescent="0.25">
      <c r="B1208" s="328" t="s">
        <v>511</v>
      </c>
      <c r="C1208" s="329"/>
      <c r="D1208" s="141">
        <v>917</v>
      </c>
      <c r="E1208" s="140" t="str">
        <f>IF(T1189="Осина","0",D1192)</f>
        <v>0</v>
      </c>
      <c r="F1208" s="81" t="s">
        <v>434</v>
      </c>
      <c r="G1208" s="146">
        <f t="shared" si="54"/>
        <v>0</v>
      </c>
      <c r="H1208" s="321"/>
    </row>
    <row r="1209" spans="2:8" ht="23.25" x14ac:dyDescent="0.25">
      <c r="B1209" s="328" t="s">
        <v>441</v>
      </c>
      <c r="C1209" s="329"/>
      <c r="D1209" s="141">
        <v>461.56000000000006</v>
      </c>
      <c r="E1209" s="140" t="str">
        <f>IF(T1189="Осина","0",D1192)</f>
        <v>0</v>
      </c>
      <c r="F1209" s="81" t="s">
        <v>434</v>
      </c>
      <c r="G1209" s="146">
        <f>D1209*E1209</f>
        <v>0</v>
      </c>
      <c r="H1209" s="321"/>
    </row>
    <row r="1210" spans="2:8" ht="24" thickBot="1" x14ac:dyDescent="0.3">
      <c r="B1210" s="324" t="s">
        <v>440</v>
      </c>
      <c r="C1210" s="325"/>
      <c r="D1210" s="138">
        <v>353.15</v>
      </c>
      <c r="E1210" s="140" t="str">
        <f>IF(T1189="Осина","0",D1192*4)</f>
        <v>0</v>
      </c>
      <c r="F1210" s="79" t="s">
        <v>434</v>
      </c>
      <c r="G1210" s="147">
        <f>D1210*E1210</f>
        <v>0</v>
      </c>
      <c r="H1210" s="321"/>
    </row>
    <row r="1211" spans="2:8" ht="23.25" x14ac:dyDescent="0.25">
      <c r="B1211" s="49"/>
      <c r="C1211" s="66"/>
      <c r="D1211" s="66"/>
      <c r="E1211" s="56"/>
      <c r="F1211" s="56"/>
      <c r="G1211" s="48"/>
      <c r="H1211" s="92"/>
    </row>
    <row r="1212" spans="2:8" ht="25.5" x14ac:dyDescent="0.25">
      <c r="B1212" s="49"/>
      <c r="C1212" s="59" t="s">
        <v>512</v>
      </c>
      <c r="D1212" s="60"/>
      <c r="E1212" s="49"/>
      <c r="F1212" s="49"/>
      <c r="G1212" s="48"/>
      <c r="H1212" s="87"/>
    </row>
    <row r="1213" spans="2:8" ht="18.75" x14ac:dyDescent="0.25">
      <c r="B1213" s="49"/>
      <c r="C1213" s="306" t="s">
        <v>513</v>
      </c>
      <c r="D1213" s="107" t="s">
        <v>514</v>
      </c>
      <c r="E1213" s="68">
        <f>ROUND((G1201+D1194)/D1194,2)</f>
        <v>1.03</v>
      </c>
      <c r="F1213" s="68"/>
      <c r="G1213" s="50"/>
      <c r="H1213" s="87"/>
    </row>
    <row r="1214" spans="2:8" ht="23.25" x14ac:dyDescent="0.25">
      <c r="B1214" s="49"/>
      <c r="C1214" s="306"/>
      <c r="D1214" s="107" t="s">
        <v>515</v>
      </c>
      <c r="E1214" s="68">
        <f>ROUND((G1202+G1203+D1194)/D1194,2)</f>
        <v>1.02</v>
      </c>
      <c r="F1214" s="68"/>
      <c r="G1214" s="57"/>
      <c r="H1214" s="93"/>
    </row>
    <row r="1215" spans="2:8" ht="23.25" x14ac:dyDescent="0.25">
      <c r="B1215" s="49"/>
      <c r="C1215" s="306"/>
      <c r="D1215" s="107" t="s">
        <v>516</v>
      </c>
      <c r="E1215" s="68">
        <f>ROUND((G1204+D1194)/D1194,2)</f>
        <v>1</v>
      </c>
      <c r="F1215" s="50"/>
      <c r="G1215" s="57"/>
      <c r="H1215" s="87"/>
    </row>
    <row r="1216" spans="2:8" ht="23.25" x14ac:dyDescent="0.25">
      <c r="B1216" s="49"/>
      <c r="C1216" s="306"/>
      <c r="D1216" s="69" t="s">
        <v>517</v>
      </c>
      <c r="E1216" s="70">
        <f>ROUND((SUM(G1205:G1210)+D1194)/D1194,2)</f>
        <v>1.52</v>
      </c>
      <c r="F1216" s="50"/>
      <c r="G1216" s="57"/>
      <c r="H1216" s="87"/>
    </row>
    <row r="1217" spans="2:27" ht="25.5" x14ac:dyDescent="0.25">
      <c r="B1217" s="49"/>
      <c r="C1217" s="49"/>
      <c r="D1217" s="71" t="s">
        <v>518</v>
      </c>
      <c r="E1217" s="72">
        <f>SUM(E1213:E1216)-IF(D1198="сплошная",3,2)</f>
        <v>1.5700000000000003</v>
      </c>
      <c r="F1217" s="73"/>
      <c r="G1217" s="48"/>
      <c r="H1217" s="87"/>
    </row>
    <row r="1218" spans="2:27" ht="23.25" x14ac:dyDescent="0.25">
      <c r="B1218" s="49"/>
      <c r="C1218" s="49"/>
      <c r="D1218" s="49"/>
      <c r="E1218" s="74"/>
      <c r="F1218" s="49"/>
      <c r="G1218" s="48"/>
      <c r="H1218" s="87"/>
    </row>
    <row r="1219" spans="2:27" ht="25.5" x14ac:dyDescent="0.35">
      <c r="B1219" s="58"/>
      <c r="C1219" s="75" t="s">
        <v>519</v>
      </c>
      <c r="D1219" s="307">
        <f>E1217*D1194</f>
        <v>29464.739500000003</v>
      </c>
      <c r="E1219" s="307"/>
      <c r="F1219" s="49"/>
      <c r="G1219" s="48"/>
      <c r="H1219" s="87"/>
    </row>
    <row r="1220" spans="2:27" ht="18.75" x14ac:dyDescent="0.3">
      <c r="B1220" s="49"/>
      <c r="C1220" s="76" t="s">
        <v>520</v>
      </c>
      <c r="D1220" s="308">
        <f>D1219/D1193</f>
        <v>39.816139428664094</v>
      </c>
      <c r="E1220" s="308"/>
      <c r="F1220" s="49"/>
      <c r="G1220" s="49"/>
      <c r="H1220" s="94"/>
    </row>
    <row r="1223" spans="2:27" ht="60.75" x14ac:dyDescent="0.8">
      <c r="B1223" s="330" t="str">
        <f>CONCATENATE("ЛОТ № ",K1226)</f>
        <v>ЛОТ № 34</v>
      </c>
      <c r="C1223" s="330"/>
      <c r="D1223" s="330"/>
      <c r="E1223" s="330"/>
      <c r="F1223" s="330"/>
      <c r="G1223" s="330"/>
      <c r="H1223" s="330"/>
    </row>
    <row r="1224" spans="2:27" ht="18.75" x14ac:dyDescent="0.25">
      <c r="B1224" s="331" t="s">
        <v>492</v>
      </c>
      <c r="C1224" s="331"/>
      <c r="D1224" s="331"/>
      <c r="E1224" s="331"/>
      <c r="F1224" s="331"/>
      <c r="G1224" s="331"/>
      <c r="H1224" s="87"/>
    </row>
    <row r="1225" spans="2:27" ht="25.5" x14ac:dyDescent="0.25">
      <c r="B1225" s="49"/>
      <c r="C1225" s="59" t="s">
        <v>493</v>
      </c>
      <c r="D1225" s="60"/>
      <c r="E1225" s="49"/>
      <c r="F1225" s="49"/>
      <c r="G1225" s="48"/>
      <c r="H1225" s="87"/>
      <c r="I1225" s="88"/>
      <c r="J1225" s="88"/>
      <c r="K1225" s="88"/>
      <c r="L1225" s="88" t="s">
        <v>454</v>
      </c>
      <c r="M1225" s="88" t="s">
        <v>444</v>
      </c>
      <c r="N1225" s="88" t="s">
        <v>445</v>
      </c>
      <c r="O1225" s="88" t="s">
        <v>453</v>
      </c>
      <c r="P1225" s="89" t="s">
        <v>446</v>
      </c>
      <c r="Q1225" s="88" t="s">
        <v>435</v>
      </c>
      <c r="R1225" s="40" t="s">
        <v>447</v>
      </c>
      <c r="S1225" s="40" t="s">
        <v>522</v>
      </c>
      <c r="T1225" s="88" t="s">
        <v>118</v>
      </c>
      <c r="U1225" s="88" t="s">
        <v>500</v>
      </c>
      <c r="V1225" s="88" t="s">
        <v>450</v>
      </c>
      <c r="W1225" s="40" t="s">
        <v>448</v>
      </c>
      <c r="X1225" s="40" t="s">
        <v>449</v>
      </c>
      <c r="Y1225" s="88" t="s">
        <v>523</v>
      </c>
      <c r="Z1225" s="88"/>
    </row>
    <row r="1226" spans="2:27" ht="19.5" x14ac:dyDescent="0.25">
      <c r="B1226" s="50"/>
      <c r="C1226" s="332" t="s">
        <v>494</v>
      </c>
      <c r="D1226" s="335" t="s">
        <v>521</v>
      </c>
      <c r="E1226" s="336"/>
      <c r="F1226" s="336"/>
      <c r="G1226" s="337"/>
      <c r="H1226" s="90"/>
      <c r="I1226" s="88" t="s">
        <v>443</v>
      </c>
      <c r="J1226" s="88"/>
      <c r="K1226" s="43">
        <f>IF(I1226="","",COUNTA(I$5:I1226))</f>
        <v>34</v>
      </c>
      <c r="L1226" s="95" t="str">
        <f>INDEX('Ведомость расчета мин. платы'!$B$10:$T$209,MATCH(ЛОТЫ!$K1226,'Ведомость расчета мин. платы'!$B$10:$B$209,0),2)</f>
        <v>Тимерликовское</v>
      </c>
      <c r="M1226" s="95">
        <f>INDEX('Ведомость расчета мин. платы'!$B$10:$T$209,MATCH(ЛОТЫ!$K1226,'Ведомость расчета мин. платы'!$B$10:$B$209,0),3)</f>
        <v>11</v>
      </c>
      <c r="N1226" s="95">
        <f>INDEX('Ведомость расчета мин. платы'!$B$10:$T$209,MATCH(ЛОТЫ!$K1226,'Ведомость расчета мин. платы'!$B$10:$B$209,0),4)</f>
        <v>17</v>
      </c>
      <c r="O1226" s="95">
        <f>INDEX('Ведомость расчета мин. платы'!$B$10:$T$209,MATCH(ЛОТЫ!$K1226,'Ведомость расчета мин. платы'!$B$10:$B$209,0),5)</f>
        <v>4</v>
      </c>
      <c r="P1226" s="89">
        <f>IFERROR(INDEX(Коэффициенты!$G$4:$O$106,MATCH(CONCATENATE($L1226,"/",$M1226,"/",$N1226,"/",$O1226),Коэффициенты!$O$4:$O$106,0),1),"")</f>
        <v>4.8</v>
      </c>
      <c r="Q1226" s="40">
        <f>IFERROR(INDEX(Коэффициенты!$G$4:$O$106,MATCH(CONCATENATE($L1226,"/",$M1226,"/",$N1226,"/",$O1226),Коэффициенты!$O$4:$O$106,0),6),"")</f>
        <v>968.44999999999993</v>
      </c>
      <c r="R1226" s="40">
        <f>IFERROR(INDEX(Коэффициенты!$G$4:$O$106,MATCH(CONCATENATE($L1226,"/",$M1226,"/",$N1226,"/",$O1226),Коэффициенты!$O$4:$O$106,0),2),"")</f>
        <v>17388.63</v>
      </c>
      <c r="S1226" s="43" t="str">
        <f>IFERROR(INDEX('Такс. опис.'!$A$5:$BW$50,MATCH(CONCATENATE($L1226,"/",$M1226,"/",$N1226),'Такс. опис.'!$C$5:$C$50,0),26),"")</f>
        <v>8ОС1ЛП1Б+КЛ</v>
      </c>
      <c r="T1226" s="43" t="str">
        <f>IFERROR(INDEX('Такс. опис.'!$A$5:$BW$50,MATCH(CONCATENATE($L1226,"/",$M1226,"/",$N1226),'Такс. опис.'!$C$5:$C$50,0),47),"")</f>
        <v>Осина</v>
      </c>
      <c r="U1226" s="43">
        <f>IFERROR(INDEX('Такс. опис.'!$A$5:$BW$50,MATCH(CONCATENATE($L1226,"/",$M1226,"/",$N1226),'Такс. опис.'!$C$5:$C$50,0),49),"")</f>
        <v>50</v>
      </c>
      <c r="V1226" s="103">
        <f>IFERROR(INDEX('Ведомость расчета мин. платы'!$AC$10:$AD$214,MATCH(CONCATENATE($L1226,"/",$M1226,"/",$N1226,"/",$O1226),'Ведомость расчета мин. платы'!$AC$10:$AC$214,0),2),"")</f>
        <v>1.1599999999999999</v>
      </c>
      <c r="W1226" s="40">
        <f>E1254</f>
        <v>1.9500000000000002</v>
      </c>
      <c r="X1226" s="40">
        <f>D1256</f>
        <v>33907.828500000003</v>
      </c>
      <c r="Y1226" s="91">
        <f>D1257</f>
        <v>35.01247199132635</v>
      </c>
      <c r="Z1226" s="88"/>
      <c r="AA1226" s="86">
        <f t="shared" ref="AA1226" si="55">IF(M1226&gt;0,1,0)</f>
        <v>1</v>
      </c>
    </row>
    <row r="1227" spans="2:27" ht="19.5" x14ac:dyDescent="0.25">
      <c r="B1227" s="50"/>
      <c r="C1227" s="333"/>
      <c r="D1227" s="338" t="str">
        <f>CONCATENATE(L1226, " участковое лесничество")</f>
        <v>Тимерликовское участковое лесничество</v>
      </c>
      <c r="E1227" s="338"/>
      <c r="F1227" s="338"/>
      <c r="G1227" s="338"/>
      <c r="H1227" s="90"/>
      <c r="I1227" s="88"/>
      <c r="J1227" s="88">
        <f>IFERROR(IF(ISBLANK(K1226),"",K1226),"")</f>
        <v>34</v>
      </c>
      <c r="K1227" s="88"/>
      <c r="L1227" s="88"/>
      <c r="M1227" s="88"/>
      <c r="N1227" s="88"/>
      <c r="O1227" s="88"/>
      <c r="P1227" s="88"/>
      <c r="Q1227" s="88"/>
      <c r="R1227" s="88"/>
      <c r="S1227" s="88"/>
      <c r="T1227" s="88"/>
      <c r="U1227" s="88"/>
      <c r="V1227" s="88"/>
      <c r="W1227" s="88"/>
      <c r="X1227" s="88"/>
      <c r="Y1227" s="88"/>
      <c r="Z1227" s="88"/>
    </row>
    <row r="1228" spans="2:27" ht="19.5" x14ac:dyDescent="0.25">
      <c r="B1228" s="50"/>
      <c r="C1228" s="334"/>
      <c r="D1228" s="338" t="str">
        <f>CONCATENATE("кв. ",M1226," ","выд."," ",N1226," ","делянка", " ",O1226)</f>
        <v>кв. 11 выд. 17 делянка 4</v>
      </c>
      <c r="E1228" s="338"/>
      <c r="F1228" s="338"/>
      <c r="G1228" s="338"/>
      <c r="H1228" s="90"/>
      <c r="I1228" s="88"/>
      <c r="J1228" s="88"/>
      <c r="K1228" s="88"/>
      <c r="L1228" s="88"/>
      <c r="M1228" s="88"/>
      <c r="N1228" s="88"/>
      <c r="O1228" s="88"/>
      <c r="P1228" s="88"/>
      <c r="Q1228" s="88"/>
      <c r="R1228" s="88"/>
      <c r="S1228" s="88"/>
      <c r="T1228" s="88"/>
      <c r="U1228" s="88"/>
      <c r="V1228" s="88"/>
      <c r="W1228" s="88"/>
      <c r="X1228" s="88"/>
      <c r="Y1228" s="88"/>
      <c r="Z1228" s="88"/>
    </row>
    <row r="1229" spans="2:27" ht="23.25" x14ac:dyDescent="0.25">
      <c r="B1229" s="49"/>
      <c r="C1229" s="61" t="s">
        <v>495</v>
      </c>
      <c r="D1229" s="51">
        <f>P1226</f>
        <v>4.8</v>
      </c>
      <c r="E1229" s="62"/>
      <c r="F1229" s="50"/>
      <c r="G1229" s="48"/>
      <c r="H1229" s="87"/>
    </row>
    <row r="1230" spans="2:27" ht="22.5" x14ac:dyDescent="0.25">
      <c r="B1230" s="49"/>
      <c r="C1230" s="63" t="s">
        <v>496</v>
      </c>
      <c r="D1230" s="106">
        <f>Q1226</f>
        <v>968.44999999999993</v>
      </c>
      <c r="E1230" s="309" t="s">
        <v>497</v>
      </c>
      <c r="F1230" s="310"/>
      <c r="G1230" s="313">
        <f>D1231/D1230</f>
        <v>17.95511384170582</v>
      </c>
      <c r="H1230" s="87"/>
    </row>
    <row r="1231" spans="2:27" ht="22.5" x14ac:dyDescent="0.25">
      <c r="B1231" s="49"/>
      <c r="C1231" s="63" t="s">
        <v>498</v>
      </c>
      <c r="D1231" s="52">
        <f>R1226</f>
        <v>17388.63</v>
      </c>
      <c r="E1231" s="311"/>
      <c r="F1231" s="312"/>
      <c r="G1231" s="314"/>
      <c r="H1231" s="87"/>
    </row>
    <row r="1232" spans="2:27" ht="23.25" x14ac:dyDescent="0.25">
      <c r="B1232" s="49"/>
      <c r="C1232" s="64"/>
      <c r="D1232" s="53"/>
      <c r="E1232" s="65"/>
      <c r="F1232" s="49"/>
      <c r="G1232" s="48"/>
      <c r="H1232" s="87"/>
    </row>
    <row r="1233" spans="2:8" ht="23.25" x14ac:dyDescent="0.25">
      <c r="B1233" s="49"/>
      <c r="C1233" s="82" t="s">
        <v>499</v>
      </c>
      <c r="D1233" s="96" t="str">
        <f>S1226</f>
        <v>8ОС1ЛП1Б+КЛ</v>
      </c>
      <c r="E1233" s="49"/>
      <c r="F1233" s="49"/>
      <c r="G1233" s="48"/>
      <c r="H1233" s="87"/>
    </row>
    <row r="1234" spans="2:8" ht="23.25" x14ac:dyDescent="0.25">
      <c r="B1234" s="49"/>
      <c r="C1234" s="82" t="s">
        <v>500</v>
      </c>
      <c r="D1234" s="96">
        <f>U1226</f>
        <v>50</v>
      </c>
      <c r="E1234" s="49"/>
      <c r="F1234" s="49"/>
      <c r="G1234" s="48"/>
      <c r="H1234" s="87"/>
    </row>
    <row r="1235" spans="2:8" ht="23.25" x14ac:dyDescent="0.25">
      <c r="B1235" s="49"/>
      <c r="C1235" s="82" t="s">
        <v>501</v>
      </c>
      <c r="D1235" s="83" t="s">
        <v>502</v>
      </c>
      <c r="E1235" s="49"/>
      <c r="F1235" s="49"/>
      <c r="G1235" s="48"/>
      <c r="H1235" s="87"/>
    </row>
    <row r="1236" spans="2:8" ht="24" thickBot="1" x14ac:dyDescent="0.3">
      <c r="B1236" s="49"/>
      <c r="C1236" s="49"/>
      <c r="D1236" s="49"/>
      <c r="E1236" s="49"/>
      <c r="F1236" s="49"/>
      <c r="G1236" s="48"/>
      <c r="H1236" s="87"/>
    </row>
    <row r="1237" spans="2:8" ht="48" thickBot="1" x14ac:dyDescent="0.3">
      <c r="B1237" s="315" t="s">
        <v>436</v>
      </c>
      <c r="C1237" s="316"/>
      <c r="D1237" s="54" t="s">
        <v>503</v>
      </c>
      <c r="E1237" s="317" t="s">
        <v>504</v>
      </c>
      <c r="F1237" s="318"/>
      <c r="G1237" s="55" t="s">
        <v>505</v>
      </c>
      <c r="H1237" s="87"/>
    </row>
    <row r="1238" spans="2:8" ht="24" thickBot="1" x14ac:dyDescent="0.3">
      <c r="B1238" s="319" t="s">
        <v>506</v>
      </c>
      <c r="C1238" s="320"/>
      <c r="D1238" s="136">
        <v>197.93</v>
      </c>
      <c r="E1238" s="136">
        <f>D1229</f>
        <v>4.8</v>
      </c>
      <c r="F1238" s="77" t="s">
        <v>434</v>
      </c>
      <c r="G1238" s="142">
        <f t="shared" ref="G1238:G1245" si="56">D1238*E1238</f>
        <v>950.06399999999996</v>
      </c>
      <c r="H1238" s="321"/>
    </row>
    <row r="1239" spans="2:8" ht="23.25" x14ac:dyDescent="0.25">
      <c r="B1239" s="322" t="s">
        <v>507</v>
      </c>
      <c r="C1239" s="323"/>
      <c r="D1239" s="137">
        <v>159.44</v>
      </c>
      <c r="E1239" s="137">
        <f>V1226</f>
        <v>1.1599999999999999</v>
      </c>
      <c r="F1239" s="78" t="s">
        <v>437</v>
      </c>
      <c r="G1239" s="143">
        <f t="shared" si="56"/>
        <v>184.95039999999997</v>
      </c>
      <c r="H1239" s="321"/>
    </row>
    <row r="1240" spans="2:8" ht="24" thickBot="1" x14ac:dyDescent="0.3">
      <c r="B1240" s="324" t="s">
        <v>508</v>
      </c>
      <c r="C1240" s="325"/>
      <c r="D1240" s="138">
        <v>276.62</v>
      </c>
      <c r="E1240" s="138">
        <f>V1226</f>
        <v>1.1599999999999999</v>
      </c>
      <c r="F1240" s="79" t="s">
        <v>437</v>
      </c>
      <c r="G1240" s="144">
        <f t="shared" si="56"/>
        <v>320.87919999999997</v>
      </c>
      <c r="H1240" s="321"/>
    </row>
    <row r="1241" spans="2:8" ht="24" thickBot="1" x14ac:dyDescent="0.3">
      <c r="B1241" s="326" t="s">
        <v>438</v>
      </c>
      <c r="C1241" s="327"/>
      <c r="D1241" s="139">
        <v>519</v>
      </c>
      <c r="E1241" s="139"/>
      <c r="F1241" s="80" t="s">
        <v>434</v>
      </c>
      <c r="G1241" s="145">
        <f t="shared" si="56"/>
        <v>0</v>
      </c>
      <c r="H1241" s="321"/>
    </row>
    <row r="1242" spans="2:8" ht="23.25" x14ac:dyDescent="0.25">
      <c r="B1242" s="322" t="s">
        <v>509</v>
      </c>
      <c r="C1242" s="323"/>
      <c r="D1242" s="137">
        <v>920</v>
      </c>
      <c r="E1242" s="137">
        <f>D1229*2</f>
        <v>9.6</v>
      </c>
      <c r="F1242" s="78" t="s">
        <v>434</v>
      </c>
      <c r="G1242" s="143">
        <f t="shared" si="56"/>
        <v>8832</v>
      </c>
      <c r="H1242" s="321"/>
    </row>
    <row r="1243" spans="2:8" ht="23.25" x14ac:dyDescent="0.25">
      <c r="B1243" s="328" t="s">
        <v>510</v>
      </c>
      <c r="C1243" s="329"/>
      <c r="D1243" s="140">
        <v>1300</v>
      </c>
      <c r="E1243" s="140">
        <f>IF(T1226="Осина",D1229,"0")</f>
        <v>4.8</v>
      </c>
      <c r="F1243" s="81" t="s">
        <v>434</v>
      </c>
      <c r="G1243" s="146">
        <f t="shared" si="56"/>
        <v>6240</v>
      </c>
      <c r="H1243" s="321"/>
    </row>
    <row r="1244" spans="2:8" ht="23.25" x14ac:dyDescent="0.25">
      <c r="B1244" s="328" t="s">
        <v>439</v>
      </c>
      <c r="C1244" s="329"/>
      <c r="D1244" s="141">
        <v>5165.12</v>
      </c>
      <c r="E1244" s="140" t="str">
        <f>IF(T1226="Осина","0",D1229)</f>
        <v>0</v>
      </c>
      <c r="F1244" s="81" t="s">
        <v>434</v>
      </c>
      <c r="G1244" s="146">
        <f t="shared" si="56"/>
        <v>0</v>
      </c>
      <c r="H1244" s="321"/>
    </row>
    <row r="1245" spans="2:8" ht="23.25" x14ac:dyDescent="0.25">
      <c r="B1245" s="328" t="s">
        <v>511</v>
      </c>
      <c r="C1245" s="329"/>
      <c r="D1245" s="141">
        <v>917</v>
      </c>
      <c r="E1245" s="140" t="str">
        <f>IF(T1226="Осина","0",D1229)</f>
        <v>0</v>
      </c>
      <c r="F1245" s="81" t="s">
        <v>434</v>
      </c>
      <c r="G1245" s="146">
        <f t="shared" si="56"/>
        <v>0</v>
      </c>
      <c r="H1245" s="321"/>
    </row>
    <row r="1246" spans="2:8" ht="23.25" x14ac:dyDescent="0.25">
      <c r="B1246" s="328" t="s">
        <v>441</v>
      </c>
      <c r="C1246" s="329"/>
      <c r="D1246" s="141">
        <v>461.56000000000006</v>
      </c>
      <c r="E1246" s="140" t="str">
        <f>IF(T1226="Осина","0",D1229)</f>
        <v>0</v>
      </c>
      <c r="F1246" s="81" t="s">
        <v>434</v>
      </c>
      <c r="G1246" s="146">
        <f>D1246*E1246</f>
        <v>0</v>
      </c>
      <c r="H1246" s="321"/>
    </row>
    <row r="1247" spans="2:8" ht="24" thickBot="1" x14ac:dyDescent="0.3">
      <c r="B1247" s="324" t="s">
        <v>440</v>
      </c>
      <c r="C1247" s="325"/>
      <c r="D1247" s="138">
        <v>353.15</v>
      </c>
      <c r="E1247" s="140" t="str">
        <f>IF(T1226="Осина","0",D1229*4)</f>
        <v>0</v>
      </c>
      <c r="F1247" s="79" t="s">
        <v>434</v>
      </c>
      <c r="G1247" s="147">
        <f>D1247*E1247</f>
        <v>0</v>
      </c>
      <c r="H1247" s="321"/>
    </row>
    <row r="1248" spans="2:8" ht="23.25" x14ac:dyDescent="0.25">
      <c r="B1248" s="49"/>
      <c r="C1248" s="66"/>
      <c r="D1248" s="66"/>
      <c r="E1248" s="56"/>
      <c r="F1248" s="56"/>
      <c r="G1248" s="48"/>
      <c r="H1248" s="92"/>
    </row>
    <row r="1249" spans="2:27" ht="25.5" x14ac:dyDescent="0.25">
      <c r="B1249" s="49"/>
      <c r="C1249" s="59" t="s">
        <v>512</v>
      </c>
      <c r="D1249" s="60"/>
      <c r="E1249" s="49"/>
      <c r="F1249" s="49"/>
      <c r="G1249" s="48"/>
      <c r="H1249" s="87"/>
    </row>
    <row r="1250" spans="2:27" ht="18.75" x14ac:dyDescent="0.25">
      <c r="B1250" s="49"/>
      <c r="C1250" s="306" t="s">
        <v>513</v>
      </c>
      <c r="D1250" s="107" t="s">
        <v>514</v>
      </c>
      <c r="E1250" s="68">
        <f>ROUND((G1238+D1231)/D1231,2)</f>
        <v>1.05</v>
      </c>
      <c r="F1250" s="68"/>
      <c r="G1250" s="50"/>
      <c r="H1250" s="87"/>
    </row>
    <row r="1251" spans="2:27" ht="23.25" x14ac:dyDescent="0.25">
      <c r="B1251" s="49"/>
      <c r="C1251" s="306"/>
      <c r="D1251" s="107" t="s">
        <v>515</v>
      </c>
      <c r="E1251" s="68">
        <f>ROUND((G1239+G1240+D1231)/D1231,2)</f>
        <v>1.03</v>
      </c>
      <c r="F1251" s="68"/>
      <c r="G1251" s="57"/>
      <c r="H1251" s="93"/>
    </row>
    <row r="1252" spans="2:27" ht="23.25" x14ac:dyDescent="0.25">
      <c r="B1252" s="49"/>
      <c r="C1252" s="306"/>
      <c r="D1252" s="107" t="s">
        <v>516</v>
      </c>
      <c r="E1252" s="68">
        <f>ROUND((G1241+D1231)/D1231,2)</f>
        <v>1</v>
      </c>
      <c r="F1252" s="50"/>
      <c r="G1252" s="57"/>
      <c r="H1252" s="87"/>
    </row>
    <row r="1253" spans="2:27" ht="23.25" x14ac:dyDescent="0.25">
      <c r="B1253" s="49"/>
      <c r="C1253" s="306"/>
      <c r="D1253" s="69" t="s">
        <v>517</v>
      </c>
      <c r="E1253" s="70">
        <f>ROUND((SUM(G1242:G1247)+D1231)/D1231,2)</f>
        <v>1.87</v>
      </c>
      <c r="F1253" s="50"/>
      <c r="G1253" s="57"/>
      <c r="H1253" s="87"/>
    </row>
    <row r="1254" spans="2:27" ht="25.5" x14ac:dyDescent="0.25">
      <c r="B1254" s="49"/>
      <c r="C1254" s="49"/>
      <c r="D1254" s="71" t="s">
        <v>518</v>
      </c>
      <c r="E1254" s="72">
        <f>SUM(E1250:E1253)-IF(D1235="сплошная",3,2)</f>
        <v>1.9500000000000002</v>
      </c>
      <c r="F1254" s="73"/>
      <c r="G1254" s="48"/>
      <c r="H1254" s="87"/>
    </row>
    <row r="1255" spans="2:27" ht="23.25" x14ac:dyDescent="0.25">
      <c r="B1255" s="49"/>
      <c r="C1255" s="49"/>
      <c r="D1255" s="49"/>
      <c r="E1255" s="74"/>
      <c r="F1255" s="49"/>
      <c r="G1255" s="48"/>
      <c r="H1255" s="87"/>
    </row>
    <row r="1256" spans="2:27" ht="25.5" x14ac:dyDescent="0.35">
      <c r="B1256" s="58"/>
      <c r="C1256" s="75" t="s">
        <v>519</v>
      </c>
      <c r="D1256" s="307">
        <f>E1254*D1231</f>
        <v>33907.828500000003</v>
      </c>
      <c r="E1256" s="307"/>
      <c r="F1256" s="49"/>
      <c r="G1256" s="48"/>
      <c r="H1256" s="87"/>
    </row>
    <row r="1257" spans="2:27" ht="18.75" x14ac:dyDescent="0.3">
      <c r="B1257" s="49"/>
      <c r="C1257" s="76" t="s">
        <v>520</v>
      </c>
      <c r="D1257" s="308">
        <f>D1256/D1230</f>
        <v>35.01247199132635</v>
      </c>
      <c r="E1257" s="308"/>
      <c r="F1257" s="49"/>
      <c r="G1257" s="49"/>
      <c r="H1257" s="94"/>
    </row>
    <row r="1260" spans="2:27" ht="60.75" x14ac:dyDescent="0.8">
      <c r="B1260" s="330" t="str">
        <f>CONCATENATE("ЛОТ № ",K1263)</f>
        <v>ЛОТ № 35</v>
      </c>
      <c r="C1260" s="330"/>
      <c r="D1260" s="330"/>
      <c r="E1260" s="330"/>
      <c r="F1260" s="330"/>
      <c r="G1260" s="330"/>
      <c r="H1260" s="330"/>
    </row>
    <row r="1261" spans="2:27" ht="18.75" x14ac:dyDescent="0.25">
      <c r="B1261" s="331" t="s">
        <v>492</v>
      </c>
      <c r="C1261" s="331"/>
      <c r="D1261" s="331"/>
      <c r="E1261" s="331"/>
      <c r="F1261" s="331"/>
      <c r="G1261" s="331"/>
      <c r="H1261" s="87"/>
    </row>
    <row r="1262" spans="2:27" ht="25.5" x14ac:dyDescent="0.25">
      <c r="B1262" s="49"/>
      <c r="C1262" s="59" t="s">
        <v>493</v>
      </c>
      <c r="D1262" s="60"/>
      <c r="E1262" s="49"/>
      <c r="F1262" s="49"/>
      <c r="G1262" s="48"/>
      <c r="H1262" s="87"/>
      <c r="I1262" s="88"/>
      <c r="J1262" s="88"/>
      <c r="K1262" s="88"/>
      <c r="L1262" s="88" t="s">
        <v>454</v>
      </c>
      <c r="M1262" s="88" t="s">
        <v>444</v>
      </c>
      <c r="N1262" s="88" t="s">
        <v>445</v>
      </c>
      <c r="O1262" s="88" t="s">
        <v>453</v>
      </c>
      <c r="P1262" s="89" t="s">
        <v>446</v>
      </c>
      <c r="Q1262" s="88" t="s">
        <v>435</v>
      </c>
      <c r="R1262" s="40" t="s">
        <v>447</v>
      </c>
      <c r="S1262" s="40" t="s">
        <v>522</v>
      </c>
      <c r="T1262" s="88" t="s">
        <v>118</v>
      </c>
      <c r="U1262" s="88" t="s">
        <v>500</v>
      </c>
      <c r="V1262" s="88" t="s">
        <v>450</v>
      </c>
      <c r="W1262" s="40" t="s">
        <v>448</v>
      </c>
      <c r="X1262" s="40" t="s">
        <v>449</v>
      </c>
      <c r="Y1262" s="88" t="s">
        <v>523</v>
      </c>
      <c r="Z1262" s="88"/>
    </row>
    <row r="1263" spans="2:27" ht="19.5" x14ac:dyDescent="0.25">
      <c r="B1263" s="50"/>
      <c r="C1263" s="332" t="s">
        <v>494</v>
      </c>
      <c r="D1263" s="335" t="s">
        <v>521</v>
      </c>
      <c r="E1263" s="336"/>
      <c r="F1263" s="336"/>
      <c r="G1263" s="337"/>
      <c r="H1263" s="90"/>
      <c r="I1263" s="88" t="s">
        <v>443</v>
      </c>
      <c r="J1263" s="88"/>
      <c r="K1263" s="43">
        <f>IF(I1263="","",COUNTA(I$5:I1263))</f>
        <v>35</v>
      </c>
      <c r="L1263" s="95" t="str">
        <f>INDEX('Ведомость расчета мин. платы'!$B$10:$T$209,MATCH(ЛОТЫ!$K1263,'Ведомость расчета мин. платы'!$B$10:$B$209,0),2)</f>
        <v>Тимерликовское</v>
      </c>
      <c r="M1263" s="95">
        <f>INDEX('Ведомость расчета мин. платы'!$B$10:$T$209,MATCH(ЛОТЫ!$K1263,'Ведомость расчета мин. платы'!$B$10:$B$209,0),3)</f>
        <v>11</v>
      </c>
      <c r="N1263" s="95">
        <f>INDEX('Ведомость расчета мин. платы'!$B$10:$T$209,MATCH(ЛОТЫ!$K1263,'Ведомость расчета мин. платы'!$B$10:$B$209,0),4)</f>
        <v>27</v>
      </c>
      <c r="O1263" s="95">
        <f>INDEX('Ведомость расчета мин. платы'!$B$10:$T$209,MATCH(ЛОТЫ!$K1263,'Ведомость расчета мин. платы'!$B$10:$B$209,0),5)</f>
        <v>5</v>
      </c>
      <c r="P1263" s="89">
        <f>IFERROR(INDEX(Коэффициенты!$G$4:$O$106,MATCH(CONCATENATE($L1263,"/",$M1263,"/",$N1263,"/",$O1263),Коэффициенты!$O$4:$O$106,0),1),"")</f>
        <v>4.9000000000000004</v>
      </c>
      <c r="Q1263" s="40">
        <f>IFERROR(INDEX(Коэффициенты!$G$4:$O$106,MATCH(CONCATENATE($L1263,"/",$M1263,"/",$N1263,"/",$O1263),Коэффициенты!$O$4:$O$106,0),6),"")</f>
        <v>1332.58</v>
      </c>
      <c r="R1263" s="40">
        <f>IFERROR(INDEX(Коэффициенты!$G$4:$O$106,MATCH(CONCATENATE($L1263,"/",$M1263,"/",$N1263,"/",$O1263),Коэффициенты!$O$4:$O$106,0),2),"")</f>
        <v>28601.71</v>
      </c>
      <c r="S1263" s="43" t="str">
        <f>IFERROR(INDEX('Такс. опис.'!$A$5:$BW$50,MATCH(CONCATENATE($L1263,"/",$M1263,"/",$N1263),'Такс. опис.'!$C$5:$C$50,0),26),"")</f>
        <v>8ОС2Б+ЛП</v>
      </c>
      <c r="T1263" s="43" t="str">
        <f>IFERROR(INDEX('Такс. опис.'!$A$5:$BW$50,MATCH(CONCATENATE($L1263,"/",$M1263,"/",$N1263),'Такс. опис.'!$C$5:$C$50,0),47),"")</f>
        <v>Осина</v>
      </c>
      <c r="U1263" s="43">
        <f>IFERROR(INDEX('Такс. опис.'!$A$5:$BW$50,MATCH(CONCATENATE($L1263,"/",$M1263,"/",$N1263),'Такс. опис.'!$C$5:$C$50,0),49),"")</f>
        <v>55</v>
      </c>
      <c r="V1263" s="103">
        <f>IFERROR(INDEX('Ведомость расчета мин. платы'!$AC$10:$AD$214,MATCH(CONCATENATE($L1263,"/",$M1263,"/",$N1263,"/",$O1263),'Ведомость расчета мин. платы'!$AC$10:$AC$214,0),2),"")</f>
        <v>1.24</v>
      </c>
      <c r="W1263" s="40">
        <f>E1291</f>
        <v>1.5899999999999999</v>
      </c>
      <c r="X1263" s="40">
        <f>D1293</f>
        <v>45476.718899999993</v>
      </c>
      <c r="Y1263" s="91">
        <f>D1294</f>
        <v>34.126820828768253</v>
      </c>
      <c r="Z1263" s="88"/>
      <c r="AA1263" s="86">
        <f t="shared" ref="AA1263" si="57">IF(M1263&gt;0,1,0)</f>
        <v>1</v>
      </c>
    </row>
    <row r="1264" spans="2:27" ht="19.5" x14ac:dyDescent="0.25">
      <c r="B1264" s="50"/>
      <c r="C1264" s="333"/>
      <c r="D1264" s="338" t="str">
        <f>CONCATENATE(L1263, " участковое лесничество")</f>
        <v>Тимерликовское участковое лесничество</v>
      </c>
      <c r="E1264" s="338"/>
      <c r="F1264" s="338"/>
      <c r="G1264" s="338"/>
      <c r="H1264" s="90"/>
      <c r="I1264" s="88"/>
      <c r="J1264" s="88">
        <f>IFERROR(IF(ISBLANK(K1263),"",K1263),"")</f>
        <v>35</v>
      </c>
      <c r="K1264" s="88"/>
      <c r="L1264" s="88"/>
      <c r="M1264" s="88"/>
      <c r="N1264" s="88"/>
      <c r="O1264" s="88"/>
      <c r="P1264" s="88"/>
      <c r="Q1264" s="88"/>
      <c r="R1264" s="88"/>
      <c r="S1264" s="88"/>
      <c r="T1264" s="88"/>
      <c r="U1264" s="88"/>
      <c r="V1264" s="88"/>
      <c r="W1264" s="88"/>
      <c r="X1264" s="88"/>
      <c r="Y1264" s="88"/>
      <c r="Z1264" s="88"/>
    </row>
    <row r="1265" spans="2:26" ht="19.5" x14ac:dyDescent="0.25">
      <c r="B1265" s="50"/>
      <c r="C1265" s="334"/>
      <c r="D1265" s="338" t="str">
        <f>CONCATENATE("кв. ",M1263," ","выд."," ",N1263," ","делянка", " ",O1263)</f>
        <v>кв. 11 выд. 27 делянка 5</v>
      </c>
      <c r="E1265" s="338"/>
      <c r="F1265" s="338"/>
      <c r="G1265" s="338"/>
      <c r="H1265" s="90"/>
      <c r="I1265" s="88"/>
      <c r="J1265" s="88"/>
      <c r="K1265" s="88"/>
      <c r="L1265" s="88"/>
      <c r="M1265" s="88"/>
      <c r="N1265" s="88"/>
      <c r="O1265" s="88"/>
      <c r="P1265" s="88"/>
      <c r="Q1265" s="88"/>
      <c r="R1265" s="88"/>
      <c r="S1265" s="88"/>
      <c r="T1265" s="88"/>
      <c r="U1265" s="88"/>
      <c r="V1265" s="88"/>
      <c r="W1265" s="88"/>
      <c r="X1265" s="88"/>
      <c r="Y1265" s="88"/>
      <c r="Z1265" s="88"/>
    </row>
    <row r="1266" spans="2:26" ht="23.25" x14ac:dyDescent="0.25">
      <c r="B1266" s="49"/>
      <c r="C1266" s="61" t="s">
        <v>495</v>
      </c>
      <c r="D1266" s="51">
        <f>P1263</f>
        <v>4.9000000000000004</v>
      </c>
      <c r="E1266" s="62"/>
      <c r="F1266" s="50"/>
      <c r="G1266" s="48"/>
      <c r="H1266" s="87"/>
    </row>
    <row r="1267" spans="2:26" ht="22.5" x14ac:dyDescent="0.25">
      <c r="B1267" s="49"/>
      <c r="C1267" s="63" t="s">
        <v>496</v>
      </c>
      <c r="D1267" s="106">
        <f>Q1263</f>
        <v>1332.58</v>
      </c>
      <c r="E1267" s="309" t="s">
        <v>497</v>
      </c>
      <c r="F1267" s="310"/>
      <c r="G1267" s="313">
        <f>D1268/D1267</f>
        <v>21.463409326269343</v>
      </c>
      <c r="H1267" s="87"/>
    </row>
    <row r="1268" spans="2:26" ht="22.5" x14ac:dyDescent="0.25">
      <c r="B1268" s="49"/>
      <c r="C1268" s="63" t="s">
        <v>498</v>
      </c>
      <c r="D1268" s="52">
        <f>R1263</f>
        <v>28601.71</v>
      </c>
      <c r="E1268" s="311"/>
      <c r="F1268" s="312"/>
      <c r="G1268" s="314"/>
      <c r="H1268" s="87"/>
    </row>
    <row r="1269" spans="2:26" ht="23.25" x14ac:dyDescent="0.25">
      <c r="B1269" s="49"/>
      <c r="C1269" s="64"/>
      <c r="D1269" s="53"/>
      <c r="E1269" s="65"/>
      <c r="F1269" s="49"/>
      <c r="G1269" s="48"/>
      <c r="H1269" s="87"/>
    </row>
    <row r="1270" spans="2:26" ht="23.25" x14ac:dyDescent="0.25">
      <c r="B1270" s="49"/>
      <c r="C1270" s="82" t="s">
        <v>499</v>
      </c>
      <c r="D1270" s="96" t="str">
        <f>S1263</f>
        <v>8ОС2Б+ЛП</v>
      </c>
      <c r="E1270" s="49"/>
      <c r="F1270" s="49"/>
      <c r="G1270" s="48"/>
      <c r="H1270" s="87"/>
    </row>
    <row r="1271" spans="2:26" ht="23.25" x14ac:dyDescent="0.25">
      <c r="B1271" s="49"/>
      <c r="C1271" s="82" t="s">
        <v>500</v>
      </c>
      <c r="D1271" s="96">
        <f>U1263</f>
        <v>55</v>
      </c>
      <c r="E1271" s="49"/>
      <c r="F1271" s="49"/>
      <c r="G1271" s="48"/>
      <c r="H1271" s="87"/>
    </row>
    <row r="1272" spans="2:26" ht="23.25" x14ac:dyDescent="0.25">
      <c r="B1272" s="49"/>
      <c r="C1272" s="82" t="s">
        <v>501</v>
      </c>
      <c r="D1272" s="83" t="s">
        <v>502</v>
      </c>
      <c r="E1272" s="49"/>
      <c r="F1272" s="49"/>
      <c r="G1272" s="48"/>
      <c r="H1272" s="87"/>
    </row>
    <row r="1273" spans="2:26" ht="24" thickBot="1" x14ac:dyDescent="0.3">
      <c r="B1273" s="49"/>
      <c r="C1273" s="49"/>
      <c r="D1273" s="49"/>
      <c r="E1273" s="49"/>
      <c r="F1273" s="49"/>
      <c r="G1273" s="48"/>
      <c r="H1273" s="87"/>
    </row>
    <row r="1274" spans="2:26" ht="48" thickBot="1" x14ac:dyDescent="0.3">
      <c r="B1274" s="315" t="s">
        <v>436</v>
      </c>
      <c r="C1274" s="316"/>
      <c r="D1274" s="54" t="s">
        <v>503</v>
      </c>
      <c r="E1274" s="317" t="s">
        <v>504</v>
      </c>
      <c r="F1274" s="318"/>
      <c r="G1274" s="55" t="s">
        <v>505</v>
      </c>
      <c r="H1274" s="87"/>
    </row>
    <row r="1275" spans="2:26" ht="24" thickBot="1" x14ac:dyDescent="0.3">
      <c r="B1275" s="319" t="s">
        <v>506</v>
      </c>
      <c r="C1275" s="320"/>
      <c r="D1275" s="136">
        <v>197.93</v>
      </c>
      <c r="E1275" s="136">
        <f>D1266</f>
        <v>4.9000000000000004</v>
      </c>
      <c r="F1275" s="77" t="s">
        <v>434</v>
      </c>
      <c r="G1275" s="142">
        <f t="shared" ref="G1275:G1282" si="58">D1275*E1275</f>
        <v>969.85700000000008</v>
      </c>
      <c r="H1275" s="321"/>
    </row>
    <row r="1276" spans="2:26" ht="23.25" x14ac:dyDescent="0.25">
      <c r="B1276" s="322" t="s">
        <v>507</v>
      </c>
      <c r="C1276" s="323"/>
      <c r="D1276" s="137">
        <v>159.44</v>
      </c>
      <c r="E1276" s="137">
        <f>V1263</f>
        <v>1.24</v>
      </c>
      <c r="F1276" s="78" t="s">
        <v>437</v>
      </c>
      <c r="G1276" s="143">
        <f t="shared" si="58"/>
        <v>197.7056</v>
      </c>
      <c r="H1276" s="321"/>
    </row>
    <row r="1277" spans="2:26" ht="24" thickBot="1" x14ac:dyDescent="0.3">
      <c r="B1277" s="324" t="s">
        <v>508</v>
      </c>
      <c r="C1277" s="325"/>
      <c r="D1277" s="138">
        <v>276.62</v>
      </c>
      <c r="E1277" s="138">
        <f>V1263</f>
        <v>1.24</v>
      </c>
      <c r="F1277" s="79" t="s">
        <v>437</v>
      </c>
      <c r="G1277" s="144">
        <f t="shared" si="58"/>
        <v>343.00880000000001</v>
      </c>
      <c r="H1277" s="321"/>
    </row>
    <row r="1278" spans="2:26" ht="24" thickBot="1" x14ac:dyDescent="0.3">
      <c r="B1278" s="326" t="s">
        <v>438</v>
      </c>
      <c r="C1278" s="327"/>
      <c r="D1278" s="139">
        <v>519</v>
      </c>
      <c r="E1278" s="139"/>
      <c r="F1278" s="80" t="s">
        <v>434</v>
      </c>
      <c r="G1278" s="145">
        <f t="shared" si="58"/>
        <v>0</v>
      </c>
      <c r="H1278" s="321"/>
    </row>
    <row r="1279" spans="2:26" ht="23.25" x14ac:dyDescent="0.25">
      <c r="B1279" s="322" t="s">
        <v>509</v>
      </c>
      <c r="C1279" s="323"/>
      <c r="D1279" s="137">
        <v>920</v>
      </c>
      <c r="E1279" s="137">
        <f>D1266*2</f>
        <v>9.8000000000000007</v>
      </c>
      <c r="F1279" s="78" t="s">
        <v>434</v>
      </c>
      <c r="G1279" s="143">
        <f t="shared" si="58"/>
        <v>9016</v>
      </c>
      <c r="H1279" s="321"/>
    </row>
    <row r="1280" spans="2:26" ht="23.25" x14ac:dyDescent="0.25">
      <c r="B1280" s="328" t="s">
        <v>510</v>
      </c>
      <c r="C1280" s="329"/>
      <c r="D1280" s="140">
        <v>1300</v>
      </c>
      <c r="E1280" s="140">
        <f>IF(T1263="Осина",D1266,"0")</f>
        <v>4.9000000000000004</v>
      </c>
      <c r="F1280" s="81" t="s">
        <v>434</v>
      </c>
      <c r="G1280" s="146">
        <f t="shared" si="58"/>
        <v>6370.0000000000009</v>
      </c>
      <c r="H1280" s="321"/>
    </row>
    <row r="1281" spans="2:8" ht="23.25" x14ac:dyDescent="0.25">
      <c r="B1281" s="328" t="s">
        <v>439</v>
      </c>
      <c r="C1281" s="329"/>
      <c r="D1281" s="141">
        <v>5165.12</v>
      </c>
      <c r="E1281" s="140" t="str">
        <f>IF(T1263="Осина","0",D1266)</f>
        <v>0</v>
      </c>
      <c r="F1281" s="81" t="s">
        <v>434</v>
      </c>
      <c r="G1281" s="146">
        <f t="shared" si="58"/>
        <v>0</v>
      </c>
      <c r="H1281" s="321"/>
    </row>
    <row r="1282" spans="2:8" ht="23.25" x14ac:dyDescent="0.25">
      <c r="B1282" s="328" t="s">
        <v>511</v>
      </c>
      <c r="C1282" s="329"/>
      <c r="D1282" s="141">
        <v>917</v>
      </c>
      <c r="E1282" s="140" t="str">
        <f>IF(T1263="Осина","0",D1266)</f>
        <v>0</v>
      </c>
      <c r="F1282" s="81" t="s">
        <v>434</v>
      </c>
      <c r="G1282" s="146">
        <f t="shared" si="58"/>
        <v>0</v>
      </c>
      <c r="H1282" s="321"/>
    </row>
    <row r="1283" spans="2:8" ht="23.25" x14ac:dyDescent="0.25">
      <c r="B1283" s="328" t="s">
        <v>441</v>
      </c>
      <c r="C1283" s="329"/>
      <c r="D1283" s="141">
        <v>461.56000000000006</v>
      </c>
      <c r="E1283" s="140" t="str">
        <f>IF(T1263="Осина","0",D1266)</f>
        <v>0</v>
      </c>
      <c r="F1283" s="81" t="s">
        <v>434</v>
      </c>
      <c r="G1283" s="146">
        <f>D1283*E1283</f>
        <v>0</v>
      </c>
      <c r="H1283" s="321"/>
    </row>
    <row r="1284" spans="2:8" ht="24" thickBot="1" x14ac:dyDescent="0.3">
      <c r="B1284" s="324" t="s">
        <v>440</v>
      </c>
      <c r="C1284" s="325"/>
      <c r="D1284" s="138">
        <v>353.15</v>
      </c>
      <c r="E1284" s="140" t="str">
        <f>IF(T1263="Осина","0",D1266*4)</f>
        <v>0</v>
      </c>
      <c r="F1284" s="79" t="s">
        <v>434</v>
      </c>
      <c r="G1284" s="147">
        <f>D1284*E1284</f>
        <v>0</v>
      </c>
      <c r="H1284" s="321"/>
    </row>
    <row r="1285" spans="2:8" ht="23.25" x14ac:dyDescent="0.25">
      <c r="B1285" s="49"/>
      <c r="C1285" s="66"/>
      <c r="D1285" s="66"/>
      <c r="E1285" s="56"/>
      <c r="F1285" s="56"/>
      <c r="G1285" s="48"/>
      <c r="H1285" s="92"/>
    </row>
    <row r="1286" spans="2:8" ht="25.5" x14ac:dyDescent="0.25">
      <c r="B1286" s="49"/>
      <c r="C1286" s="59" t="s">
        <v>512</v>
      </c>
      <c r="D1286" s="60"/>
      <c r="E1286" s="49"/>
      <c r="F1286" s="49"/>
      <c r="G1286" s="48"/>
      <c r="H1286" s="87"/>
    </row>
    <row r="1287" spans="2:8" ht="18.75" x14ac:dyDescent="0.25">
      <c r="B1287" s="49"/>
      <c r="C1287" s="306" t="s">
        <v>513</v>
      </c>
      <c r="D1287" s="107" t="s">
        <v>514</v>
      </c>
      <c r="E1287" s="68">
        <f>ROUND((G1275+D1268)/D1268,2)</f>
        <v>1.03</v>
      </c>
      <c r="F1287" s="68"/>
      <c r="G1287" s="50"/>
      <c r="H1287" s="87"/>
    </row>
    <row r="1288" spans="2:8" ht="23.25" x14ac:dyDescent="0.25">
      <c r="B1288" s="49"/>
      <c r="C1288" s="306"/>
      <c r="D1288" s="107" t="s">
        <v>515</v>
      </c>
      <c r="E1288" s="68">
        <f>ROUND((G1276+G1277+D1268)/D1268,2)</f>
        <v>1.02</v>
      </c>
      <c r="F1288" s="68"/>
      <c r="G1288" s="57"/>
      <c r="H1288" s="93"/>
    </row>
    <row r="1289" spans="2:8" ht="23.25" x14ac:dyDescent="0.25">
      <c r="B1289" s="49"/>
      <c r="C1289" s="306"/>
      <c r="D1289" s="107" t="s">
        <v>516</v>
      </c>
      <c r="E1289" s="68">
        <f>ROUND((G1278+D1268)/D1268,2)</f>
        <v>1</v>
      </c>
      <c r="F1289" s="50"/>
      <c r="G1289" s="57"/>
      <c r="H1289" s="87"/>
    </row>
    <row r="1290" spans="2:8" ht="23.25" x14ac:dyDescent="0.25">
      <c r="B1290" s="49"/>
      <c r="C1290" s="306"/>
      <c r="D1290" s="69" t="s">
        <v>517</v>
      </c>
      <c r="E1290" s="70">
        <f>ROUND((SUM(G1279:G1284)+D1268)/D1268,2)</f>
        <v>1.54</v>
      </c>
      <c r="F1290" s="50"/>
      <c r="G1290" s="57"/>
      <c r="H1290" s="87"/>
    </row>
    <row r="1291" spans="2:8" ht="25.5" x14ac:dyDescent="0.25">
      <c r="B1291" s="49"/>
      <c r="C1291" s="49"/>
      <c r="D1291" s="71" t="s">
        <v>518</v>
      </c>
      <c r="E1291" s="72">
        <f>SUM(E1287:E1290)-IF(D1272="сплошная",3,2)</f>
        <v>1.5899999999999999</v>
      </c>
      <c r="F1291" s="73"/>
      <c r="G1291" s="48"/>
      <c r="H1291" s="87"/>
    </row>
    <row r="1292" spans="2:8" ht="23.25" x14ac:dyDescent="0.25">
      <c r="B1292" s="49"/>
      <c r="C1292" s="49"/>
      <c r="D1292" s="49"/>
      <c r="E1292" s="74"/>
      <c r="F1292" s="49"/>
      <c r="G1292" s="48"/>
      <c r="H1292" s="87"/>
    </row>
    <row r="1293" spans="2:8" ht="25.5" x14ac:dyDescent="0.35">
      <c r="B1293" s="58"/>
      <c r="C1293" s="75" t="s">
        <v>519</v>
      </c>
      <c r="D1293" s="307">
        <f>E1291*D1268</f>
        <v>45476.718899999993</v>
      </c>
      <c r="E1293" s="307"/>
      <c r="F1293" s="49"/>
      <c r="G1293" s="48"/>
      <c r="H1293" s="87"/>
    </row>
    <row r="1294" spans="2:8" ht="18.75" x14ac:dyDescent="0.3">
      <c r="B1294" s="49"/>
      <c r="C1294" s="76" t="s">
        <v>520</v>
      </c>
      <c r="D1294" s="308">
        <f>D1293/D1267</f>
        <v>34.126820828768253</v>
      </c>
      <c r="E1294" s="308"/>
      <c r="F1294" s="49"/>
      <c r="G1294" s="49"/>
      <c r="H1294" s="94"/>
    </row>
    <row r="1297" spans="2:27" ht="60.75" x14ac:dyDescent="0.8">
      <c r="B1297" s="330" t="str">
        <f>CONCATENATE("ЛОТ № ",K1300)</f>
        <v>ЛОТ № 36</v>
      </c>
      <c r="C1297" s="330"/>
      <c r="D1297" s="330"/>
      <c r="E1297" s="330"/>
      <c r="F1297" s="330"/>
      <c r="G1297" s="330"/>
      <c r="H1297" s="330"/>
    </row>
    <row r="1298" spans="2:27" ht="18.75" x14ac:dyDescent="0.25">
      <c r="B1298" s="331" t="s">
        <v>492</v>
      </c>
      <c r="C1298" s="331"/>
      <c r="D1298" s="331"/>
      <c r="E1298" s="331"/>
      <c r="F1298" s="331"/>
      <c r="G1298" s="331"/>
      <c r="H1298" s="87"/>
    </row>
    <row r="1299" spans="2:27" ht="25.5" x14ac:dyDescent="0.25">
      <c r="B1299" s="49"/>
      <c r="C1299" s="59" t="s">
        <v>493</v>
      </c>
      <c r="D1299" s="60"/>
      <c r="E1299" s="49"/>
      <c r="F1299" s="49"/>
      <c r="G1299" s="48"/>
      <c r="H1299" s="87"/>
      <c r="I1299" s="88"/>
      <c r="J1299" s="88"/>
      <c r="K1299" s="88"/>
      <c r="L1299" s="88" t="s">
        <v>454</v>
      </c>
      <c r="M1299" s="88" t="s">
        <v>444</v>
      </c>
      <c r="N1299" s="88" t="s">
        <v>445</v>
      </c>
      <c r="O1299" s="88" t="s">
        <v>453</v>
      </c>
      <c r="P1299" s="89" t="s">
        <v>446</v>
      </c>
      <c r="Q1299" s="88" t="s">
        <v>435</v>
      </c>
      <c r="R1299" s="40" t="s">
        <v>447</v>
      </c>
      <c r="S1299" s="40" t="s">
        <v>522</v>
      </c>
      <c r="T1299" s="88" t="s">
        <v>118</v>
      </c>
      <c r="U1299" s="88" t="s">
        <v>500</v>
      </c>
      <c r="V1299" s="88" t="s">
        <v>450</v>
      </c>
      <c r="W1299" s="40" t="s">
        <v>448</v>
      </c>
      <c r="X1299" s="40" t="s">
        <v>449</v>
      </c>
      <c r="Y1299" s="88" t="s">
        <v>523</v>
      </c>
      <c r="Z1299" s="88"/>
    </row>
    <row r="1300" spans="2:27" ht="19.5" x14ac:dyDescent="0.25">
      <c r="B1300" s="50"/>
      <c r="C1300" s="332" t="s">
        <v>494</v>
      </c>
      <c r="D1300" s="335" t="s">
        <v>521</v>
      </c>
      <c r="E1300" s="336"/>
      <c r="F1300" s="336"/>
      <c r="G1300" s="337"/>
      <c r="H1300" s="90"/>
      <c r="I1300" s="88" t="s">
        <v>443</v>
      </c>
      <c r="J1300" s="88"/>
      <c r="K1300" s="43">
        <f>IF(I1300="","",COUNTA(I$5:I1300))</f>
        <v>36</v>
      </c>
      <c r="L1300" s="95" t="str">
        <f>INDEX('Ведомость расчета мин. платы'!$B$10:$T$209,MATCH(ЛОТЫ!$K1300,'Ведомость расчета мин. платы'!$B$10:$B$209,0),2)</f>
        <v>Тимерликовское</v>
      </c>
      <c r="M1300" s="95">
        <f>INDEX('Ведомость расчета мин. платы'!$B$10:$T$209,MATCH(ЛОТЫ!$K1300,'Ведомость расчета мин. платы'!$B$10:$B$209,0),3)</f>
        <v>16</v>
      </c>
      <c r="N1300" s="95">
        <f>INDEX('Ведомость расчета мин. платы'!$B$10:$T$209,MATCH(ЛОТЫ!$K1300,'Ведомость расчета мин. платы'!$B$10:$B$209,0),4)</f>
        <v>6</v>
      </c>
      <c r="O1300" s="95">
        <f>INDEX('Ведомость расчета мин. платы'!$B$10:$T$209,MATCH(ЛОТЫ!$K1300,'Ведомость расчета мин. платы'!$B$10:$B$209,0),5)</f>
        <v>1</v>
      </c>
      <c r="P1300" s="89">
        <f>IFERROR(INDEX(Коэффициенты!$G$4:$O$106,MATCH(CONCATENATE($L1300,"/",$M1300,"/",$N1300,"/",$O1300),Коэффициенты!$O$4:$O$106,0),1),"")</f>
        <v>3.2</v>
      </c>
      <c r="Q1300" s="40">
        <f>IFERROR(INDEX(Коэффициенты!$G$4:$O$106,MATCH(CONCATENATE($L1300,"/",$M1300,"/",$N1300,"/",$O1300),Коэффициенты!$O$4:$O$106,0),6),"")</f>
        <v>711.54</v>
      </c>
      <c r="R1300" s="40">
        <f>IFERROR(INDEX(Коэффициенты!$G$4:$O$106,MATCH(CONCATENATE($L1300,"/",$M1300,"/",$N1300,"/",$O1300),Коэффициенты!$O$4:$O$106,0),2),"")</f>
        <v>15460.15</v>
      </c>
      <c r="S1300" s="43" t="str">
        <f>IFERROR(INDEX('Такс. опис.'!$A$5:$BW$50,MATCH(CONCATENATE($L1300,"/",$M1300,"/",$N1300),'Такс. опис.'!$C$5:$C$50,0),26),"")</f>
        <v>8ОС2Б+ЛП</v>
      </c>
      <c r="T1300" s="43" t="str">
        <f>IFERROR(INDEX('Такс. опис.'!$A$5:$BW$50,MATCH(CONCATENATE($L1300,"/",$M1300,"/",$N1300),'Такс. опис.'!$C$5:$C$50,0),47),"")</f>
        <v>Осина</v>
      </c>
      <c r="U1300" s="43">
        <f>IFERROR(INDEX('Такс. опис.'!$A$5:$BW$50,MATCH(CONCATENATE($L1300,"/",$M1300,"/",$N1300),'Такс. опис.'!$C$5:$C$50,0),49),"")</f>
        <v>60</v>
      </c>
      <c r="V1300" s="103">
        <f>IFERROR(INDEX('Ведомость расчета мин. платы'!$AC$10:$AD$214,MATCH(CONCATENATE($L1300,"/",$M1300,"/",$N1300,"/",$O1300),'Ведомость расчета мин. платы'!$AC$10:$AC$214,0),2),"")</f>
        <v>0.84</v>
      </c>
      <c r="W1300" s="40">
        <f>E1328</f>
        <v>1.71</v>
      </c>
      <c r="X1300" s="40">
        <f>D1330</f>
        <v>26436.856499999998</v>
      </c>
      <c r="Y1300" s="91">
        <f>D1331</f>
        <v>37.154420693144445</v>
      </c>
      <c r="Z1300" s="88"/>
      <c r="AA1300" s="86">
        <f t="shared" ref="AA1300" si="59">IF(M1300&gt;0,1,0)</f>
        <v>1</v>
      </c>
    </row>
    <row r="1301" spans="2:27" ht="19.5" x14ac:dyDescent="0.25">
      <c r="B1301" s="50"/>
      <c r="C1301" s="333"/>
      <c r="D1301" s="338" t="str">
        <f>CONCATENATE(L1300, " участковое лесничество")</f>
        <v>Тимерликовское участковое лесничество</v>
      </c>
      <c r="E1301" s="338"/>
      <c r="F1301" s="338"/>
      <c r="G1301" s="338"/>
      <c r="H1301" s="90"/>
      <c r="I1301" s="88"/>
      <c r="J1301" s="88">
        <f>IFERROR(IF(ISBLANK(K1300),"",K1300),"")</f>
        <v>36</v>
      </c>
      <c r="K1301" s="88"/>
      <c r="L1301" s="88"/>
      <c r="M1301" s="88"/>
      <c r="N1301" s="88"/>
      <c r="O1301" s="88"/>
      <c r="P1301" s="88"/>
      <c r="Q1301" s="88"/>
      <c r="R1301" s="88"/>
      <c r="S1301" s="88"/>
      <c r="T1301" s="88"/>
      <c r="U1301" s="88"/>
      <c r="V1301" s="88"/>
      <c r="W1301" s="88"/>
      <c r="X1301" s="88"/>
      <c r="Y1301" s="88"/>
      <c r="Z1301" s="88"/>
    </row>
    <row r="1302" spans="2:27" ht="19.5" x14ac:dyDescent="0.25">
      <c r="B1302" s="50"/>
      <c r="C1302" s="334"/>
      <c r="D1302" s="338" t="str">
        <f>CONCATENATE("кв. ",M1300," ","выд."," ",N1300," ","делянка", " ",O1300)</f>
        <v>кв. 16 выд. 6 делянка 1</v>
      </c>
      <c r="E1302" s="338"/>
      <c r="F1302" s="338"/>
      <c r="G1302" s="338"/>
      <c r="H1302" s="90"/>
      <c r="I1302" s="88"/>
      <c r="J1302" s="88"/>
      <c r="K1302" s="88"/>
      <c r="L1302" s="88"/>
      <c r="M1302" s="88"/>
      <c r="N1302" s="88"/>
      <c r="O1302" s="88"/>
      <c r="P1302" s="88"/>
      <c r="Q1302" s="88"/>
      <c r="R1302" s="88"/>
      <c r="S1302" s="88"/>
      <c r="T1302" s="88"/>
      <c r="U1302" s="88"/>
      <c r="V1302" s="88"/>
      <c r="W1302" s="88"/>
      <c r="X1302" s="88"/>
      <c r="Y1302" s="88"/>
      <c r="Z1302" s="88"/>
    </row>
    <row r="1303" spans="2:27" ht="23.25" x14ac:dyDescent="0.25">
      <c r="B1303" s="49"/>
      <c r="C1303" s="61" t="s">
        <v>495</v>
      </c>
      <c r="D1303" s="51">
        <f>P1300</f>
        <v>3.2</v>
      </c>
      <c r="E1303" s="62"/>
      <c r="F1303" s="50"/>
      <c r="G1303" s="48"/>
      <c r="H1303" s="87"/>
    </row>
    <row r="1304" spans="2:27" ht="22.5" x14ac:dyDescent="0.25">
      <c r="B1304" s="49"/>
      <c r="C1304" s="63" t="s">
        <v>496</v>
      </c>
      <c r="D1304" s="106">
        <f>Q1300</f>
        <v>711.54</v>
      </c>
      <c r="E1304" s="309" t="s">
        <v>497</v>
      </c>
      <c r="F1304" s="310"/>
      <c r="G1304" s="313">
        <f>D1305/D1304</f>
        <v>21.727731399499678</v>
      </c>
      <c r="H1304" s="87"/>
    </row>
    <row r="1305" spans="2:27" ht="22.5" x14ac:dyDescent="0.25">
      <c r="B1305" s="49"/>
      <c r="C1305" s="63" t="s">
        <v>498</v>
      </c>
      <c r="D1305" s="52">
        <f>R1300</f>
        <v>15460.15</v>
      </c>
      <c r="E1305" s="311"/>
      <c r="F1305" s="312"/>
      <c r="G1305" s="314"/>
      <c r="H1305" s="87"/>
    </row>
    <row r="1306" spans="2:27" ht="23.25" x14ac:dyDescent="0.25">
      <c r="B1306" s="49"/>
      <c r="C1306" s="64"/>
      <c r="D1306" s="53"/>
      <c r="E1306" s="65"/>
      <c r="F1306" s="49"/>
      <c r="G1306" s="48"/>
      <c r="H1306" s="87"/>
    </row>
    <row r="1307" spans="2:27" ht="23.25" x14ac:dyDescent="0.25">
      <c r="B1307" s="49"/>
      <c r="C1307" s="82" t="s">
        <v>499</v>
      </c>
      <c r="D1307" s="96" t="str">
        <f>S1300</f>
        <v>8ОС2Б+ЛП</v>
      </c>
      <c r="E1307" s="49"/>
      <c r="F1307" s="49"/>
      <c r="G1307" s="48"/>
      <c r="H1307" s="87"/>
    </row>
    <row r="1308" spans="2:27" ht="23.25" x14ac:dyDescent="0.25">
      <c r="B1308" s="49"/>
      <c r="C1308" s="82" t="s">
        <v>500</v>
      </c>
      <c r="D1308" s="96">
        <f>U1300</f>
        <v>60</v>
      </c>
      <c r="E1308" s="49"/>
      <c r="F1308" s="49"/>
      <c r="G1308" s="48"/>
      <c r="H1308" s="87"/>
    </row>
    <row r="1309" spans="2:27" ht="23.25" x14ac:dyDescent="0.25">
      <c r="B1309" s="49"/>
      <c r="C1309" s="82" t="s">
        <v>501</v>
      </c>
      <c r="D1309" s="83" t="s">
        <v>502</v>
      </c>
      <c r="E1309" s="49"/>
      <c r="F1309" s="49"/>
      <c r="G1309" s="48"/>
      <c r="H1309" s="87"/>
    </row>
    <row r="1310" spans="2:27" ht="24" thickBot="1" x14ac:dyDescent="0.3">
      <c r="B1310" s="49"/>
      <c r="C1310" s="49"/>
      <c r="D1310" s="49"/>
      <c r="E1310" s="49"/>
      <c r="F1310" s="49"/>
      <c r="G1310" s="48"/>
      <c r="H1310" s="87"/>
    </row>
    <row r="1311" spans="2:27" ht="48" thickBot="1" x14ac:dyDescent="0.3">
      <c r="B1311" s="315" t="s">
        <v>436</v>
      </c>
      <c r="C1311" s="316"/>
      <c r="D1311" s="54" t="s">
        <v>503</v>
      </c>
      <c r="E1311" s="317" t="s">
        <v>504</v>
      </c>
      <c r="F1311" s="318"/>
      <c r="G1311" s="55" t="s">
        <v>505</v>
      </c>
      <c r="H1311" s="87"/>
    </row>
    <row r="1312" spans="2:27" ht="24" thickBot="1" x14ac:dyDescent="0.3">
      <c r="B1312" s="319" t="s">
        <v>506</v>
      </c>
      <c r="C1312" s="320"/>
      <c r="D1312" s="136">
        <v>197.93</v>
      </c>
      <c r="E1312" s="136">
        <f>D1303</f>
        <v>3.2</v>
      </c>
      <c r="F1312" s="77" t="s">
        <v>434</v>
      </c>
      <c r="G1312" s="142">
        <f t="shared" ref="G1312:G1319" si="60">D1312*E1312</f>
        <v>633.37600000000009</v>
      </c>
      <c r="H1312" s="321"/>
    </row>
    <row r="1313" spans="2:8" ht="23.25" x14ac:dyDescent="0.25">
      <c r="B1313" s="322" t="s">
        <v>507</v>
      </c>
      <c r="C1313" s="323"/>
      <c r="D1313" s="137">
        <v>159.44</v>
      </c>
      <c r="E1313" s="137">
        <f>V1300</f>
        <v>0.84</v>
      </c>
      <c r="F1313" s="78" t="s">
        <v>437</v>
      </c>
      <c r="G1313" s="143">
        <f t="shared" si="60"/>
        <v>133.92959999999999</v>
      </c>
      <c r="H1313" s="321"/>
    </row>
    <row r="1314" spans="2:8" ht="24" thickBot="1" x14ac:dyDescent="0.3">
      <c r="B1314" s="324" t="s">
        <v>508</v>
      </c>
      <c r="C1314" s="325"/>
      <c r="D1314" s="138">
        <v>276.62</v>
      </c>
      <c r="E1314" s="138">
        <f>V1300</f>
        <v>0.84</v>
      </c>
      <c r="F1314" s="79" t="s">
        <v>437</v>
      </c>
      <c r="G1314" s="144">
        <f t="shared" si="60"/>
        <v>232.36079999999998</v>
      </c>
      <c r="H1314" s="321"/>
    </row>
    <row r="1315" spans="2:8" ht="24" thickBot="1" x14ac:dyDescent="0.3">
      <c r="B1315" s="326" t="s">
        <v>438</v>
      </c>
      <c r="C1315" s="327"/>
      <c r="D1315" s="139">
        <v>519</v>
      </c>
      <c r="E1315" s="139"/>
      <c r="F1315" s="80" t="s">
        <v>434</v>
      </c>
      <c r="G1315" s="145">
        <f t="shared" si="60"/>
        <v>0</v>
      </c>
      <c r="H1315" s="321"/>
    </row>
    <row r="1316" spans="2:8" ht="23.25" x14ac:dyDescent="0.25">
      <c r="B1316" s="322" t="s">
        <v>509</v>
      </c>
      <c r="C1316" s="323"/>
      <c r="D1316" s="137">
        <v>920</v>
      </c>
      <c r="E1316" s="137">
        <f>D1303*2</f>
        <v>6.4</v>
      </c>
      <c r="F1316" s="78" t="s">
        <v>434</v>
      </c>
      <c r="G1316" s="143">
        <f t="shared" si="60"/>
        <v>5888</v>
      </c>
      <c r="H1316" s="321"/>
    </row>
    <row r="1317" spans="2:8" ht="23.25" x14ac:dyDescent="0.25">
      <c r="B1317" s="328" t="s">
        <v>510</v>
      </c>
      <c r="C1317" s="329"/>
      <c r="D1317" s="140">
        <v>1300</v>
      </c>
      <c r="E1317" s="140">
        <f>IF(T1300="Осина",D1303,"0")</f>
        <v>3.2</v>
      </c>
      <c r="F1317" s="81" t="s">
        <v>434</v>
      </c>
      <c r="G1317" s="146">
        <f t="shared" si="60"/>
        <v>4160</v>
      </c>
      <c r="H1317" s="321"/>
    </row>
    <row r="1318" spans="2:8" ht="23.25" x14ac:dyDescent="0.25">
      <c r="B1318" s="328" t="s">
        <v>439</v>
      </c>
      <c r="C1318" s="329"/>
      <c r="D1318" s="141">
        <v>5165.12</v>
      </c>
      <c r="E1318" s="140" t="str">
        <f>IF(T1300="Осина","0",D1303)</f>
        <v>0</v>
      </c>
      <c r="F1318" s="81" t="s">
        <v>434</v>
      </c>
      <c r="G1318" s="146">
        <f t="shared" si="60"/>
        <v>0</v>
      </c>
      <c r="H1318" s="321"/>
    </row>
    <row r="1319" spans="2:8" ht="23.25" x14ac:dyDescent="0.25">
      <c r="B1319" s="328" t="s">
        <v>511</v>
      </c>
      <c r="C1319" s="329"/>
      <c r="D1319" s="141">
        <v>917</v>
      </c>
      <c r="E1319" s="140" t="str">
        <f>IF(T1300="Осина","0",D1303)</f>
        <v>0</v>
      </c>
      <c r="F1319" s="81" t="s">
        <v>434</v>
      </c>
      <c r="G1319" s="146">
        <f t="shared" si="60"/>
        <v>0</v>
      </c>
      <c r="H1319" s="321"/>
    </row>
    <row r="1320" spans="2:8" ht="23.25" x14ac:dyDescent="0.25">
      <c r="B1320" s="328" t="s">
        <v>441</v>
      </c>
      <c r="C1320" s="329"/>
      <c r="D1320" s="141">
        <v>461.56000000000006</v>
      </c>
      <c r="E1320" s="140" t="str">
        <f>IF(T1300="Осина","0",D1303)</f>
        <v>0</v>
      </c>
      <c r="F1320" s="81" t="s">
        <v>434</v>
      </c>
      <c r="G1320" s="146">
        <f>D1320*E1320</f>
        <v>0</v>
      </c>
      <c r="H1320" s="321"/>
    </row>
    <row r="1321" spans="2:8" ht="24" thickBot="1" x14ac:dyDescent="0.3">
      <c r="B1321" s="324" t="s">
        <v>440</v>
      </c>
      <c r="C1321" s="325"/>
      <c r="D1321" s="138">
        <v>353.15</v>
      </c>
      <c r="E1321" s="140" t="str">
        <f>IF(T1300="Осина","0",D1303*4)</f>
        <v>0</v>
      </c>
      <c r="F1321" s="79" t="s">
        <v>434</v>
      </c>
      <c r="G1321" s="147">
        <f>D1321*E1321</f>
        <v>0</v>
      </c>
      <c r="H1321" s="321"/>
    </row>
    <row r="1322" spans="2:8" ht="23.25" x14ac:dyDescent="0.25">
      <c r="B1322" s="49"/>
      <c r="C1322" s="66"/>
      <c r="D1322" s="66"/>
      <c r="E1322" s="56"/>
      <c r="F1322" s="56"/>
      <c r="G1322" s="48"/>
      <c r="H1322" s="92"/>
    </row>
    <row r="1323" spans="2:8" ht="25.5" x14ac:dyDescent="0.25">
      <c r="B1323" s="49"/>
      <c r="C1323" s="59" t="s">
        <v>512</v>
      </c>
      <c r="D1323" s="60"/>
      <c r="E1323" s="49"/>
      <c r="F1323" s="49"/>
      <c r="G1323" s="48"/>
      <c r="H1323" s="87"/>
    </row>
    <row r="1324" spans="2:8" ht="18.75" x14ac:dyDescent="0.25">
      <c r="B1324" s="49"/>
      <c r="C1324" s="306" t="s">
        <v>513</v>
      </c>
      <c r="D1324" s="107" t="s">
        <v>514</v>
      </c>
      <c r="E1324" s="68">
        <f>ROUND((G1312+D1305)/D1305,2)</f>
        <v>1.04</v>
      </c>
      <c r="F1324" s="68"/>
      <c r="G1324" s="50"/>
      <c r="H1324" s="87"/>
    </row>
    <row r="1325" spans="2:8" ht="23.25" x14ac:dyDescent="0.25">
      <c r="B1325" s="49"/>
      <c r="C1325" s="306"/>
      <c r="D1325" s="107" t="s">
        <v>515</v>
      </c>
      <c r="E1325" s="68">
        <f>ROUND((G1313+G1314+D1305)/D1305,2)</f>
        <v>1.02</v>
      </c>
      <c r="F1325" s="68"/>
      <c r="G1325" s="57"/>
      <c r="H1325" s="93"/>
    </row>
    <row r="1326" spans="2:8" ht="23.25" x14ac:dyDescent="0.25">
      <c r="B1326" s="49"/>
      <c r="C1326" s="306"/>
      <c r="D1326" s="107" t="s">
        <v>516</v>
      </c>
      <c r="E1326" s="68">
        <f>ROUND((G1315+D1305)/D1305,2)</f>
        <v>1</v>
      </c>
      <c r="F1326" s="50"/>
      <c r="G1326" s="57"/>
      <c r="H1326" s="87"/>
    </row>
    <row r="1327" spans="2:8" ht="23.25" x14ac:dyDescent="0.25">
      <c r="B1327" s="49"/>
      <c r="C1327" s="306"/>
      <c r="D1327" s="69" t="s">
        <v>517</v>
      </c>
      <c r="E1327" s="70">
        <f>ROUND((SUM(G1316:G1321)+D1305)/D1305,2)</f>
        <v>1.65</v>
      </c>
      <c r="F1327" s="50"/>
      <c r="G1327" s="57"/>
      <c r="H1327" s="87"/>
    </row>
    <row r="1328" spans="2:8" ht="25.5" x14ac:dyDescent="0.25">
      <c r="B1328" s="49"/>
      <c r="C1328" s="49"/>
      <c r="D1328" s="71" t="s">
        <v>518</v>
      </c>
      <c r="E1328" s="72">
        <f>SUM(E1324:E1327)-IF(D1309="сплошная",3,2)</f>
        <v>1.71</v>
      </c>
      <c r="F1328" s="73"/>
      <c r="G1328" s="48"/>
      <c r="H1328" s="87"/>
    </row>
    <row r="1329" spans="2:27" ht="23.25" x14ac:dyDescent="0.25">
      <c r="B1329" s="49"/>
      <c r="C1329" s="49"/>
      <c r="D1329" s="49"/>
      <c r="E1329" s="74"/>
      <c r="F1329" s="49"/>
      <c r="G1329" s="48"/>
      <c r="H1329" s="87"/>
    </row>
    <row r="1330" spans="2:27" ht="25.5" x14ac:dyDescent="0.35">
      <c r="B1330" s="58"/>
      <c r="C1330" s="75" t="s">
        <v>519</v>
      </c>
      <c r="D1330" s="307">
        <f>E1328*D1305</f>
        <v>26436.856499999998</v>
      </c>
      <c r="E1330" s="307"/>
      <c r="F1330" s="49"/>
      <c r="G1330" s="48"/>
      <c r="H1330" s="87"/>
    </row>
    <row r="1331" spans="2:27" ht="18.75" x14ac:dyDescent="0.3">
      <c r="B1331" s="49"/>
      <c r="C1331" s="76" t="s">
        <v>520</v>
      </c>
      <c r="D1331" s="308">
        <f>D1330/D1304</f>
        <v>37.154420693144445</v>
      </c>
      <c r="E1331" s="308"/>
      <c r="F1331" s="49"/>
      <c r="G1331" s="49"/>
      <c r="H1331" s="94"/>
    </row>
    <row r="1334" spans="2:27" ht="60.75" x14ac:dyDescent="0.8">
      <c r="B1334" s="330" t="str">
        <f>CONCATENATE("ЛОТ № ",K1337)</f>
        <v>ЛОТ № 37</v>
      </c>
      <c r="C1334" s="330"/>
      <c r="D1334" s="330"/>
      <c r="E1334" s="330"/>
      <c r="F1334" s="330"/>
      <c r="G1334" s="330"/>
      <c r="H1334" s="330"/>
    </row>
    <row r="1335" spans="2:27" ht="18.75" x14ac:dyDescent="0.25">
      <c r="B1335" s="331" t="s">
        <v>492</v>
      </c>
      <c r="C1335" s="331"/>
      <c r="D1335" s="331"/>
      <c r="E1335" s="331"/>
      <c r="F1335" s="331"/>
      <c r="G1335" s="331"/>
      <c r="H1335" s="87"/>
    </row>
    <row r="1336" spans="2:27" ht="25.5" x14ac:dyDescent="0.25">
      <c r="B1336" s="49"/>
      <c r="C1336" s="59" t="s">
        <v>493</v>
      </c>
      <c r="D1336" s="60"/>
      <c r="E1336" s="49"/>
      <c r="F1336" s="49"/>
      <c r="G1336" s="48"/>
      <c r="H1336" s="87"/>
      <c r="I1336" s="88"/>
      <c r="J1336" s="88"/>
      <c r="K1336" s="88"/>
      <c r="L1336" s="88" t="s">
        <v>454</v>
      </c>
      <c r="M1336" s="88" t="s">
        <v>444</v>
      </c>
      <c r="N1336" s="88" t="s">
        <v>445</v>
      </c>
      <c r="O1336" s="88" t="s">
        <v>453</v>
      </c>
      <c r="P1336" s="89" t="s">
        <v>446</v>
      </c>
      <c r="Q1336" s="88" t="s">
        <v>435</v>
      </c>
      <c r="R1336" s="40" t="s">
        <v>447</v>
      </c>
      <c r="S1336" s="40" t="s">
        <v>522</v>
      </c>
      <c r="T1336" s="88" t="s">
        <v>118</v>
      </c>
      <c r="U1336" s="88" t="s">
        <v>500</v>
      </c>
      <c r="V1336" s="88" t="s">
        <v>450</v>
      </c>
      <c r="W1336" s="40" t="s">
        <v>448</v>
      </c>
      <c r="X1336" s="40" t="s">
        <v>449</v>
      </c>
      <c r="Y1336" s="88" t="s">
        <v>523</v>
      </c>
      <c r="Z1336" s="88"/>
    </row>
    <row r="1337" spans="2:27" ht="19.5" x14ac:dyDescent="0.25">
      <c r="B1337" s="50"/>
      <c r="C1337" s="332" t="s">
        <v>494</v>
      </c>
      <c r="D1337" s="335" t="s">
        <v>521</v>
      </c>
      <c r="E1337" s="336"/>
      <c r="F1337" s="336"/>
      <c r="G1337" s="337"/>
      <c r="H1337" s="90"/>
      <c r="I1337" s="88" t="s">
        <v>443</v>
      </c>
      <c r="J1337" s="88"/>
      <c r="K1337" s="43">
        <f>IF(I1337="","",COUNTA(I$5:I1337))</f>
        <v>37</v>
      </c>
      <c r="L1337" s="95" t="str">
        <f>INDEX('Ведомость расчета мин. платы'!$B$10:$T$209,MATCH(ЛОТЫ!$K1337,'Ведомость расчета мин. платы'!$B$10:$B$209,0),2)</f>
        <v>Тимерликовское</v>
      </c>
      <c r="M1337" s="95">
        <f>INDEX('Ведомость расчета мин. платы'!$B$10:$T$209,MATCH(ЛОТЫ!$K1337,'Ведомость расчета мин. платы'!$B$10:$B$209,0),3)</f>
        <v>16</v>
      </c>
      <c r="N1337" s="95">
        <f>INDEX('Ведомость расчета мин. платы'!$B$10:$T$209,MATCH(ЛОТЫ!$K1337,'Ведомость расчета мин. платы'!$B$10:$B$209,0),4)</f>
        <v>9</v>
      </c>
      <c r="O1337" s="95">
        <f>INDEX('Ведомость расчета мин. платы'!$B$10:$T$209,MATCH(ЛОТЫ!$K1337,'Ведомость расчета мин. платы'!$B$10:$B$209,0),5)</f>
        <v>2</v>
      </c>
      <c r="P1337" s="89">
        <f>IFERROR(INDEX(Коэффициенты!$G$4:$O$106,MATCH(CONCATENATE($L1337,"/",$M1337,"/",$N1337,"/",$O1337),Коэффициенты!$O$4:$O$106,0),1),"")</f>
        <v>6.7</v>
      </c>
      <c r="Q1337" s="40">
        <f>IFERROR(INDEX(Коэффициенты!$G$4:$O$106,MATCH(CONCATENATE($L1337,"/",$M1337,"/",$N1337,"/",$O1337),Коэффициенты!$O$4:$O$106,0),6),"")</f>
        <v>1601.98</v>
      </c>
      <c r="R1337" s="40">
        <f>IFERROR(INDEX(Коэффициенты!$G$4:$O$106,MATCH(CONCATENATE($L1337,"/",$M1337,"/",$N1337,"/",$O1337),Коэффициенты!$O$4:$O$106,0),2),"")</f>
        <v>28609.940000000002</v>
      </c>
      <c r="S1337" s="43" t="str">
        <f>IFERROR(INDEX('Такс. опис.'!$A$5:$BW$50,MATCH(CONCATENATE($L1337,"/",$M1337,"/",$N1337),'Такс. опис.'!$C$5:$C$50,0),26),"")</f>
        <v>9ОС1Б+ЛП</v>
      </c>
      <c r="T1337" s="43" t="str">
        <f>IFERROR(INDEX('Такс. опис.'!$A$5:$BW$50,MATCH(CONCATENATE($L1337,"/",$M1337,"/",$N1337),'Такс. опис.'!$C$5:$C$50,0),47),"")</f>
        <v>Осина</v>
      </c>
      <c r="U1337" s="43">
        <f>IFERROR(INDEX('Такс. опис.'!$A$5:$BW$50,MATCH(CONCATENATE($L1337,"/",$M1337,"/",$N1337),'Такс. опис.'!$C$5:$C$50,0),49),"")</f>
        <v>55</v>
      </c>
      <c r="V1337" s="103">
        <f>IFERROR(INDEX('Ведомость расчета мин. платы'!$AC$10:$AD$214,MATCH(CONCATENATE($L1337,"/",$M1337,"/",$N1337,"/",$O1337),'Ведомость расчета мин. платы'!$AC$10:$AC$214,0),2),"")</f>
        <v>1.54</v>
      </c>
      <c r="W1337" s="40">
        <f>E1365</f>
        <v>1.8100000000000005</v>
      </c>
      <c r="X1337" s="40">
        <f>D1367</f>
        <v>51783.991400000021</v>
      </c>
      <c r="Y1337" s="91">
        <f>D1368</f>
        <v>32.324992446847041</v>
      </c>
      <c r="Z1337" s="88"/>
      <c r="AA1337" s="86">
        <f t="shared" ref="AA1337" si="61">IF(M1337&gt;0,1,0)</f>
        <v>1</v>
      </c>
    </row>
    <row r="1338" spans="2:27" ht="19.5" x14ac:dyDescent="0.25">
      <c r="B1338" s="50"/>
      <c r="C1338" s="333"/>
      <c r="D1338" s="338" t="str">
        <f>CONCATENATE(L1337, " участковое лесничество")</f>
        <v>Тимерликовское участковое лесничество</v>
      </c>
      <c r="E1338" s="338"/>
      <c r="F1338" s="338"/>
      <c r="G1338" s="338"/>
      <c r="H1338" s="90"/>
      <c r="I1338" s="88"/>
      <c r="J1338" s="88">
        <f>IFERROR(IF(ISBLANK(K1337),"",K1337),"")</f>
        <v>37</v>
      </c>
      <c r="K1338" s="88"/>
      <c r="L1338" s="88"/>
      <c r="M1338" s="88"/>
      <c r="N1338" s="88"/>
      <c r="O1338" s="88"/>
      <c r="P1338" s="88"/>
      <c r="Q1338" s="88"/>
      <c r="R1338" s="88"/>
      <c r="S1338" s="88"/>
      <c r="T1338" s="88"/>
      <c r="U1338" s="88"/>
      <c r="V1338" s="88"/>
      <c r="W1338" s="88"/>
      <c r="X1338" s="88"/>
      <c r="Y1338" s="88"/>
      <c r="Z1338" s="88"/>
    </row>
    <row r="1339" spans="2:27" ht="19.5" x14ac:dyDescent="0.25">
      <c r="B1339" s="50"/>
      <c r="C1339" s="334"/>
      <c r="D1339" s="338" t="str">
        <f>CONCATENATE("кв. ",M1337," ","выд."," ",N1337," ","делянка", " ",O1337)</f>
        <v>кв. 16 выд. 9 делянка 2</v>
      </c>
      <c r="E1339" s="338"/>
      <c r="F1339" s="338"/>
      <c r="G1339" s="338"/>
      <c r="H1339" s="90"/>
      <c r="I1339" s="88"/>
      <c r="J1339" s="88"/>
      <c r="K1339" s="88"/>
      <c r="L1339" s="88"/>
      <c r="M1339" s="88"/>
      <c r="N1339" s="88"/>
      <c r="O1339" s="88"/>
      <c r="P1339" s="88"/>
      <c r="Q1339" s="88"/>
      <c r="R1339" s="88"/>
      <c r="S1339" s="88"/>
      <c r="T1339" s="88"/>
      <c r="U1339" s="88"/>
      <c r="V1339" s="88"/>
      <c r="W1339" s="88"/>
      <c r="X1339" s="88"/>
      <c r="Y1339" s="88"/>
      <c r="Z1339" s="88"/>
    </row>
    <row r="1340" spans="2:27" ht="23.25" x14ac:dyDescent="0.25">
      <c r="B1340" s="49"/>
      <c r="C1340" s="61" t="s">
        <v>495</v>
      </c>
      <c r="D1340" s="51">
        <f>P1337</f>
        <v>6.7</v>
      </c>
      <c r="E1340" s="62"/>
      <c r="F1340" s="50"/>
      <c r="G1340" s="48"/>
      <c r="H1340" s="87"/>
    </row>
    <row r="1341" spans="2:27" ht="22.5" x14ac:dyDescent="0.25">
      <c r="B1341" s="49"/>
      <c r="C1341" s="63" t="s">
        <v>496</v>
      </c>
      <c r="D1341" s="106">
        <f>Q1337</f>
        <v>1601.98</v>
      </c>
      <c r="E1341" s="309" t="s">
        <v>497</v>
      </c>
      <c r="F1341" s="310"/>
      <c r="G1341" s="313">
        <f>D1342/D1341</f>
        <v>17.859111849086755</v>
      </c>
      <c r="H1341" s="87"/>
    </row>
    <row r="1342" spans="2:27" ht="22.5" x14ac:dyDescent="0.25">
      <c r="B1342" s="49"/>
      <c r="C1342" s="63" t="s">
        <v>498</v>
      </c>
      <c r="D1342" s="52">
        <f>R1337</f>
        <v>28609.940000000002</v>
      </c>
      <c r="E1342" s="311"/>
      <c r="F1342" s="312"/>
      <c r="G1342" s="314"/>
      <c r="H1342" s="87"/>
    </row>
    <row r="1343" spans="2:27" ht="23.25" x14ac:dyDescent="0.25">
      <c r="B1343" s="49"/>
      <c r="C1343" s="64"/>
      <c r="D1343" s="53"/>
      <c r="E1343" s="65"/>
      <c r="F1343" s="49"/>
      <c r="G1343" s="48"/>
      <c r="H1343" s="87"/>
    </row>
    <row r="1344" spans="2:27" ht="23.25" x14ac:dyDescent="0.25">
      <c r="B1344" s="49"/>
      <c r="C1344" s="82" t="s">
        <v>499</v>
      </c>
      <c r="D1344" s="96" t="str">
        <f>S1337</f>
        <v>9ОС1Б+ЛП</v>
      </c>
      <c r="E1344" s="49"/>
      <c r="F1344" s="49"/>
      <c r="G1344" s="48"/>
      <c r="H1344" s="87"/>
    </row>
    <row r="1345" spans="2:8" ht="23.25" x14ac:dyDescent="0.25">
      <c r="B1345" s="49"/>
      <c r="C1345" s="82" t="s">
        <v>500</v>
      </c>
      <c r="D1345" s="96">
        <f>U1337</f>
        <v>55</v>
      </c>
      <c r="E1345" s="49"/>
      <c r="F1345" s="49"/>
      <c r="G1345" s="48"/>
      <c r="H1345" s="87"/>
    </row>
    <row r="1346" spans="2:8" ht="23.25" x14ac:dyDescent="0.25">
      <c r="B1346" s="49"/>
      <c r="C1346" s="82" t="s">
        <v>501</v>
      </c>
      <c r="D1346" s="83" t="s">
        <v>502</v>
      </c>
      <c r="E1346" s="49"/>
      <c r="F1346" s="49"/>
      <c r="G1346" s="48"/>
      <c r="H1346" s="87"/>
    </row>
    <row r="1347" spans="2:8" ht="24" thickBot="1" x14ac:dyDescent="0.3">
      <c r="B1347" s="49"/>
      <c r="C1347" s="49"/>
      <c r="D1347" s="49"/>
      <c r="E1347" s="49"/>
      <c r="F1347" s="49"/>
      <c r="G1347" s="48"/>
      <c r="H1347" s="87"/>
    </row>
    <row r="1348" spans="2:8" ht="48" thickBot="1" x14ac:dyDescent="0.3">
      <c r="B1348" s="315" t="s">
        <v>436</v>
      </c>
      <c r="C1348" s="316"/>
      <c r="D1348" s="54" t="s">
        <v>503</v>
      </c>
      <c r="E1348" s="317" t="s">
        <v>504</v>
      </c>
      <c r="F1348" s="318"/>
      <c r="G1348" s="55" t="s">
        <v>505</v>
      </c>
      <c r="H1348" s="87"/>
    </row>
    <row r="1349" spans="2:8" ht="24" thickBot="1" x14ac:dyDescent="0.3">
      <c r="B1349" s="319" t="s">
        <v>506</v>
      </c>
      <c r="C1349" s="320"/>
      <c r="D1349" s="136">
        <v>197.93</v>
      </c>
      <c r="E1349" s="136">
        <f>D1340</f>
        <v>6.7</v>
      </c>
      <c r="F1349" s="77" t="s">
        <v>434</v>
      </c>
      <c r="G1349" s="142">
        <f t="shared" ref="G1349:G1356" si="62">D1349*E1349</f>
        <v>1326.1310000000001</v>
      </c>
      <c r="H1349" s="321"/>
    </row>
    <row r="1350" spans="2:8" ht="23.25" x14ac:dyDescent="0.25">
      <c r="B1350" s="322" t="s">
        <v>507</v>
      </c>
      <c r="C1350" s="323"/>
      <c r="D1350" s="137">
        <v>159.44</v>
      </c>
      <c r="E1350" s="137">
        <f>V1337</f>
        <v>1.54</v>
      </c>
      <c r="F1350" s="78" t="s">
        <v>437</v>
      </c>
      <c r="G1350" s="143">
        <f t="shared" si="62"/>
        <v>245.5376</v>
      </c>
      <c r="H1350" s="321"/>
    </row>
    <row r="1351" spans="2:8" ht="24" thickBot="1" x14ac:dyDescent="0.3">
      <c r="B1351" s="324" t="s">
        <v>508</v>
      </c>
      <c r="C1351" s="325"/>
      <c r="D1351" s="138">
        <v>276.62</v>
      </c>
      <c r="E1351" s="138">
        <f>V1337</f>
        <v>1.54</v>
      </c>
      <c r="F1351" s="79" t="s">
        <v>437</v>
      </c>
      <c r="G1351" s="144">
        <f t="shared" si="62"/>
        <v>425.9948</v>
      </c>
      <c r="H1351" s="321"/>
    </row>
    <row r="1352" spans="2:8" ht="24" thickBot="1" x14ac:dyDescent="0.3">
      <c r="B1352" s="326" t="s">
        <v>438</v>
      </c>
      <c r="C1352" s="327"/>
      <c r="D1352" s="139">
        <v>519</v>
      </c>
      <c r="E1352" s="139"/>
      <c r="F1352" s="80" t="s">
        <v>434</v>
      </c>
      <c r="G1352" s="145">
        <f t="shared" si="62"/>
        <v>0</v>
      </c>
      <c r="H1352" s="321"/>
    </row>
    <row r="1353" spans="2:8" ht="23.25" x14ac:dyDescent="0.25">
      <c r="B1353" s="322" t="s">
        <v>509</v>
      </c>
      <c r="C1353" s="323"/>
      <c r="D1353" s="137">
        <v>920</v>
      </c>
      <c r="E1353" s="137">
        <f>D1340*2</f>
        <v>13.4</v>
      </c>
      <c r="F1353" s="78" t="s">
        <v>434</v>
      </c>
      <c r="G1353" s="143">
        <f t="shared" si="62"/>
        <v>12328</v>
      </c>
      <c r="H1353" s="321"/>
    </row>
    <row r="1354" spans="2:8" ht="23.25" x14ac:dyDescent="0.25">
      <c r="B1354" s="328" t="s">
        <v>510</v>
      </c>
      <c r="C1354" s="329"/>
      <c r="D1354" s="140">
        <v>1300</v>
      </c>
      <c r="E1354" s="140">
        <f>IF(T1337="Осина",D1340,"0")</f>
        <v>6.7</v>
      </c>
      <c r="F1354" s="81" t="s">
        <v>434</v>
      </c>
      <c r="G1354" s="146">
        <f t="shared" si="62"/>
        <v>8710</v>
      </c>
      <c r="H1354" s="321"/>
    </row>
    <row r="1355" spans="2:8" ht="23.25" x14ac:dyDescent="0.25">
      <c r="B1355" s="328" t="s">
        <v>439</v>
      </c>
      <c r="C1355" s="329"/>
      <c r="D1355" s="141">
        <v>5165.12</v>
      </c>
      <c r="E1355" s="140" t="str">
        <f>IF(T1337="Осина","0",D1340)</f>
        <v>0</v>
      </c>
      <c r="F1355" s="81" t="s">
        <v>434</v>
      </c>
      <c r="G1355" s="146">
        <f t="shared" si="62"/>
        <v>0</v>
      </c>
      <c r="H1355" s="321"/>
    </row>
    <row r="1356" spans="2:8" ht="23.25" x14ac:dyDescent="0.25">
      <c r="B1356" s="328" t="s">
        <v>511</v>
      </c>
      <c r="C1356" s="329"/>
      <c r="D1356" s="141">
        <v>917</v>
      </c>
      <c r="E1356" s="140" t="str">
        <f>IF(T1337="Осина","0",D1340)</f>
        <v>0</v>
      </c>
      <c r="F1356" s="81" t="s">
        <v>434</v>
      </c>
      <c r="G1356" s="146">
        <f t="shared" si="62"/>
        <v>0</v>
      </c>
      <c r="H1356" s="321"/>
    </row>
    <row r="1357" spans="2:8" ht="23.25" x14ac:dyDescent="0.25">
      <c r="B1357" s="328" t="s">
        <v>441</v>
      </c>
      <c r="C1357" s="329"/>
      <c r="D1357" s="141">
        <v>461.56000000000006</v>
      </c>
      <c r="E1357" s="140" t="str">
        <f>IF(T1337="Осина","0",D1340)</f>
        <v>0</v>
      </c>
      <c r="F1357" s="81" t="s">
        <v>434</v>
      </c>
      <c r="G1357" s="146">
        <f>D1357*E1357</f>
        <v>0</v>
      </c>
      <c r="H1357" s="321"/>
    </row>
    <row r="1358" spans="2:8" ht="24" thickBot="1" x14ac:dyDescent="0.3">
      <c r="B1358" s="324" t="s">
        <v>440</v>
      </c>
      <c r="C1358" s="325"/>
      <c r="D1358" s="138">
        <v>353.15</v>
      </c>
      <c r="E1358" s="140" t="str">
        <f>IF(T1337="Осина","0",D1340*4)</f>
        <v>0</v>
      </c>
      <c r="F1358" s="79" t="s">
        <v>434</v>
      </c>
      <c r="G1358" s="147">
        <f>D1358*E1358</f>
        <v>0</v>
      </c>
      <c r="H1358" s="321"/>
    </row>
    <row r="1359" spans="2:8" ht="23.25" x14ac:dyDescent="0.25">
      <c r="B1359" s="49"/>
      <c r="C1359" s="66"/>
      <c r="D1359" s="66"/>
      <c r="E1359" s="56"/>
      <c r="F1359" s="56"/>
      <c r="G1359" s="48"/>
      <c r="H1359" s="92"/>
    </row>
    <row r="1360" spans="2:8" ht="25.5" x14ac:dyDescent="0.25">
      <c r="B1360" s="49"/>
      <c r="C1360" s="59" t="s">
        <v>512</v>
      </c>
      <c r="D1360" s="60"/>
      <c r="E1360" s="49"/>
      <c r="F1360" s="49"/>
      <c r="G1360" s="48"/>
      <c r="H1360" s="87"/>
    </row>
    <row r="1361" spans="2:27" ht="18.75" x14ac:dyDescent="0.25">
      <c r="B1361" s="49"/>
      <c r="C1361" s="306" t="s">
        <v>513</v>
      </c>
      <c r="D1361" s="107" t="s">
        <v>514</v>
      </c>
      <c r="E1361" s="68">
        <f>ROUND((G1349+D1342)/D1342,2)</f>
        <v>1.05</v>
      </c>
      <c r="F1361" s="68"/>
      <c r="G1361" s="50"/>
      <c r="H1361" s="87"/>
    </row>
    <row r="1362" spans="2:27" ht="23.25" x14ac:dyDescent="0.25">
      <c r="B1362" s="49"/>
      <c r="C1362" s="306"/>
      <c r="D1362" s="107" t="s">
        <v>515</v>
      </c>
      <c r="E1362" s="68">
        <f>ROUND((G1350+G1351+D1342)/D1342,2)</f>
        <v>1.02</v>
      </c>
      <c r="F1362" s="68"/>
      <c r="G1362" s="57"/>
      <c r="H1362" s="93"/>
    </row>
    <row r="1363" spans="2:27" ht="23.25" x14ac:dyDescent="0.25">
      <c r="B1363" s="49"/>
      <c r="C1363" s="306"/>
      <c r="D1363" s="107" t="s">
        <v>516</v>
      </c>
      <c r="E1363" s="68">
        <f>ROUND((G1352+D1342)/D1342,2)</f>
        <v>1</v>
      </c>
      <c r="F1363" s="50"/>
      <c r="G1363" s="57"/>
      <c r="H1363" s="87"/>
    </row>
    <row r="1364" spans="2:27" ht="23.25" x14ac:dyDescent="0.25">
      <c r="B1364" s="49"/>
      <c r="C1364" s="306"/>
      <c r="D1364" s="69" t="s">
        <v>517</v>
      </c>
      <c r="E1364" s="70">
        <f>ROUND((SUM(G1353:G1358)+D1342)/D1342,2)</f>
        <v>1.74</v>
      </c>
      <c r="F1364" s="50"/>
      <c r="G1364" s="57"/>
      <c r="H1364" s="87"/>
    </row>
    <row r="1365" spans="2:27" ht="25.5" x14ac:dyDescent="0.25">
      <c r="B1365" s="49"/>
      <c r="C1365" s="49"/>
      <c r="D1365" s="71" t="s">
        <v>518</v>
      </c>
      <c r="E1365" s="72">
        <f>SUM(E1361:E1364)-IF(D1346="сплошная",3,2)</f>
        <v>1.8100000000000005</v>
      </c>
      <c r="F1365" s="73"/>
      <c r="G1365" s="48"/>
      <c r="H1365" s="87"/>
    </row>
    <row r="1366" spans="2:27" ht="23.25" x14ac:dyDescent="0.25">
      <c r="B1366" s="49"/>
      <c r="C1366" s="49"/>
      <c r="D1366" s="49"/>
      <c r="E1366" s="74"/>
      <c r="F1366" s="49"/>
      <c r="G1366" s="48"/>
      <c r="H1366" s="87"/>
    </row>
    <row r="1367" spans="2:27" ht="25.5" x14ac:dyDescent="0.35">
      <c r="B1367" s="58"/>
      <c r="C1367" s="75" t="s">
        <v>519</v>
      </c>
      <c r="D1367" s="307">
        <f>E1365*D1342</f>
        <v>51783.991400000021</v>
      </c>
      <c r="E1367" s="307"/>
      <c r="F1367" s="49"/>
      <c r="G1367" s="48"/>
      <c r="H1367" s="87"/>
    </row>
    <row r="1368" spans="2:27" ht="18.75" x14ac:dyDescent="0.3">
      <c r="B1368" s="49"/>
      <c r="C1368" s="76" t="s">
        <v>520</v>
      </c>
      <c r="D1368" s="308">
        <f>D1367/D1341</f>
        <v>32.324992446847041</v>
      </c>
      <c r="E1368" s="308"/>
      <c r="F1368" s="49"/>
      <c r="G1368" s="49"/>
      <c r="H1368" s="94"/>
    </row>
    <row r="1371" spans="2:27" ht="60.75" x14ac:dyDescent="0.8">
      <c r="B1371" s="330" t="str">
        <f>CONCATENATE("ЛОТ № ",K1374)</f>
        <v>ЛОТ № 38</v>
      </c>
      <c r="C1371" s="330"/>
      <c r="D1371" s="330"/>
      <c r="E1371" s="330"/>
      <c r="F1371" s="330"/>
      <c r="G1371" s="330"/>
      <c r="H1371" s="330"/>
    </row>
    <row r="1372" spans="2:27" ht="18.75" x14ac:dyDescent="0.25">
      <c r="B1372" s="331" t="s">
        <v>492</v>
      </c>
      <c r="C1372" s="331"/>
      <c r="D1372" s="331"/>
      <c r="E1372" s="331"/>
      <c r="F1372" s="331"/>
      <c r="G1372" s="331"/>
      <c r="H1372" s="87"/>
    </row>
    <row r="1373" spans="2:27" ht="25.5" x14ac:dyDescent="0.25">
      <c r="B1373" s="49"/>
      <c r="C1373" s="59" t="s">
        <v>493</v>
      </c>
      <c r="D1373" s="60"/>
      <c r="E1373" s="49"/>
      <c r="F1373" s="49"/>
      <c r="G1373" s="48"/>
      <c r="H1373" s="87"/>
      <c r="I1373" s="88"/>
      <c r="J1373" s="88"/>
      <c r="K1373" s="88"/>
      <c r="L1373" s="88" t="s">
        <v>454</v>
      </c>
      <c r="M1373" s="88" t="s">
        <v>444</v>
      </c>
      <c r="N1373" s="88" t="s">
        <v>445</v>
      </c>
      <c r="O1373" s="88" t="s">
        <v>453</v>
      </c>
      <c r="P1373" s="89" t="s">
        <v>446</v>
      </c>
      <c r="Q1373" s="88" t="s">
        <v>435</v>
      </c>
      <c r="R1373" s="40" t="s">
        <v>447</v>
      </c>
      <c r="S1373" s="40" t="s">
        <v>522</v>
      </c>
      <c r="T1373" s="88" t="s">
        <v>118</v>
      </c>
      <c r="U1373" s="88" t="s">
        <v>500</v>
      </c>
      <c r="V1373" s="88" t="s">
        <v>450</v>
      </c>
      <c r="W1373" s="40" t="s">
        <v>448</v>
      </c>
      <c r="X1373" s="40" t="s">
        <v>449</v>
      </c>
      <c r="Y1373" s="88" t="s">
        <v>523</v>
      </c>
      <c r="Z1373" s="88"/>
    </row>
    <row r="1374" spans="2:27" ht="19.5" x14ac:dyDescent="0.25">
      <c r="B1374" s="50"/>
      <c r="C1374" s="332" t="s">
        <v>494</v>
      </c>
      <c r="D1374" s="335" t="s">
        <v>521</v>
      </c>
      <c r="E1374" s="336"/>
      <c r="F1374" s="336"/>
      <c r="G1374" s="337"/>
      <c r="H1374" s="90"/>
      <c r="I1374" s="88" t="s">
        <v>443</v>
      </c>
      <c r="J1374" s="88"/>
      <c r="K1374" s="43">
        <f>IF(I1374="","",COUNTA(I$5:I1374))</f>
        <v>38</v>
      </c>
      <c r="L1374" s="95" t="str">
        <f>INDEX('Ведомость расчета мин. платы'!$B$10:$T$209,MATCH(ЛОТЫ!$K1374,'Ведомость расчета мин. платы'!$B$10:$B$209,0),2)</f>
        <v>Тимерликовское</v>
      </c>
      <c r="M1374" s="95">
        <f>INDEX('Ведомость расчета мин. платы'!$B$10:$T$209,MATCH(ЛОТЫ!$K1374,'Ведомость расчета мин. платы'!$B$10:$B$209,0),3)</f>
        <v>16</v>
      </c>
      <c r="N1374" s="95">
        <f>INDEX('Ведомость расчета мин. платы'!$B$10:$T$209,MATCH(ЛОТЫ!$K1374,'Ведомость расчета мин. платы'!$B$10:$B$209,0),4)</f>
        <v>9</v>
      </c>
      <c r="O1374" s="95">
        <f>INDEX('Ведомость расчета мин. платы'!$B$10:$T$209,MATCH(ЛОТЫ!$K1374,'Ведомость расчета мин. платы'!$B$10:$B$209,0),5)</f>
        <v>3</v>
      </c>
      <c r="P1374" s="89">
        <f>IFERROR(INDEX(Коэффициенты!$G$4:$O$106,MATCH(CONCATENATE($L1374,"/",$M1374,"/",$N1374,"/",$O1374),Коэффициенты!$O$4:$O$106,0),1),"")</f>
        <v>3.3</v>
      </c>
      <c r="Q1374" s="40">
        <f>IFERROR(INDEX(Коэффициенты!$G$4:$O$106,MATCH(CONCATENATE($L1374,"/",$M1374,"/",$N1374,"/",$O1374),Коэффициенты!$O$4:$O$106,0),6),"")</f>
        <v>791.68</v>
      </c>
      <c r="R1374" s="40">
        <f>IFERROR(INDEX(Коэффициенты!$G$4:$O$106,MATCH(CONCATENATE($L1374,"/",$M1374,"/",$N1374,"/",$O1374),Коэффициенты!$O$4:$O$106,0),2),"")</f>
        <v>14457.369999999999</v>
      </c>
      <c r="S1374" s="43" t="str">
        <f>IFERROR(INDEX('Такс. опис.'!$A$5:$BW$50,MATCH(CONCATENATE($L1374,"/",$M1374,"/",$N1374),'Такс. опис.'!$C$5:$C$50,0),26),"")</f>
        <v>9ОС1Б+ЛП</v>
      </c>
      <c r="T1374" s="43" t="str">
        <f>IFERROR(INDEX('Такс. опис.'!$A$5:$BW$50,MATCH(CONCATENATE($L1374,"/",$M1374,"/",$N1374),'Такс. опис.'!$C$5:$C$50,0),47),"")</f>
        <v>Осина</v>
      </c>
      <c r="U1374" s="43">
        <f>IFERROR(INDEX('Такс. опис.'!$A$5:$BW$50,MATCH(CONCATENATE($L1374,"/",$M1374,"/",$N1374),'Такс. опис.'!$C$5:$C$50,0),49),"")</f>
        <v>55</v>
      </c>
      <c r="V1374" s="103">
        <f>IFERROR(INDEX('Ведомость расчета мин. платы'!$AC$10:$AD$214,MATCH(CONCATENATE($L1374,"/",$M1374,"/",$N1374,"/",$O1374),'Ведомость расчета мин. платы'!$AC$10:$AC$214,0),2),"")</f>
        <v>0.86</v>
      </c>
      <c r="W1374" s="40">
        <f>E1402</f>
        <v>1.7999999999999998</v>
      </c>
      <c r="X1374" s="40">
        <f>D1404</f>
        <v>26023.265999999996</v>
      </c>
      <c r="Y1374" s="91">
        <f>D1405</f>
        <v>32.870940278900562</v>
      </c>
      <c r="Z1374" s="88"/>
      <c r="AA1374" s="86">
        <f t="shared" ref="AA1374" si="63">IF(M1374&gt;0,1,0)</f>
        <v>1</v>
      </c>
    </row>
    <row r="1375" spans="2:27" ht="19.5" x14ac:dyDescent="0.25">
      <c r="B1375" s="50"/>
      <c r="C1375" s="333"/>
      <c r="D1375" s="338" t="str">
        <f>CONCATENATE(L1374, " участковое лесничество")</f>
        <v>Тимерликовское участковое лесничество</v>
      </c>
      <c r="E1375" s="338"/>
      <c r="F1375" s="338"/>
      <c r="G1375" s="338"/>
      <c r="H1375" s="90"/>
      <c r="I1375" s="88"/>
      <c r="J1375" s="88">
        <f>IFERROR(IF(ISBLANK(K1374),"",K1374),"")</f>
        <v>38</v>
      </c>
      <c r="K1375" s="88"/>
      <c r="L1375" s="88"/>
      <c r="M1375" s="88"/>
      <c r="N1375" s="88"/>
      <c r="O1375" s="88"/>
      <c r="P1375" s="88"/>
      <c r="Q1375" s="88"/>
      <c r="R1375" s="88"/>
      <c r="S1375" s="88"/>
      <c r="T1375" s="88"/>
      <c r="U1375" s="88"/>
      <c r="V1375" s="88"/>
      <c r="W1375" s="88"/>
      <c r="X1375" s="88"/>
      <c r="Y1375" s="88"/>
      <c r="Z1375" s="88"/>
    </row>
    <row r="1376" spans="2:27" ht="19.5" x14ac:dyDescent="0.25">
      <c r="B1376" s="50"/>
      <c r="C1376" s="334"/>
      <c r="D1376" s="338" t="str">
        <f>CONCATENATE("кв. ",M1374," ","выд."," ",N1374," ","делянка", " ",O1374)</f>
        <v>кв. 16 выд. 9 делянка 3</v>
      </c>
      <c r="E1376" s="338"/>
      <c r="F1376" s="338"/>
      <c r="G1376" s="338"/>
      <c r="H1376" s="90"/>
      <c r="I1376" s="88"/>
      <c r="J1376" s="88"/>
      <c r="K1376" s="88"/>
      <c r="L1376" s="88"/>
      <c r="M1376" s="88"/>
      <c r="N1376" s="88"/>
      <c r="O1376" s="88"/>
      <c r="P1376" s="88"/>
      <c r="Q1376" s="88"/>
      <c r="R1376" s="88"/>
      <c r="S1376" s="88"/>
      <c r="T1376" s="88"/>
      <c r="U1376" s="88"/>
      <c r="V1376" s="88"/>
      <c r="W1376" s="88"/>
      <c r="X1376" s="88"/>
      <c r="Y1376" s="88"/>
      <c r="Z1376" s="88"/>
    </row>
    <row r="1377" spans="2:8" ht="23.25" x14ac:dyDescent="0.25">
      <c r="B1377" s="49"/>
      <c r="C1377" s="61" t="s">
        <v>495</v>
      </c>
      <c r="D1377" s="51">
        <f>P1374</f>
        <v>3.3</v>
      </c>
      <c r="E1377" s="62"/>
      <c r="F1377" s="50"/>
      <c r="G1377" s="48"/>
      <c r="H1377" s="87"/>
    </row>
    <row r="1378" spans="2:8" ht="22.5" x14ac:dyDescent="0.25">
      <c r="B1378" s="49"/>
      <c r="C1378" s="63" t="s">
        <v>496</v>
      </c>
      <c r="D1378" s="106">
        <f>Q1374</f>
        <v>791.68</v>
      </c>
      <c r="E1378" s="309" t="s">
        <v>497</v>
      </c>
      <c r="F1378" s="310"/>
      <c r="G1378" s="313">
        <f>D1379/D1378</f>
        <v>18.261633488278093</v>
      </c>
      <c r="H1378" s="87"/>
    </row>
    <row r="1379" spans="2:8" ht="22.5" x14ac:dyDescent="0.25">
      <c r="B1379" s="49"/>
      <c r="C1379" s="63" t="s">
        <v>498</v>
      </c>
      <c r="D1379" s="52">
        <f>R1374</f>
        <v>14457.369999999999</v>
      </c>
      <c r="E1379" s="311"/>
      <c r="F1379" s="312"/>
      <c r="G1379" s="314"/>
      <c r="H1379" s="87"/>
    </row>
    <row r="1380" spans="2:8" ht="23.25" x14ac:dyDescent="0.25">
      <c r="B1380" s="49"/>
      <c r="C1380" s="64"/>
      <c r="D1380" s="53"/>
      <c r="E1380" s="65"/>
      <c r="F1380" s="49"/>
      <c r="G1380" s="48"/>
      <c r="H1380" s="87"/>
    </row>
    <row r="1381" spans="2:8" ht="23.25" x14ac:dyDescent="0.25">
      <c r="B1381" s="49"/>
      <c r="C1381" s="82" t="s">
        <v>499</v>
      </c>
      <c r="D1381" s="96" t="str">
        <f>S1374</f>
        <v>9ОС1Б+ЛП</v>
      </c>
      <c r="E1381" s="49"/>
      <c r="F1381" s="49"/>
      <c r="G1381" s="48"/>
      <c r="H1381" s="87"/>
    </row>
    <row r="1382" spans="2:8" ht="23.25" x14ac:dyDescent="0.25">
      <c r="B1382" s="49"/>
      <c r="C1382" s="82" t="s">
        <v>500</v>
      </c>
      <c r="D1382" s="96">
        <f>U1374</f>
        <v>55</v>
      </c>
      <c r="E1382" s="49"/>
      <c r="F1382" s="49"/>
      <c r="G1382" s="48"/>
      <c r="H1382" s="87"/>
    </row>
    <row r="1383" spans="2:8" ht="23.25" x14ac:dyDescent="0.25">
      <c r="B1383" s="49"/>
      <c r="C1383" s="82" t="s">
        <v>501</v>
      </c>
      <c r="D1383" s="83" t="s">
        <v>502</v>
      </c>
      <c r="E1383" s="49"/>
      <c r="F1383" s="49"/>
      <c r="G1383" s="48"/>
      <c r="H1383" s="87"/>
    </row>
    <row r="1384" spans="2:8" ht="24" thickBot="1" x14ac:dyDescent="0.3">
      <c r="B1384" s="49"/>
      <c r="C1384" s="49"/>
      <c r="D1384" s="49"/>
      <c r="E1384" s="49"/>
      <c r="F1384" s="49"/>
      <c r="G1384" s="48"/>
      <c r="H1384" s="87"/>
    </row>
    <row r="1385" spans="2:8" ht="48" thickBot="1" x14ac:dyDescent="0.3">
      <c r="B1385" s="315" t="s">
        <v>436</v>
      </c>
      <c r="C1385" s="316"/>
      <c r="D1385" s="54" t="s">
        <v>503</v>
      </c>
      <c r="E1385" s="317" t="s">
        <v>504</v>
      </c>
      <c r="F1385" s="318"/>
      <c r="G1385" s="55" t="s">
        <v>505</v>
      </c>
      <c r="H1385" s="87"/>
    </row>
    <row r="1386" spans="2:8" ht="24" thickBot="1" x14ac:dyDescent="0.3">
      <c r="B1386" s="319" t="s">
        <v>506</v>
      </c>
      <c r="C1386" s="320"/>
      <c r="D1386" s="136">
        <v>197.93</v>
      </c>
      <c r="E1386" s="136">
        <f>D1377</f>
        <v>3.3</v>
      </c>
      <c r="F1386" s="77" t="s">
        <v>434</v>
      </c>
      <c r="G1386" s="142">
        <f t="shared" ref="G1386:G1393" si="64">D1386*E1386</f>
        <v>653.16899999999998</v>
      </c>
      <c r="H1386" s="321"/>
    </row>
    <row r="1387" spans="2:8" ht="23.25" x14ac:dyDescent="0.25">
      <c r="B1387" s="322" t="s">
        <v>507</v>
      </c>
      <c r="C1387" s="323"/>
      <c r="D1387" s="137">
        <v>159.44</v>
      </c>
      <c r="E1387" s="137">
        <f>V1374</f>
        <v>0.86</v>
      </c>
      <c r="F1387" s="78" t="s">
        <v>437</v>
      </c>
      <c r="G1387" s="143">
        <f t="shared" si="64"/>
        <v>137.11840000000001</v>
      </c>
      <c r="H1387" s="321"/>
    </row>
    <row r="1388" spans="2:8" ht="24" thickBot="1" x14ac:dyDescent="0.3">
      <c r="B1388" s="324" t="s">
        <v>508</v>
      </c>
      <c r="C1388" s="325"/>
      <c r="D1388" s="138">
        <v>276.62</v>
      </c>
      <c r="E1388" s="138">
        <f>V1374</f>
        <v>0.86</v>
      </c>
      <c r="F1388" s="79" t="s">
        <v>437</v>
      </c>
      <c r="G1388" s="144">
        <f t="shared" si="64"/>
        <v>237.89320000000001</v>
      </c>
      <c r="H1388" s="321"/>
    </row>
    <row r="1389" spans="2:8" ht="24" thickBot="1" x14ac:dyDescent="0.3">
      <c r="B1389" s="326" t="s">
        <v>438</v>
      </c>
      <c r="C1389" s="327"/>
      <c r="D1389" s="139">
        <v>519</v>
      </c>
      <c r="E1389" s="139"/>
      <c r="F1389" s="80" t="s">
        <v>434</v>
      </c>
      <c r="G1389" s="145">
        <f t="shared" si="64"/>
        <v>0</v>
      </c>
      <c r="H1389" s="321"/>
    </row>
    <row r="1390" spans="2:8" ht="23.25" x14ac:dyDescent="0.25">
      <c r="B1390" s="322" t="s">
        <v>509</v>
      </c>
      <c r="C1390" s="323"/>
      <c r="D1390" s="137">
        <v>920</v>
      </c>
      <c r="E1390" s="137">
        <f>D1377*2</f>
        <v>6.6</v>
      </c>
      <c r="F1390" s="78" t="s">
        <v>434</v>
      </c>
      <c r="G1390" s="143">
        <f t="shared" si="64"/>
        <v>6072</v>
      </c>
      <c r="H1390" s="321"/>
    </row>
    <row r="1391" spans="2:8" ht="23.25" x14ac:dyDescent="0.25">
      <c r="B1391" s="328" t="s">
        <v>510</v>
      </c>
      <c r="C1391" s="329"/>
      <c r="D1391" s="140">
        <v>1300</v>
      </c>
      <c r="E1391" s="140">
        <f>IF(T1374="Осина",D1377,"0")</f>
        <v>3.3</v>
      </c>
      <c r="F1391" s="81" t="s">
        <v>434</v>
      </c>
      <c r="G1391" s="146">
        <f t="shared" si="64"/>
        <v>4290</v>
      </c>
      <c r="H1391" s="321"/>
    </row>
    <row r="1392" spans="2:8" ht="23.25" x14ac:dyDescent="0.25">
      <c r="B1392" s="328" t="s">
        <v>439</v>
      </c>
      <c r="C1392" s="329"/>
      <c r="D1392" s="141">
        <v>5165.12</v>
      </c>
      <c r="E1392" s="140" t="str">
        <f>IF(T1374="Осина","0",D1377)</f>
        <v>0</v>
      </c>
      <c r="F1392" s="81" t="s">
        <v>434</v>
      </c>
      <c r="G1392" s="146">
        <f t="shared" si="64"/>
        <v>0</v>
      </c>
      <c r="H1392" s="321"/>
    </row>
    <row r="1393" spans="2:8" ht="23.25" x14ac:dyDescent="0.25">
      <c r="B1393" s="328" t="s">
        <v>511</v>
      </c>
      <c r="C1393" s="329"/>
      <c r="D1393" s="141">
        <v>917</v>
      </c>
      <c r="E1393" s="140" t="str">
        <f>IF(T1374="Осина","0",D1377)</f>
        <v>0</v>
      </c>
      <c r="F1393" s="81" t="s">
        <v>434</v>
      </c>
      <c r="G1393" s="146">
        <f t="shared" si="64"/>
        <v>0</v>
      </c>
      <c r="H1393" s="321"/>
    </row>
    <row r="1394" spans="2:8" ht="23.25" x14ac:dyDescent="0.25">
      <c r="B1394" s="328" t="s">
        <v>441</v>
      </c>
      <c r="C1394" s="329"/>
      <c r="D1394" s="141">
        <v>461.56000000000006</v>
      </c>
      <c r="E1394" s="140" t="str">
        <f>IF(T1374="Осина","0",D1377)</f>
        <v>0</v>
      </c>
      <c r="F1394" s="81" t="s">
        <v>434</v>
      </c>
      <c r="G1394" s="146">
        <f>D1394*E1394</f>
        <v>0</v>
      </c>
      <c r="H1394" s="321"/>
    </row>
    <row r="1395" spans="2:8" ht="24" thickBot="1" x14ac:dyDescent="0.3">
      <c r="B1395" s="324" t="s">
        <v>440</v>
      </c>
      <c r="C1395" s="325"/>
      <c r="D1395" s="138">
        <v>353.15</v>
      </c>
      <c r="E1395" s="140" t="str">
        <f>IF(T1374="Осина","0",D1377*4)</f>
        <v>0</v>
      </c>
      <c r="F1395" s="79" t="s">
        <v>434</v>
      </c>
      <c r="G1395" s="147">
        <f>D1395*E1395</f>
        <v>0</v>
      </c>
      <c r="H1395" s="321"/>
    </row>
    <row r="1396" spans="2:8" ht="23.25" x14ac:dyDescent="0.25">
      <c r="B1396" s="49"/>
      <c r="C1396" s="66"/>
      <c r="D1396" s="66"/>
      <c r="E1396" s="56"/>
      <c r="F1396" s="56"/>
      <c r="G1396" s="48"/>
      <c r="H1396" s="92"/>
    </row>
    <row r="1397" spans="2:8" ht="25.5" x14ac:dyDescent="0.25">
      <c r="B1397" s="49"/>
      <c r="C1397" s="59" t="s">
        <v>512</v>
      </c>
      <c r="D1397" s="60"/>
      <c r="E1397" s="49"/>
      <c r="F1397" s="49"/>
      <c r="G1397" s="48"/>
      <c r="H1397" s="87"/>
    </row>
    <row r="1398" spans="2:8" ht="18.75" x14ac:dyDescent="0.25">
      <c r="B1398" s="49"/>
      <c r="C1398" s="306" t="s">
        <v>513</v>
      </c>
      <c r="D1398" s="107" t="s">
        <v>514</v>
      </c>
      <c r="E1398" s="68">
        <f>ROUND((G1386+D1379)/D1379,2)</f>
        <v>1.05</v>
      </c>
      <c r="F1398" s="68"/>
      <c r="G1398" s="50"/>
      <c r="H1398" s="87"/>
    </row>
    <row r="1399" spans="2:8" ht="23.25" x14ac:dyDescent="0.25">
      <c r="B1399" s="49"/>
      <c r="C1399" s="306"/>
      <c r="D1399" s="107" t="s">
        <v>515</v>
      </c>
      <c r="E1399" s="68">
        <f>ROUND((G1387+G1388+D1379)/D1379,2)</f>
        <v>1.03</v>
      </c>
      <c r="F1399" s="68"/>
      <c r="G1399" s="57"/>
      <c r="H1399" s="93"/>
    </row>
    <row r="1400" spans="2:8" ht="23.25" x14ac:dyDescent="0.25">
      <c r="B1400" s="49"/>
      <c r="C1400" s="306"/>
      <c r="D1400" s="107" t="s">
        <v>516</v>
      </c>
      <c r="E1400" s="68">
        <f>ROUND((G1389+D1379)/D1379,2)</f>
        <v>1</v>
      </c>
      <c r="F1400" s="50"/>
      <c r="G1400" s="57"/>
      <c r="H1400" s="87"/>
    </row>
    <row r="1401" spans="2:8" ht="23.25" x14ac:dyDescent="0.25">
      <c r="B1401" s="49"/>
      <c r="C1401" s="306"/>
      <c r="D1401" s="69" t="s">
        <v>517</v>
      </c>
      <c r="E1401" s="70">
        <f>ROUND((SUM(G1390:G1395)+D1379)/D1379,2)</f>
        <v>1.72</v>
      </c>
      <c r="F1401" s="50"/>
      <c r="G1401" s="57"/>
      <c r="H1401" s="87"/>
    </row>
    <row r="1402" spans="2:8" ht="25.5" x14ac:dyDescent="0.25">
      <c r="B1402" s="49"/>
      <c r="C1402" s="49"/>
      <c r="D1402" s="71" t="s">
        <v>518</v>
      </c>
      <c r="E1402" s="72">
        <f>SUM(E1398:E1401)-IF(D1383="сплошная",3,2)</f>
        <v>1.7999999999999998</v>
      </c>
      <c r="F1402" s="73"/>
      <c r="G1402" s="48"/>
      <c r="H1402" s="87"/>
    </row>
    <row r="1403" spans="2:8" ht="23.25" x14ac:dyDescent="0.25">
      <c r="B1403" s="49"/>
      <c r="C1403" s="49"/>
      <c r="D1403" s="49"/>
      <c r="E1403" s="74"/>
      <c r="F1403" s="49"/>
      <c r="G1403" s="48"/>
      <c r="H1403" s="87"/>
    </row>
    <row r="1404" spans="2:8" ht="25.5" x14ac:dyDescent="0.35">
      <c r="B1404" s="58"/>
      <c r="C1404" s="75" t="s">
        <v>519</v>
      </c>
      <c r="D1404" s="307">
        <f>E1402*D1379</f>
        <v>26023.265999999996</v>
      </c>
      <c r="E1404" s="307"/>
      <c r="F1404" s="49"/>
      <c r="G1404" s="48"/>
      <c r="H1404" s="87"/>
    </row>
    <row r="1405" spans="2:8" ht="18.75" x14ac:dyDescent="0.3">
      <c r="B1405" s="49"/>
      <c r="C1405" s="76" t="s">
        <v>520</v>
      </c>
      <c r="D1405" s="308">
        <f>D1404/D1378</f>
        <v>32.870940278900562</v>
      </c>
      <c r="E1405" s="308"/>
      <c r="F1405" s="49"/>
      <c r="G1405" s="49"/>
      <c r="H1405" s="94"/>
    </row>
    <row r="1408" spans="2:8" ht="60.75" x14ac:dyDescent="0.8">
      <c r="B1408" s="330" t="str">
        <f>CONCATENATE("ЛОТ № ",K1411)</f>
        <v>ЛОТ № 39</v>
      </c>
      <c r="C1408" s="330"/>
      <c r="D1408" s="330"/>
      <c r="E1408" s="330"/>
      <c r="F1408" s="330"/>
      <c r="G1408" s="330"/>
      <c r="H1408" s="330"/>
    </row>
    <row r="1409" spans="2:27" ht="18.75" x14ac:dyDescent="0.25">
      <c r="B1409" s="331" t="s">
        <v>492</v>
      </c>
      <c r="C1409" s="331"/>
      <c r="D1409" s="331"/>
      <c r="E1409" s="331"/>
      <c r="F1409" s="331"/>
      <c r="G1409" s="331"/>
      <c r="H1409" s="87"/>
    </row>
    <row r="1410" spans="2:27" ht="25.5" x14ac:dyDescent="0.25">
      <c r="B1410" s="49"/>
      <c r="C1410" s="59" t="s">
        <v>493</v>
      </c>
      <c r="D1410" s="60"/>
      <c r="E1410" s="49"/>
      <c r="F1410" s="49"/>
      <c r="G1410" s="48"/>
      <c r="H1410" s="87"/>
      <c r="I1410" s="88"/>
      <c r="J1410" s="88"/>
      <c r="K1410" s="88"/>
      <c r="L1410" s="88" t="s">
        <v>454</v>
      </c>
      <c r="M1410" s="88" t="s">
        <v>444</v>
      </c>
      <c r="N1410" s="88" t="s">
        <v>445</v>
      </c>
      <c r="O1410" s="88" t="s">
        <v>453</v>
      </c>
      <c r="P1410" s="89" t="s">
        <v>446</v>
      </c>
      <c r="Q1410" s="88" t="s">
        <v>435</v>
      </c>
      <c r="R1410" s="40" t="s">
        <v>447</v>
      </c>
      <c r="S1410" s="40" t="s">
        <v>522</v>
      </c>
      <c r="T1410" s="88" t="s">
        <v>118</v>
      </c>
      <c r="U1410" s="88" t="s">
        <v>500</v>
      </c>
      <c r="V1410" s="88" t="s">
        <v>450</v>
      </c>
      <c r="W1410" s="40" t="s">
        <v>448</v>
      </c>
      <c r="X1410" s="40" t="s">
        <v>449</v>
      </c>
      <c r="Y1410" s="88" t="s">
        <v>523</v>
      </c>
      <c r="Z1410" s="88"/>
    </row>
    <row r="1411" spans="2:27" ht="19.5" x14ac:dyDescent="0.25">
      <c r="B1411" s="50"/>
      <c r="C1411" s="332" t="s">
        <v>494</v>
      </c>
      <c r="D1411" s="335" t="s">
        <v>521</v>
      </c>
      <c r="E1411" s="336"/>
      <c r="F1411" s="336"/>
      <c r="G1411" s="337"/>
      <c r="H1411" s="90"/>
      <c r="I1411" s="88" t="s">
        <v>443</v>
      </c>
      <c r="J1411" s="88"/>
      <c r="K1411" s="43">
        <f>IF(I1411="","",COUNTA(I$5:I1411))</f>
        <v>39</v>
      </c>
      <c r="L1411" s="95" t="str">
        <f>INDEX('Ведомость расчета мин. платы'!$B$10:$T$209,MATCH(ЛОТЫ!$K1411,'Ведомость расчета мин. платы'!$B$10:$B$209,0),2)</f>
        <v>Тимерликовское</v>
      </c>
      <c r="M1411" s="95">
        <f>INDEX('Ведомость расчета мин. платы'!$B$10:$T$209,MATCH(ЛОТЫ!$K1411,'Ведомость расчета мин. платы'!$B$10:$B$209,0),3)</f>
        <v>16</v>
      </c>
      <c r="N1411" s="95">
        <f>INDEX('Ведомость расчета мин. платы'!$B$10:$T$209,MATCH(ЛОТЫ!$K1411,'Ведомость расчета мин. платы'!$B$10:$B$209,0),4)</f>
        <v>9</v>
      </c>
      <c r="O1411" s="95">
        <f>INDEX('Ведомость расчета мин. платы'!$B$10:$T$209,MATCH(ЛОТЫ!$K1411,'Ведомость расчета мин. платы'!$B$10:$B$209,0),5)</f>
        <v>4</v>
      </c>
      <c r="P1411" s="89">
        <f>IFERROR(INDEX(Коэффициенты!$G$4:$O$106,MATCH(CONCATENATE($L1411,"/",$M1411,"/",$N1411,"/",$O1411),Коэффициенты!$O$4:$O$106,0),1),"")</f>
        <v>2.8</v>
      </c>
      <c r="Q1411" s="40">
        <f>IFERROR(INDEX(Коэффициенты!$G$4:$O$106,MATCH(CONCATENATE($L1411,"/",$M1411,"/",$N1411,"/",$O1411),Коэффициенты!$O$4:$O$106,0),6),"")</f>
        <v>678.8</v>
      </c>
      <c r="R1411" s="40">
        <f>IFERROR(INDEX(Коэффициенты!$G$4:$O$106,MATCH(CONCATENATE($L1411,"/",$M1411,"/",$N1411,"/",$O1411),Коэффициенты!$O$4:$O$106,0),2),"")</f>
        <v>12484.81</v>
      </c>
      <c r="S1411" s="43" t="str">
        <f>IFERROR(INDEX('Такс. опис.'!$A$5:$BW$50,MATCH(CONCATENATE($L1411,"/",$M1411,"/",$N1411),'Такс. опис.'!$C$5:$C$50,0),26),"")</f>
        <v>9ОС1Б+ЛП</v>
      </c>
      <c r="T1411" s="43" t="str">
        <f>IFERROR(INDEX('Такс. опис.'!$A$5:$BW$50,MATCH(CONCATENATE($L1411,"/",$M1411,"/",$N1411),'Такс. опис.'!$C$5:$C$50,0),47),"")</f>
        <v>Осина</v>
      </c>
      <c r="U1411" s="43">
        <f>IFERROR(INDEX('Такс. опис.'!$A$5:$BW$50,MATCH(CONCATENATE($L1411,"/",$M1411,"/",$N1411),'Такс. опис.'!$C$5:$C$50,0),49),"")</f>
        <v>55</v>
      </c>
      <c r="V1411" s="103">
        <f>IFERROR(INDEX('Ведомость расчета мин. платы'!$AC$10:$AD$214,MATCH(CONCATENATE($L1411,"/",$M1411,"/",$N1411,"/",$O1411),'Ведомость расчета мин. платы'!$AC$10:$AC$214,0),2),"")</f>
        <v>0.76</v>
      </c>
      <c r="W1411" s="40">
        <f>E1439</f>
        <v>1.7700000000000005</v>
      </c>
      <c r="X1411" s="40">
        <f>D1441</f>
        <v>22098.113700000005</v>
      </c>
      <c r="Y1411" s="91">
        <f>D1442</f>
        <v>32.554675456688287</v>
      </c>
      <c r="Z1411" s="88"/>
      <c r="AA1411" s="86">
        <f t="shared" ref="AA1411" si="65">IF(M1411&gt;0,1,0)</f>
        <v>1</v>
      </c>
    </row>
    <row r="1412" spans="2:27" ht="19.5" x14ac:dyDescent="0.25">
      <c r="B1412" s="50"/>
      <c r="C1412" s="333"/>
      <c r="D1412" s="338" t="str">
        <f>CONCATENATE(L1411, " участковое лесничество")</f>
        <v>Тимерликовское участковое лесничество</v>
      </c>
      <c r="E1412" s="338"/>
      <c r="F1412" s="338"/>
      <c r="G1412" s="338"/>
      <c r="H1412" s="90"/>
      <c r="I1412" s="88"/>
      <c r="J1412" s="88">
        <f>IFERROR(IF(ISBLANK(K1411),"",K1411),"")</f>
        <v>39</v>
      </c>
      <c r="K1412" s="88"/>
      <c r="L1412" s="88"/>
      <c r="M1412" s="88"/>
      <c r="N1412" s="88"/>
      <c r="O1412" s="88"/>
      <c r="P1412" s="88"/>
      <c r="Q1412" s="88"/>
      <c r="R1412" s="88"/>
      <c r="S1412" s="88"/>
      <c r="T1412" s="88"/>
      <c r="U1412" s="88"/>
      <c r="V1412" s="88"/>
      <c r="W1412" s="88"/>
      <c r="X1412" s="88"/>
      <c r="Y1412" s="88"/>
      <c r="Z1412" s="88"/>
    </row>
    <row r="1413" spans="2:27" ht="19.5" x14ac:dyDescent="0.25">
      <c r="B1413" s="50"/>
      <c r="C1413" s="334"/>
      <c r="D1413" s="338" t="str">
        <f>CONCATENATE("кв. ",M1411," ","выд."," ",N1411," ","делянка", " ",O1411)</f>
        <v>кв. 16 выд. 9 делянка 4</v>
      </c>
      <c r="E1413" s="338"/>
      <c r="F1413" s="338"/>
      <c r="G1413" s="338"/>
      <c r="H1413" s="90"/>
      <c r="I1413" s="88"/>
      <c r="J1413" s="88"/>
      <c r="K1413" s="88"/>
      <c r="L1413" s="88"/>
      <c r="M1413" s="88"/>
      <c r="N1413" s="88"/>
      <c r="O1413" s="88"/>
      <c r="P1413" s="88"/>
      <c r="Q1413" s="88"/>
      <c r="R1413" s="88"/>
      <c r="S1413" s="88"/>
      <c r="T1413" s="88"/>
      <c r="U1413" s="88"/>
      <c r="V1413" s="88"/>
      <c r="W1413" s="88"/>
      <c r="X1413" s="88"/>
      <c r="Y1413" s="88"/>
      <c r="Z1413" s="88"/>
    </row>
    <row r="1414" spans="2:27" ht="23.25" x14ac:dyDescent="0.25">
      <c r="B1414" s="49"/>
      <c r="C1414" s="61" t="s">
        <v>495</v>
      </c>
      <c r="D1414" s="51">
        <f>P1411</f>
        <v>2.8</v>
      </c>
      <c r="E1414" s="62"/>
      <c r="F1414" s="50"/>
      <c r="G1414" s="48"/>
      <c r="H1414" s="87"/>
    </row>
    <row r="1415" spans="2:27" ht="22.5" x14ac:dyDescent="0.25">
      <c r="B1415" s="49"/>
      <c r="C1415" s="63" t="s">
        <v>496</v>
      </c>
      <c r="D1415" s="106">
        <f>Q1411</f>
        <v>678.8</v>
      </c>
      <c r="E1415" s="309" t="s">
        <v>497</v>
      </c>
      <c r="F1415" s="310"/>
      <c r="G1415" s="313">
        <f>D1416/D1415</f>
        <v>18.392472009428403</v>
      </c>
      <c r="H1415" s="87"/>
    </row>
    <row r="1416" spans="2:27" ht="22.5" x14ac:dyDescent="0.25">
      <c r="B1416" s="49"/>
      <c r="C1416" s="63" t="s">
        <v>498</v>
      </c>
      <c r="D1416" s="52">
        <f>R1411</f>
        <v>12484.81</v>
      </c>
      <c r="E1416" s="311"/>
      <c r="F1416" s="312"/>
      <c r="G1416" s="314"/>
      <c r="H1416" s="87"/>
    </row>
    <row r="1417" spans="2:27" ht="23.25" x14ac:dyDescent="0.25">
      <c r="B1417" s="49"/>
      <c r="C1417" s="64"/>
      <c r="D1417" s="53"/>
      <c r="E1417" s="65"/>
      <c r="F1417" s="49"/>
      <c r="G1417" s="48"/>
      <c r="H1417" s="87"/>
    </row>
    <row r="1418" spans="2:27" ht="23.25" x14ac:dyDescent="0.25">
      <c r="B1418" s="49"/>
      <c r="C1418" s="82" t="s">
        <v>499</v>
      </c>
      <c r="D1418" s="96" t="str">
        <f>S1411</f>
        <v>9ОС1Б+ЛП</v>
      </c>
      <c r="E1418" s="49"/>
      <c r="F1418" s="49"/>
      <c r="G1418" s="48"/>
      <c r="H1418" s="87"/>
    </row>
    <row r="1419" spans="2:27" ht="23.25" x14ac:dyDescent="0.25">
      <c r="B1419" s="49"/>
      <c r="C1419" s="82" t="s">
        <v>500</v>
      </c>
      <c r="D1419" s="96">
        <f>U1411</f>
        <v>55</v>
      </c>
      <c r="E1419" s="49"/>
      <c r="F1419" s="49"/>
      <c r="G1419" s="48"/>
      <c r="H1419" s="87"/>
    </row>
    <row r="1420" spans="2:27" ht="23.25" x14ac:dyDescent="0.25">
      <c r="B1420" s="49"/>
      <c r="C1420" s="82" t="s">
        <v>501</v>
      </c>
      <c r="D1420" s="83" t="s">
        <v>502</v>
      </c>
      <c r="E1420" s="49"/>
      <c r="F1420" s="49"/>
      <c r="G1420" s="48"/>
      <c r="H1420" s="87"/>
    </row>
    <row r="1421" spans="2:27" ht="24" thickBot="1" x14ac:dyDescent="0.3">
      <c r="B1421" s="49"/>
      <c r="C1421" s="49"/>
      <c r="D1421" s="49"/>
      <c r="E1421" s="49"/>
      <c r="F1421" s="49"/>
      <c r="G1421" s="48"/>
      <c r="H1421" s="87"/>
    </row>
    <row r="1422" spans="2:27" ht="48" thickBot="1" x14ac:dyDescent="0.3">
      <c r="B1422" s="315" t="s">
        <v>436</v>
      </c>
      <c r="C1422" s="316"/>
      <c r="D1422" s="54" t="s">
        <v>503</v>
      </c>
      <c r="E1422" s="317" t="s">
        <v>504</v>
      </c>
      <c r="F1422" s="318"/>
      <c r="G1422" s="55" t="s">
        <v>505</v>
      </c>
      <c r="H1422" s="87"/>
    </row>
    <row r="1423" spans="2:27" ht="24" thickBot="1" x14ac:dyDescent="0.3">
      <c r="B1423" s="319" t="s">
        <v>506</v>
      </c>
      <c r="C1423" s="320"/>
      <c r="D1423" s="136">
        <v>197.93</v>
      </c>
      <c r="E1423" s="136">
        <f>D1414</f>
        <v>2.8</v>
      </c>
      <c r="F1423" s="77" t="s">
        <v>434</v>
      </c>
      <c r="G1423" s="142">
        <f t="shared" ref="G1423:G1430" si="66">D1423*E1423</f>
        <v>554.20399999999995</v>
      </c>
      <c r="H1423" s="321"/>
    </row>
    <row r="1424" spans="2:27" ht="23.25" x14ac:dyDescent="0.25">
      <c r="B1424" s="322" t="s">
        <v>507</v>
      </c>
      <c r="C1424" s="323"/>
      <c r="D1424" s="137">
        <v>159.44</v>
      </c>
      <c r="E1424" s="137">
        <f>V1411</f>
        <v>0.76</v>
      </c>
      <c r="F1424" s="78" t="s">
        <v>437</v>
      </c>
      <c r="G1424" s="143">
        <f t="shared" si="66"/>
        <v>121.17440000000001</v>
      </c>
      <c r="H1424" s="321"/>
    </row>
    <row r="1425" spans="2:8" ht="24" thickBot="1" x14ac:dyDescent="0.3">
      <c r="B1425" s="324" t="s">
        <v>508</v>
      </c>
      <c r="C1425" s="325"/>
      <c r="D1425" s="138">
        <v>276.62</v>
      </c>
      <c r="E1425" s="138">
        <f>V1411</f>
        <v>0.76</v>
      </c>
      <c r="F1425" s="79" t="s">
        <v>437</v>
      </c>
      <c r="G1425" s="144">
        <f t="shared" si="66"/>
        <v>210.2312</v>
      </c>
      <c r="H1425" s="321"/>
    </row>
    <row r="1426" spans="2:8" ht="24" thickBot="1" x14ac:dyDescent="0.3">
      <c r="B1426" s="326" t="s">
        <v>438</v>
      </c>
      <c r="C1426" s="327"/>
      <c r="D1426" s="139">
        <v>519</v>
      </c>
      <c r="E1426" s="139"/>
      <c r="F1426" s="80" t="s">
        <v>434</v>
      </c>
      <c r="G1426" s="145">
        <f t="shared" si="66"/>
        <v>0</v>
      </c>
      <c r="H1426" s="321"/>
    </row>
    <row r="1427" spans="2:8" ht="23.25" x14ac:dyDescent="0.25">
      <c r="B1427" s="322" t="s">
        <v>509</v>
      </c>
      <c r="C1427" s="323"/>
      <c r="D1427" s="137">
        <v>920</v>
      </c>
      <c r="E1427" s="137">
        <f>D1414*2</f>
        <v>5.6</v>
      </c>
      <c r="F1427" s="78" t="s">
        <v>434</v>
      </c>
      <c r="G1427" s="143">
        <f t="shared" si="66"/>
        <v>5152</v>
      </c>
      <c r="H1427" s="321"/>
    </row>
    <row r="1428" spans="2:8" ht="23.25" x14ac:dyDescent="0.25">
      <c r="B1428" s="328" t="s">
        <v>510</v>
      </c>
      <c r="C1428" s="329"/>
      <c r="D1428" s="140">
        <v>1300</v>
      </c>
      <c r="E1428" s="140">
        <f>IF(T1411="Осина",D1414,"0")</f>
        <v>2.8</v>
      </c>
      <c r="F1428" s="81" t="s">
        <v>434</v>
      </c>
      <c r="G1428" s="146">
        <f t="shared" si="66"/>
        <v>3639.9999999999995</v>
      </c>
      <c r="H1428" s="321"/>
    </row>
    <row r="1429" spans="2:8" ht="23.25" x14ac:dyDescent="0.25">
      <c r="B1429" s="328" t="s">
        <v>439</v>
      </c>
      <c r="C1429" s="329"/>
      <c r="D1429" s="141">
        <v>5165.12</v>
      </c>
      <c r="E1429" s="140" t="str">
        <f>IF(T1411="Осина","0",D1414)</f>
        <v>0</v>
      </c>
      <c r="F1429" s="81" t="s">
        <v>434</v>
      </c>
      <c r="G1429" s="146">
        <f t="shared" si="66"/>
        <v>0</v>
      </c>
      <c r="H1429" s="321"/>
    </row>
    <row r="1430" spans="2:8" ht="23.25" x14ac:dyDescent="0.25">
      <c r="B1430" s="328" t="s">
        <v>511</v>
      </c>
      <c r="C1430" s="329"/>
      <c r="D1430" s="141">
        <v>917</v>
      </c>
      <c r="E1430" s="140" t="str">
        <f>IF(T1411="Осина","0",D1414)</f>
        <v>0</v>
      </c>
      <c r="F1430" s="81" t="s">
        <v>434</v>
      </c>
      <c r="G1430" s="146">
        <f t="shared" si="66"/>
        <v>0</v>
      </c>
      <c r="H1430" s="321"/>
    </row>
    <row r="1431" spans="2:8" ht="23.25" x14ac:dyDescent="0.25">
      <c r="B1431" s="328" t="s">
        <v>441</v>
      </c>
      <c r="C1431" s="329"/>
      <c r="D1431" s="141">
        <v>461.56000000000006</v>
      </c>
      <c r="E1431" s="140" t="str">
        <f>IF(T1411="Осина","0",D1414)</f>
        <v>0</v>
      </c>
      <c r="F1431" s="81" t="s">
        <v>434</v>
      </c>
      <c r="G1431" s="146">
        <f>D1431*E1431</f>
        <v>0</v>
      </c>
      <c r="H1431" s="321"/>
    </row>
    <row r="1432" spans="2:8" ht="24" thickBot="1" x14ac:dyDescent="0.3">
      <c r="B1432" s="324" t="s">
        <v>440</v>
      </c>
      <c r="C1432" s="325"/>
      <c r="D1432" s="138">
        <v>353.15</v>
      </c>
      <c r="E1432" s="140" t="str">
        <f>IF(T1411="Осина","0",D1414*4)</f>
        <v>0</v>
      </c>
      <c r="F1432" s="79" t="s">
        <v>434</v>
      </c>
      <c r="G1432" s="147">
        <f>D1432*E1432</f>
        <v>0</v>
      </c>
      <c r="H1432" s="321"/>
    </row>
    <row r="1433" spans="2:8" ht="23.25" x14ac:dyDescent="0.25">
      <c r="B1433" s="49"/>
      <c r="C1433" s="66"/>
      <c r="D1433" s="66"/>
      <c r="E1433" s="56"/>
      <c r="F1433" s="56"/>
      <c r="G1433" s="48"/>
      <c r="H1433" s="92"/>
    </row>
    <row r="1434" spans="2:8" ht="25.5" x14ac:dyDescent="0.25">
      <c r="B1434" s="49"/>
      <c r="C1434" s="59" t="s">
        <v>512</v>
      </c>
      <c r="D1434" s="60"/>
      <c r="E1434" s="49"/>
      <c r="F1434" s="49"/>
      <c r="G1434" s="48"/>
      <c r="H1434" s="87"/>
    </row>
    <row r="1435" spans="2:8" ht="18.75" x14ac:dyDescent="0.25">
      <c r="B1435" s="49"/>
      <c r="C1435" s="306" t="s">
        <v>513</v>
      </c>
      <c r="D1435" s="107" t="s">
        <v>514</v>
      </c>
      <c r="E1435" s="68">
        <f>ROUND((G1423+D1416)/D1416,2)</f>
        <v>1.04</v>
      </c>
      <c r="F1435" s="68"/>
      <c r="G1435" s="50"/>
      <c r="H1435" s="87"/>
    </row>
    <row r="1436" spans="2:8" ht="23.25" x14ac:dyDescent="0.25">
      <c r="B1436" s="49"/>
      <c r="C1436" s="306"/>
      <c r="D1436" s="107" t="s">
        <v>515</v>
      </c>
      <c r="E1436" s="68">
        <f>ROUND((G1424+G1425+D1416)/D1416,2)</f>
        <v>1.03</v>
      </c>
      <c r="F1436" s="68"/>
      <c r="G1436" s="57"/>
      <c r="H1436" s="93"/>
    </row>
    <row r="1437" spans="2:8" ht="23.25" x14ac:dyDescent="0.25">
      <c r="B1437" s="49"/>
      <c r="C1437" s="306"/>
      <c r="D1437" s="107" t="s">
        <v>516</v>
      </c>
      <c r="E1437" s="68">
        <f>ROUND((G1426+D1416)/D1416,2)</f>
        <v>1</v>
      </c>
      <c r="F1437" s="50"/>
      <c r="G1437" s="57"/>
      <c r="H1437" s="87"/>
    </row>
    <row r="1438" spans="2:8" ht="23.25" x14ac:dyDescent="0.25">
      <c r="B1438" s="49"/>
      <c r="C1438" s="306"/>
      <c r="D1438" s="69" t="s">
        <v>517</v>
      </c>
      <c r="E1438" s="70">
        <f>ROUND((SUM(G1427:G1432)+D1416)/D1416,2)</f>
        <v>1.7</v>
      </c>
      <c r="F1438" s="50"/>
      <c r="G1438" s="57"/>
      <c r="H1438" s="87"/>
    </row>
    <row r="1439" spans="2:8" ht="25.5" x14ac:dyDescent="0.25">
      <c r="B1439" s="49"/>
      <c r="C1439" s="49"/>
      <c r="D1439" s="71" t="s">
        <v>518</v>
      </c>
      <c r="E1439" s="72">
        <f>SUM(E1435:E1438)-IF(D1420="сплошная",3,2)</f>
        <v>1.7700000000000005</v>
      </c>
      <c r="F1439" s="73"/>
      <c r="G1439" s="48"/>
      <c r="H1439" s="87"/>
    </row>
    <row r="1440" spans="2:8" ht="23.25" x14ac:dyDescent="0.25">
      <c r="B1440" s="49"/>
      <c r="C1440" s="49"/>
      <c r="D1440" s="49"/>
      <c r="E1440" s="74"/>
      <c r="F1440" s="49"/>
      <c r="G1440" s="48"/>
      <c r="H1440" s="87"/>
    </row>
    <row r="1441" spans="2:27" ht="25.5" x14ac:dyDescent="0.35">
      <c r="B1441" s="58"/>
      <c r="C1441" s="75" t="s">
        <v>519</v>
      </c>
      <c r="D1441" s="307">
        <f>E1439*D1416</f>
        <v>22098.113700000005</v>
      </c>
      <c r="E1441" s="307"/>
      <c r="F1441" s="49"/>
      <c r="G1441" s="48"/>
      <c r="H1441" s="87"/>
    </row>
    <row r="1442" spans="2:27" ht="18.75" x14ac:dyDescent="0.3">
      <c r="B1442" s="49"/>
      <c r="C1442" s="76" t="s">
        <v>520</v>
      </c>
      <c r="D1442" s="308">
        <f>D1441/D1415</f>
        <v>32.554675456688287</v>
      </c>
      <c r="E1442" s="308"/>
      <c r="F1442" s="49"/>
      <c r="G1442" s="49"/>
      <c r="H1442" s="94"/>
    </row>
    <row r="1445" spans="2:27" ht="60.75" x14ac:dyDescent="0.8">
      <c r="B1445" s="330" t="str">
        <f>CONCATENATE("ЛОТ № ",K1448)</f>
        <v>ЛОТ № 40</v>
      </c>
      <c r="C1445" s="330"/>
      <c r="D1445" s="330"/>
      <c r="E1445" s="330"/>
      <c r="F1445" s="330"/>
      <c r="G1445" s="330"/>
      <c r="H1445" s="330"/>
    </row>
    <row r="1446" spans="2:27" ht="18.75" x14ac:dyDescent="0.25">
      <c r="B1446" s="331" t="s">
        <v>492</v>
      </c>
      <c r="C1446" s="331"/>
      <c r="D1446" s="331"/>
      <c r="E1446" s="331"/>
      <c r="F1446" s="331"/>
      <c r="G1446" s="331"/>
      <c r="H1446" s="87"/>
    </row>
    <row r="1447" spans="2:27" ht="25.5" x14ac:dyDescent="0.25">
      <c r="B1447" s="49"/>
      <c r="C1447" s="59" t="s">
        <v>493</v>
      </c>
      <c r="D1447" s="60"/>
      <c r="E1447" s="49"/>
      <c r="F1447" s="49"/>
      <c r="G1447" s="48"/>
      <c r="H1447" s="87"/>
      <c r="I1447" s="88"/>
      <c r="J1447" s="88"/>
      <c r="K1447" s="88"/>
      <c r="L1447" s="88" t="s">
        <v>454</v>
      </c>
      <c r="M1447" s="88" t="s">
        <v>444</v>
      </c>
      <c r="N1447" s="88" t="s">
        <v>445</v>
      </c>
      <c r="O1447" s="88" t="s">
        <v>453</v>
      </c>
      <c r="P1447" s="89" t="s">
        <v>446</v>
      </c>
      <c r="Q1447" s="88" t="s">
        <v>435</v>
      </c>
      <c r="R1447" s="40" t="s">
        <v>447</v>
      </c>
      <c r="S1447" s="40" t="s">
        <v>522</v>
      </c>
      <c r="T1447" s="88" t="s">
        <v>118</v>
      </c>
      <c r="U1447" s="88" t="s">
        <v>500</v>
      </c>
      <c r="V1447" s="88" t="s">
        <v>450</v>
      </c>
      <c r="W1447" s="40" t="s">
        <v>448</v>
      </c>
      <c r="X1447" s="40" t="s">
        <v>449</v>
      </c>
      <c r="Y1447" s="88" t="s">
        <v>523</v>
      </c>
      <c r="Z1447" s="88"/>
    </row>
    <row r="1448" spans="2:27" ht="19.5" x14ac:dyDescent="0.25">
      <c r="B1448" s="50"/>
      <c r="C1448" s="332" t="s">
        <v>494</v>
      </c>
      <c r="D1448" s="335" t="s">
        <v>521</v>
      </c>
      <c r="E1448" s="336"/>
      <c r="F1448" s="336"/>
      <c r="G1448" s="337"/>
      <c r="H1448" s="90"/>
      <c r="I1448" s="88" t="s">
        <v>443</v>
      </c>
      <c r="J1448" s="88"/>
      <c r="K1448" s="43">
        <f>IF(I1448="","",COUNTA(I$5:I1448))</f>
        <v>40</v>
      </c>
      <c r="L1448" s="95" t="str">
        <f>INDEX('Ведомость расчета мин. платы'!$B$10:$T$209,MATCH(ЛОТЫ!$K1448,'Ведомость расчета мин. платы'!$B$10:$B$209,0),2)</f>
        <v>Тимерликовское</v>
      </c>
      <c r="M1448" s="95">
        <f>INDEX('Ведомость расчета мин. платы'!$B$10:$T$209,MATCH(ЛОТЫ!$K1448,'Ведомость расчета мин. платы'!$B$10:$B$209,0),3)</f>
        <v>16</v>
      </c>
      <c r="N1448" s="95">
        <f>INDEX('Ведомость расчета мин. платы'!$B$10:$T$209,MATCH(ЛОТЫ!$K1448,'Ведомость расчета мин. платы'!$B$10:$B$209,0),4)</f>
        <v>9</v>
      </c>
      <c r="O1448" s="95">
        <f>INDEX('Ведомость расчета мин. платы'!$B$10:$T$209,MATCH(ЛОТЫ!$K1448,'Ведомость расчета мин. платы'!$B$10:$B$209,0),5)</f>
        <v>5</v>
      </c>
      <c r="P1448" s="89">
        <f>IFERROR(INDEX(Коэффициенты!$G$4:$O$106,MATCH(CONCATENATE($L1448,"/",$M1448,"/",$N1448,"/",$O1448),Коэффициенты!$O$4:$O$106,0),1),"")</f>
        <v>2.8</v>
      </c>
      <c r="Q1448" s="40">
        <f>IFERROR(INDEX(Коэффициенты!$G$4:$O$106,MATCH(CONCATENATE($L1448,"/",$M1448,"/",$N1448,"/",$O1448),Коэффициенты!$O$4:$O$106,0),6),"")</f>
        <v>651.17999999999995</v>
      </c>
      <c r="R1448" s="40">
        <f>IFERROR(INDEX(Коэффициенты!$G$4:$O$106,MATCH(CONCATENATE($L1448,"/",$M1448,"/",$N1448,"/",$O1448),Коэффициенты!$O$4:$O$106,0),2),"")</f>
        <v>12109.3</v>
      </c>
      <c r="S1448" s="43" t="str">
        <f>IFERROR(INDEX('Такс. опис.'!$A$5:$BW$50,MATCH(CONCATENATE($L1448,"/",$M1448,"/",$N1448),'Такс. опис.'!$C$5:$C$50,0),26),"")</f>
        <v>9ОС1Б+ЛП</v>
      </c>
      <c r="T1448" s="43" t="str">
        <f>IFERROR(INDEX('Такс. опис.'!$A$5:$BW$50,MATCH(CONCATENATE($L1448,"/",$M1448,"/",$N1448),'Такс. опис.'!$C$5:$C$50,0),47),"")</f>
        <v>Осина</v>
      </c>
      <c r="U1448" s="43">
        <f>IFERROR(INDEX('Такс. опис.'!$A$5:$BW$50,MATCH(CONCATENATE($L1448,"/",$M1448,"/",$N1448),'Такс. опис.'!$C$5:$C$50,0),49),"")</f>
        <v>55</v>
      </c>
      <c r="V1448" s="103">
        <f>IFERROR(INDEX('Ведомость расчета мин. платы'!$AC$10:$AD$214,MATCH(CONCATENATE($L1448,"/",$M1448,"/",$N1448,"/",$O1448),'Ведомость расчета мин. платы'!$AC$10:$AC$214,0),2),"")</f>
        <v>0.76</v>
      </c>
      <c r="W1448" s="40">
        <f>E1476</f>
        <v>1.8100000000000005</v>
      </c>
      <c r="X1448" s="40">
        <f>D1478</f>
        <v>21917.833000000006</v>
      </c>
      <c r="Y1448" s="91">
        <f>D1479</f>
        <v>33.658639700236506</v>
      </c>
      <c r="Z1448" s="88"/>
      <c r="AA1448" s="86">
        <f t="shared" ref="AA1448" si="67">IF(M1448&gt;0,1,0)</f>
        <v>1</v>
      </c>
    </row>
    <row r="1449" spans="2:27" ht="19.5" x14ac:dyDescent="0.25">
      <c r="B1449" s="50"/>
      <c r="C1449" s="333"/>
      <c r="D1449" s="338" t="str">
        <f>CONCATENATE(L1448, " участковое лесничество")</f>
        <v>Тимерликовское участковое лесничество</v>
      </c>
      <c r="E1449" s="338"/>
      <c r="F1449" s="338"/>
      <c r="G1449" s="338"/>
      <c r="H1449" s="90"/>
      <c r="I1449" s="88"/>
      <c r="J1449" s="88">
        <f>IFERROR(IF(ISBLANK(K1448),"",K1448),"")</f>
        <v>40</v>
      </c>
      <c r="K1449" s="88"/>
      <c r="L1449" s="88"/>
      <c r="M1449" s="88"/>
      <c r="N1449" s="88"/>
      <c r="O1449" s="88"/>
      <c r="P1449" s="88"/>
      <c r="Q1449" s="88"/>
      <c r="R1449" s="88"/>
      <c r="S1449" s="88"/>
      <c r="T1449" s="88"/>
      <c r="U1449" s="88"/>
      <c r="V1449" s="88"/>
      <c r="W1449" s="88"/>
      <c r="X1449" s="88"/>
      <c r="Y1449" s="88"/>
      <c r="Z1449" s="88"/>
    </row>
    <row r="1450" spans="2:27" ht="19.5" x14ac:dyDescent="0.25">
      <c r="B1450" s="50"/>
      <c r="C1450" s="334"/>
      <c r="D1450" s="338" t="str">
        <f>CONCATENATE("кв. ",M1448," ","выд."," ",N1448," ","делянка", " ",O1448)</f>
        <v>кв. 16 выд. 9 делянка 5</v>
      </c>
      <c r="E1450" s="338"/>
      <c r="F1450" s="338"/>
      <c r="G1450" s="338"/>
      <c r="H1450" s="90"/>
      <c r="I1450" s="88"/>
      <c r="J1450" s="88"/>
      <c r="K1450" s="88"/>
      <c r="L1450" s="88"/>
      <c r="M1450" s="88"/>
      <c r="N1450" s="88"/>
      <c r="O1450" s="88"/>
      <c r="P1450" s="88"/>
      <c r="Q1450" s="88"/>
      <c r="R1450" s="88"/>
      <c r="S1450" s="88"/>
      <c r="T1450" s="88"/>
      <c r="U1450" s="88"/>
      <c r="V1450" s="88"/>
      <c r="W1450" s="88"/>
      <c r="X1450" s="88"/>
      <c r="Y1450" s="88"/>
      <c r="Z1450" s="88"/>
    </row>
    <row r="1451" spans="2:27" ht="23.25" x14ac:dyDescent="0.25">
      <c r="B1451" s="49"/>
      <c r="C1451" s="61" t="s">
        <v>495</v>
      </c>
      <c r="D1451" s="51">
        <f>P1448</f>
        <v>2.8</v>
      </c>
      <c r="E1451" s="62"/>
      <c r="F1451" s="50"/>
      <c r="G1451" s="48"/>
      <c r="H1451" s="87"/>
    </row>
    <row r="1452" spans="2:27" ht="22.5" x14ac:dyDescent="0.25">
      <c r="B1452" s="49"/>
      <c r="C1452" s="63" t="s">
        <v>496</v>
      </c>
      <c r="D1452" s="106">
        <f>Q1448</f>
        <v>651.17999999999995</v>
      </c>
      <c r="E1452" s="309" t="s">
        <v>497</v>
      </c>
      <c r="F1452" s="310"/>
      <c r="G1452" s="313">
        <f>D1453/D1452</f>
        <v>18.595933536042264</v>
      </c>
      <c r="H1452" s="87"/>
    </row>
    <row r="1453" spans="2:27" ht="22.5" x14ac:dyDescent="0.25">
      <c r="B1453" s="49"/>
      <c r="C1453" s="63" t="s">
        <v>498</v>
      </c>
      <c r="D1453" s="52">
        <f>R1448</f>
        <v>12109.3</v>
      </c>
      <c r="E1453" s="311"/>
      <c r="F1453" s="312"/>
      <c r="G1453" s="314"/>
      <c r="H1453" s="87"/>
    </row>
    <row r="1454" spans="2:27" ht="23.25" x14ac:dyDescent="0.25">
      <c r="B1454" s="49"/>
      <c r="C1454" s="64"/>
      <c r="D1454" s="53"/>
      <c r="E1454" s="65"/>
      <c r="F1454" s="49"/>
      <c r="G1454" s="48"/>
      <c r="H1454" s="87"/>
    </row>
    <row r="1455" spans="2:27" ht="23.25" x14ac:dyDescent="0.25">
      <c r="B1455" s="49"/>
      <c r="C1455" s="82" t="s">
        <v>499</v>
      </c>
      <c r="D1455" s="96" t="str">
        <f>S1448</f>
        <v>9ОС1Б+ЛП</v>
      </c>
      <c r="E1455" s="49"/>
      <c r="F1455" s="49"/>
      <c r="G1455" s="48"/>
      <c r="H1455" s="87"/>
    </row>
    <row r="1456" spans="2:27" ht="23.25" x14ac:dyDescent="0.25">
      <c r="B1456" s="49"/>
      <c r="C1456" s="82" t="s">
        <v>500</v>
      </c>
      <c r="D1456" s="96">
        <f>U1448</f>
        <v>55</v>
      </c>
      <c r="E1456" s="49"/>
      <c r="F1456" s="49"/>
      <c r="G1456" s="48"/>
      <c r="H1456" s="87"/>
    </row>
    <row r="1457" spans="2:8" ht="23.25" x14ac:dyDescent="0.25">
      <c r="B1457" s="49"/>
      <c r="C1457" s="82" t="s">
        <v>501</v>
      </c>
      <c r="D1457" s="83" t="s">
        <v>502</v>
      </c>
      <c r="E1457" s="49"/>
      <c r="F1457" s="49"/>
      <c r="G1457" s="48"/>
      <c r="H1457" s="87"/>
    </row>
    <row r="1458" spans="2:8" ht="24" thickBot="1" x14ac:dyDescent="0.3">
      <c r="B1458" s="49"/>
      <c r="C1458" s="49"/>
      <c r="D1458" s="49"/>
      <c r="E1458" s="49"/>
      <c r="F1458" s="49"/>
      <c r="G1458" s="48"/>
      <c r="H1458" s="87"/>
    </row>
    <row r="1459" spans="2:8" ht="48" thickBot="1" x14ac:dyDescent="0.3">
      <c r="B1459" s="315" t="s">
        <v>436</v>
      </c>
      <c r="C1459" s="316"/>
      <c r="D1459" s="54" t="s">
        <v>503</v>
      </c>
      <c r="E1459" s="317" t="s">
        <v>504</v>
      </c>
      <c r="F1459" s="318"/>
      <c r="G1459" s="55" t="s">
        <v>505</v>
      </c>
      <c r="H1459" s="87"/>
    </row>
    <row r="1460" spans="2:8" ht="24" thickBot="1" x14ac:dyDescent="0.3">
      <c r="B1460" s="319" t="s">
        <v>506</v>
      </c>
      <c r="C1460" s="320"/>
      <c r="D1460" s="136">
        <v>197.93</v>
      </c>
      <c r="E1460" s="136">
        <f>D1451</f>
        <v>2.8</v>
      </c>
      <c r="F1460" s="77" t="s">
        <v>434</v>
      </c>
      <c r="G1460" s="142">
        <f t="shared" ref="G1460:G1467" si="68">D1460*E1460</f>
        <v>554.20399999999995</v>
      </c>
      <c r="H1460" s="321"/>
    </row>
    <row r="1461" spans="2:8" ht="23.25" x14ac:dyDescent="0.25">
      <c r="B1461" s="322" t="s">
        <v>507</v>
      </c>
      <c r="C1461" s="323"/>
      <c r="D1461" s="137">
        <v>159.44</v>
      </c>
      <c r="E1461" s="137">
        <f>V1448</f>
        <v>0.76</v>
      </c>
      <c r="F1461" s="78" t="s">
        <v>437</v>
      </c>
      <c r="G1461" s="143">
        <f t="shared" si="68"/>
        <v>121.17440000000001</v>
      </c>
      <c r="H1461" s="321"/>
    </row>
    <row r="1462" spans="2:8" ht="24" thickBot="1" x14ac:dyDescent="0.3">
      <c r="B1462" s="324" t="s">
        <v>508</v>
      </c>
      <c r="C1462" s="325"/>
      <c r="D1462" s="138">
        <v>276.62</v>
      </c>
      <c r="E1462" s="138">
        <f>V1448</f>
        <v>0.76</v>
      </c>
      <c r="F1462" s="79" t="s">
        <v>437</v>
      </c>
      <c r="G1462" s="144">
        <f t="shared" si="68"/>
        <v>210.2312</v>
      </c>
      <c r="H1462" s="321"/>
    </row>
    <row r="1463" spans="2:8" ht="24" thickBot="1" x14ac:dyDescent="0.3">
      <c r="B1463" s="326" t="s">
        <v>438</v>
      </c>
      <c r="C1463" s="327"/>
      <c r="D1463" s="139">
        <v>519</v>
      </c>
      <c r="E1463" s="139"/>
      <c r="F1463" s="80" t="s">
        <v>434</v>
      </c>
      <c r="G1463" s="145">
        <f t="shared" si="68"/>
        <v>0</v>
      </c>
      <c r="H1463" s="321"/>
    </row>
    <row r="1464" spans="2:8" ht="23.25" x14ac:dyDescent="0.25">
      <c r="B1464" s="322" t="s">
        <v>509</v>
      </c>
      <c r="C1464" s="323"/>
      <c r="D1464" s="137">
        <v>920</v>
      </c>
      <c r="E1464" s="137">
        <f>D1451*2</f>
        <v>5.6</v>
      </c>
      <c r="F1464" s="78" t="s">
        <v>434</v>
      </c>
      <c r="G1464" s="143">
        <f t="shared" si="68"/>
        <v>5152</v>
      </c>
      <c r="H1464" s="321"/>
    </row>
    <row r="1465" spans="2:8" ht="23.25" x14ac:dyDescent="0.25">
      <c r="B1465" s="328" t="s">
        <v>510</v>
      </c>
      <c r="C1465" s="329"/>
      <c r="D1465" s="140">
        <v>1300</v>
      </c>
      <c r="E1465" s="140">
        <f>IF(T1448="Осина",D1451,"0")</f>
        <v>2.8</v>
      </c>
      <c r="F1465" s="81" t="s">
        <v>434</v>
      </c>
      <c r="G1465" s="146">
        <f t="shared" si="68"/>
        <v>3639.9999999999995</v>
      </c>
      <c r="H1465" s="321"/>
    </row>
    <row r="1466" spans="2:8" ht="23.25" x14ac:dyDescent="0.25">
      <c r="B1466" s="328" t="s">
        <v>439</v>
      </c>
      <c r="C1466" s="329"/>
      <c r="D1466" s="141">
        <v>5165.12</v>
      </c>
      <c r="E1466" s="140" t="str">
        <f>IF(T1448="Осина","0",D1451)</f>
        <v>0</v>
      </c>
      <c r="F1466" s="81" t="s">
        <v>434</v>
      </c>
      <c r="G1466" s="146">
        <f t="shared" si="68"/>
        <v>0</v>
      </c>
      <c r="H1466" s="321"/>
    </row>
    <row r="1467" spans="2:8" ht="23.25" x14ac:dyDescent="0.25">
      <c r="B1467" s="328" t="s">
        <v>511</v>
      </c>
      <c r="C1467" s="329"/>
      <c r="D1467" s="141">
        <v>917</v>
      </c>
      <c r="E1467" s="140" t="str">
        <f>IF(T1448="Осина","0",D1451)</f>
        <v>0</v>
      </c>
      <c r="F1467" s="81" t="s">
        <v>434</v>
      </c>
      <c r="G1467" s="146">
        <f t="shared" si="68"/>
        <v>0</v>
      </c>
      <c r="H1467" s="321"/>
    </row>
    <row r="1468" spans="2:8" ht="23.25" x14ac:dyDescent="0.25">
      <c r="B1468" s="328" t="s">
        <v>441</v>
      </c>
      <c r="C1468" s="329"/>
      <c r="D1468" s="141">
        <v>461.56000000000006</v>
      </c>
      <c r="E1468" s="140" t="str">
        <f>IF(T1448="Осина","0",D1451)</f>
        <v>0</v>
      </c>
      <c r="F1468" s="81" t="s">
        <v>434</v>
      </c>
      <c r="G1468" s="146">
        <f>D1468*E1468</f>
        <v>0</v>
      </c>
      <c r="H1468" s="321"/>
    </row>
    <row r="1469" spans="2:8" ht="24" thickBot="1" x14ac:dyDescent="0.3">
      <c r="B1469" s="324" t="s">
        <v>440</v>
      </c>
      <c r="C1469" s="325"/>
      <c r="D1469" s="138">
        <v>353.15</v>
      </c>
      <c r="E1469" s="140" t="str">
        <f>IF(T1448="Осина","0",D1451*4)</f>
        <v>0</v>
      </c>
      <c r="F1469" s="79" t="s">
        <v>434</v>
      </c>
      <c r="G1469" s="147">
        <f>D1469*E1469</f>
        <v>0</v>
      </c>
      <c r="H1469" s="321"/>
    </row>
    <row r="1470" spans="2:8" ht="23.25" x14ac:dyDescent="0.25">
      <c r="B1470" s="49"/>
      <c r="C1470" s="66"/>
      <c r="D1470" s="66"/>
      <c r="E1470" s="56"/>
      <c r="F1470" s="56"/>
      <c r="G1470" s="48"/>
      <c r="H1470" s="92"/>
    </row>
    <row r="1471" spans="2:8" ht="25.5" x14ac:dyDescent="0.25">
      <c r="B1471" s="49"/>
      <c r="C1471" s="59" t="s">
        <v>512</v>
      </c>
      <c r="D1471" s="60"/>
      <c r="E1471" s="49"/>
      <c r="F1471" s="49"/>
      <c r="G1471" s="48"/>
      <c r="H1471" s="87"/>
    </row>
    <row r="1472" spans="2:8" ht="18.75" x14ac:dyDescent="0.25">
      <c r="B1472" s="49"/>
      <c r="C1472" s="306" t="s">
        <v>513</v>
      </c>
      <c r="D1472" s="107" t="s">
        <v>514</v>
      </c>
      <c r="E1472" s="68">
        <f>ROUND((G1460+D1453)/D1453,2)</f>
        <v>1.05</v>
      </c>
      <c r="F1472" s="68"/>
      <c r="G1472" s="50"/>
      <c r="H1472" s="87"/>
    </row>
    <row r="1473" spans="2:27" ht="23.25" x14ac:dyDescent="0.25">
      <c r="B1473" s="49"/>
      <c r="C1473" s="306"/>
      <c r="D1473" s="107" t="s">
        <v>515</v>
      </c>
      <c r="E1473" s="68">
        <f>ROUND((G1461+G1462+D1453)/D1453,2)</f>
        <v>1.03</v>
      </c>
      <c r="F1473" s="68"/>
      <c r="G1473" s="57"/>
      <c r="H1473" s="93"/>
    </row>
    <row r="1474" spans="2:27" ht="23.25" x14ac:dyDescent="0.25">
      <c r="B1474" s="49"/>
      <c r="C1474" s="306"/>
      <c r="D1474" s="107" t="s">
        <v>516</v>
      </c>
      <c r="E1474" s="68">
        <f>ROUND((G1463+D1453)/D1453,2)</f>
        <v>1</v>
      </c>
      <c r="F1474" s="50"/>
      <c r="G1474" s="57"/>
      <c r="H1474" s="87"/>
    </row>
    <row r="1475" spans="2:27" ht="23.25" x14ac:dyDescent="0.25">
      <c r="B1475" s="49"/>
      <c r="C1475" s="306"/>
      <c r="D1475" s="69" t="s">
        <v>517</v>
      </c>
      <c r="E1475" s="70">
        <f>ROUND((SUM(G1464:G1469)+D1453)/D1453,2)</f>
        <v>1.73</v>
      </c>
      <c r="F1475" s="50"/>
      <c r="G1475" s="57"/>
      <c r="H1475" s="87"/>
    </row>
    <row r="1476" spans="2:27" ht="25.5" x14ac:dyDescent="0.25">
      <c r="B1476" s="49"/>
      <c r="C1476" s="49"/>
      <c r="D1476" s="71" t="s">
        <v>518</v>
      </c>
      <c r="E1476" s="72">
        <f>SUM(E1472:E1475)-IF(D1457="сплошная",3,2)</f>
        <v>1.8100000000000005</v>
      </c>
      <c r="F1476" s="73"/>
      <c r="G1476" s="48"/>
      <c r="H1476" s="87"/>
    </row>
    <row r="1477" spans="2:27" ht="23.25" x14ac:dyDescent="0.25">
      <c r="B1477" s="49"/>
      <c r="C1477" s="49"/>
      <c r="D1477" s="49"/>
      <c r="E1477" s="74"/>
      <c r="F1477" s="49"/>
      <c r="G1477" s="48"/>
      <c r="H1477" s="87"/>
    </row>
    <row r="1478" spans="2:27" ht="25.5" x14ac:dyDescent="0.35">
      <c r="B1478" s="58"/>
      <c r="C1478" s="75" t="s">
        <v>519</v>
      </c>
      <c r="D1478" s="307">
        <f>E1476*D1453</f>
        <v>21917.833000000006</v>
      </c>
      <c r="E1478" s="307"/>
      <c r="F1478" s="49"/>
      <c r="G1478" s="48"/>
      <c r="H1478" s="87"/>
    </row>
    <row r="1479" spans="2:27" ht="18.75" x14ac:dyDescent="0.3">
      <c r="B1479" s="49"/>
      <c r="C1479" s="76" t="s">
        <v>520</v>
      </c>
      <c r="D1479" s="308">
        <f>D1478/D1452</f>
        <v>33.658639700236506</v>
      </c>
      <c r="E1479" s="308"/>
      <c r="F1479" s="49"/>
      <c r="G1479" s="49"/>
      <c r="H1479" s="94"/>
    </row>
    <row r="1482" spans="2:27" ht="60.75" x14ac:dyDescent="0.8">
      <c r="B1482" s="330" t="str">
        <f>CONCATENATE("ЛОТ № ",K1485)</f>
        <v>ЛОТ № 41</v>
      </c>
      <c r="C1482" s="330"/>
      <c r="D1482" s="330"/>
      <c r="E1482" s="330"/>
      <c r="F1482" s="330"/>
      <c r="G1482" s="330"/>
      <c r="H1482" s="330"/>
    </row>
    <row r="1483" spans="2:27" ht="18.75" x14ac:dyDescent="0.25">
      <c r="B1483" s="331" t="s">
        <v>492</v>
      </c>
      <c r="C1483" s="331"/>
      <c r="D1483" s="331"/>
      <c r="E1483" s="331"/>
      <c r="F1483" s="331"/>
      <c r="G1483" s="331"/>
      <c r="H1483" s="87"/>
    </row>
    <row r="1484" spans="2:27" ht="25.5" x14ac:dyDescent="0.25">
      <c r="B1484" s="49"/>
      <c r="C1484" s="59" t="s">
        <v>493</v>
      </c>
      <c r="D1484" s="60"/>
      <c r="E1484" s="49"/>
      <c r="F1484" s="49"/>
      <c r="G1484" s="48"/>
      <c r="H1484" s="87"/>
      <c r="I1484" s="88"/>
      <c r="J1484" s="88"/>
      <c r="K1484" s="88"/>
      <c r="L1484" s="88" t="s">
        <v>454</v>
      </c>
      <c r="M1484" s="88" t="s">
        <v>444</v>
      </c>
      <c r="N1484" s="88" t="s">
        <v>445</v>
      </c>
      <c r="O1484" s="88" t="s">
        <v>453</v>
      </c>
      <c r="P1484" s="89" t="s">
        <v>446</v>
      </c>
      <c r="Q1484" s="88" t="s">
        <v>435</v>
      </c>
      <c r="R1484" s="40" t="s">
        <v>447</v>
      </c>
      <c r="S1484" s="40" t="s">
        <v>522</v>
      </c>
      <c r="T1484" s="88" t="s">
        <v>118</v>
      </c>
      <c r="U1484" s="88" t="s">
        <v>500</v>
      </c>
      <c r="V1484" s="88" t="s">
        <v>450</v>
      </c>
      <c r="W1484" s="40" t="s">
        <v>448</v>
      </c>
      <c r="X1484" s="40" t="s">
        <v>449</v>
      </c>
      <c r="Y1484" s="88" t="s">
        <v>523</v>
      </c>
      <c r="Z1484" s="88"/>
    </row>
    <row r="1485" spans="2:27" ht="19.5" x14ac:dyDescent="0.25">
      <c r="B1485" s="50"/>
      <c r="C1485" s="332" t="s">
        <v>494</v>
      </c>
      <c r="D1485" s="335" t="s">
        <v>521</v>
      </c>
      <c r="E1485" s="336"/>
      <c r="F1485" s="336"/>
      <c r="G1485" s="337"/>
      <c r="H1485" s="90"/>
      <c r="I1485" s="88" t="s">
        <v>443</v>
      </c>
      <c r="J1485" s="88"/>
      <c r="K1485" s="43">
        <f>IF(I1485="","",COUNTA(I$5:I1485))</f>
        <v>41</v>
      </c>
      <c r="L1485" s="95" t="str">
        <f>INDEX('Ведомость расчета мин. платы'!$B$10:$T$209,MATCH(ЛОТЫ!$K1485,'Ведомость расчета мин. платы'!$B$10:$B$209,0),2)</f>
        <v>Тимерликовское</v>
      </c>
      <c r="M1485" s="95">
        <f>INDEX('Ведомость расчета мин. платы'!$B$10:$T$209,MATCH(ЛОТЫ!$K1485,'Ведомость расчета мин. платы'!$B$10:$B$209,0),3)</f>
        <v>115</v>
      </c>
      <c r="N1485" s="95">
        <f>INDEX('Ведомость расчета мин. платы'!$B$10:$T$209,MATCH(ЛОТЫ!$K1485,'Ведомость расчета мин. платы'!$B$10:$B$209,0),4)</f>
        <v>6</v>
      </c>
      <c r="O1485" s="95">
        <f>INDEX('Ведомость расчета мин. платы'!$B$10:$T$209,MATCH(ЛОТЫ!$K1485,'Ведомость расчета мин. платы'!$B$10:$B$209,0),5)</f>
        <v>1</v>
      </c>
      <c r="P1485" s="89">
        <f>IFERROR(INDEX(Коэффициенты!$G$4:$O$106,MATCH(CONCATENATE($L1485,"/",$M1485,"/",$N1485,"/",$O1485),Коэффициенты!$O$4:$O$106,0),1),"")</f>
        <v>4</v>
      </c>
      <c r="Q1485" s="40">
        <f>IFERROR(INDEX(Коэффициенты!$G$4:$O$106,MATCH(CONCATENATE($L1485,"/",$M1485,"/",$N1485,"/",$O1485),Коэффициенты!$O$4:$O$106,0),6),"")</f>
        <v>630.75</v>
      </c>
      <c r="R1485" s="40">
        <f>IFERROR(INDEX(Коэффициенты!$G$4:$O$106,MATCH(CONCATENATE($L1485,"/",$M1485,"/",$N1485,"/",$O1485),Коэффициенты!$O$4:$O$106,0),2),"")</f>
        <v>9114.89</v>
      </c>
      <c r="S1485" s="43" t="str">
        <f>IFERROR(INDEX('Такс. опис.'!$A$5:$BW$50,MATCH(CONCATENATE($L1485,"/",$M1485,"/",$N1485),'Такс. опис.'!$C$5:$C$50,0),26),"")</f>
        <v>10ОС+Б</v>
      </c>
      <c r="T1485" s="43" t="str">
        <f>IFERROR(INDEX('Такс. опис.'!$A$5:$BW$50,MATCH(CONCATENATE($L1485,"/",$M1485,"/",$N1485),'Такс. опис.'!$C$5:$C$50,0),47),"")</f>
        <v>Осина</v>
      </c>
      <c r="U1485" s="43">
        <f>IFERROR(INDEX('Такс. опис.'!$A$5:$BW$50,MATCH(CONCATENATE($L1485,"/",$M1485,"/",$N1485),'Такс. опис.'!$C$5:$C$50,0),49),"")</f>
        <v>45</v>
      </c>
      <c r="V1485" s="103">
        <f>IFERROR(INDEX('Ведомость расчета мин. платы'!$AC$10:$AD$214,MATCH(CONCATENATE($L1485,"/",$M1485,"/",$N1485,"/",$O1485),'Ведомость расчета мин. платы'!$AC$10:$AC$214,0),2),"")</f>
        <v>0.99</v>
      </c>
      <c r="W1485" s="40">
        <f>E1513</f>
        <v>2.5199999999999996</v>
      </c>
      <c r="X1485" s="40">
        <f>D1515</f>
        <v>22969.522799999995</v>
      </c>
      <c r="Y1485" s="91">
        <f>D1516</f>
        <v>36.416207372175975</v>
      </c>
      <c r="Z1485" s="88"/>
      <c r="AA1485" s="86">
        <f t="shared" ref="AA1485" si="69">IF(M1485&gt;0,1,0)</f>
        <v>1</v>
      </c>
    </row>
    <row r="1486" spans="2:27" ht="19.5" x14ac:dyDescent="0.25">
      <c r="B1486" s="50"/>
      <c r="C1486" s="333"/>
      <c r="D1486" s="338" t="str">
        <f>CONCATENATE(L1485, " участковое лесничество")</f>
        <v>Тимерликовское участковое лесничество</v>
      </c>
      <c r="E1486" s="338"/>
      <c r="F1486" s="338"/>
      <c r="G1486" s="338"/>
      <c r="H1486" s="90"/>
      <c r="I1486" s="88"/>
      <c r="J1486" s="88">
        <f>IFERROR(IF(ISBLANK(K1485),"",K1485),"")</f>
        <v>41</v>
      </c>
      <c r="K1486" s="88"/>
      <c r="L1486" s="88"/>
      <c r="M1486" s="88"/>
      <c r="N1486" s="88"/>
      <c r="O1486" s="88"/>
      <c r="P1486" s="88"/>
      <c r="Q1486" s="88"/>
      <c r="R1486" s="88"/>
      <c r="S1486" s="88"/>
      <c r="T1486" s="88"/>
      <c r="U1486" s="88"/>
      <c r="V1486" s="88"/>
      <c r="W1486" s="88"/>
      <c r="X1486" s="88"/>
      <c r="Y1486" s="88"/>
      <c r="Z1486" s="88"/>
    </row>
    <row r="1487" spans="2:27" ht="19.5" x14ac:dyDescent="0.25">
      <c r="B1487" s="50"/>
      <c r="C1487" s="334"/>
      <c r="D1487" s="338" t="str">
        <f>CONCATENATE("кв. ",M1485," ","выд."," ",N1485," ","делянка", " ",O1485)</f>
        <v>кв. 115 выд. 6 делянка 1</v>
      </c>
      <c r="E1487" s="338"/>
      <c r="F1487" s="338"/>
      <c r="G1487" s="338"/>
      <c r="H1487" s="90"/>
      <c r="I1487" s="88"/>
      <c r="J1487" s="88"/>
      <c r="K1487" s="88"/>
      <c r="L1487" s="88"/>
      <c r="M1487" s="88"/>
      <c r="N1487" s="88"/>
      <c r="O1487" s="88"/>
      <c r="P1487" s="88"/>
      <c r="Q1487" s="88"/>
      <c r="R1487" s="88"/>
      <c r="S1487" s="88"/>
      <c r="T1487" s="88"/>
      <c r="U1487" s="88"/>
      <c r="V1487" s="88"/>
      <c r="W1487" s="88"/>
      <c r="X1487" s="88"/>
      <c r="Y1487" s="88"/>
      <c r="Z1487" s="88"/>
    </row>
    <row r="1488" spans="2:27" ht="23.25" x14ac:dyDescent="0.25">
      <c r="B1488" s="49"/>
      <c r="C1488" s="61" t="s">
        <v>495</v>
      </c>
      <c r="D1488" s="51">
        <f>P1485</f>
        <v>4</v>
      </c>
      <c r="E1488" s="62"/>
      <c r="F1488" s="50"/>
      <c r="G1488" s="48"/>
      <c r="H1488" s="87"/>
    </row>
    <row r="1489" spans="2:8" ht="22.5" x14ac:dyDescent="0.25">
      <c r="B1489" s="49"/>
      <c r="C1489" s="63" t="s">
        <v>496</v>
      </c>
      <c r="D1489" s="106">
        <f>Q1485</f>
        <v>630.75</v>
      </c>
      <c r="E1489" s="309" t="s">
        <v>497</v>
      </c>
      <c r="F1489" s="310"/>
      <c r="G1489" s="313">
        <f>D1490/D1489</f>
        <v>14.450875941339675</v>
      </c>
      <c r="H1489" s="87"/>
    </row>
    <row r="1490" spans="2:8" ht="22.5" x14ac:dyDescent="0.25">
      <c r="B1490" s="49"/>
      <c r="C1490" s="63" t="s">
        <v>498</v>
      </c>
      <c r="D1490" s="52">
        <f>R1485</f>
        <v>9114.89</v>
      </c>
      <c r="E1490" s="311"/>
      <c r="F1490" s="312"/>
      <c r="G1490" s="314"/>
      <c r="H1490" s="87"/>
    </row>
    <row r="1491" spans="2:8" ht="23.25" x14ac:dyDescent="0.25">
      <c r="B1491" s="49"/>
      <c r="C1491" s="64"/>
      <c r="D1491" s="53"/>
      <c r="E1491" s="65"/>
      <c r="F1491" s="49"/>
      <c r="G1491" s="48"/>
      <c r="H1491" s="87"/>
    </row>
    <row r="1492" spans="2:8" ht="23.25" x14ac:dyDescent="0.25">
      <c r="B1492" s="49"/>
      <c r="C1492" s="82" t="s">
        <v>499</v>
      </c>
      <c r="D1492" s="96" t="str">
        <f>S1485</f>
        <v>10ОС+Б</v>
      </c>
      <c r="E1492" s="49"/>
      <c r="F1492" s="49"/>
      <c r="G1492" s="48"/>
      <c r="H1492" s="87"/>
    </row>
    <row r="1493" spans="2:8" ht="23.25" x14ac:dyDescent="0.25">
      <c r="B1493" s="49"/>
      <c r="C1493" s="82" t="s">
        <v>500</v>
      </c>
      <c r="D1493" s="96">
        <f>U1485</f>
        <v>45</v>
      </c>
      <c r="E1493" s="49"/>
      <c r="F1493" s="49"/>
      <c r="G1493" s="48"/>
      <c r="H1493" s="87"/>
    </row>
    <row r="1494" spans="2:8" ht="23.25" x14ac:dyDescent="0.25">
      <c r="B1494" s="49"/>
      <c r="C1494" s="82" t="s">
        <v>501</v>
      </c>
      <c r="D1494" s="83" t="s">
        <v>502</v>
      </c>
      <c r="E1494" s="49"/>
      <c r="F1494" s="49"/>
      <c r="G1494" s="48"/>
      <c r="H1494" s="87"/>
    </row>
    <row r="1495" spans="2:8" ht="24" thickBot="1" x14ac:dyDescent="0.3">
      <c r="B1495" s="49"/>
      <c r="C1495" s="49"/>
      <c r="D1495" s="49"/>
      <c r="E1495" s="49"/>
      <c r="F1495" s="49"/>
      <c r="G1495" s="48"/>
      <c r="H1495" s="87"/>
    </row>
    <row r="1496" spans="2:8" ht="48" thickBot="1" x14ac:dyDescent="0.3">
      <c r="B1496" s="315" t="s">
        <v>436</v>
      </c>
      <c r="C1496" s="316"/>
      <c r="D1496" s="54" t="s">
        <v>503</v>
      </c>
      <c r="E1496" s="317" t="s">
        <v>504</v>
      </c>
      <c r="F1496" s="318"/>
      <c r="G1496" s="55" t="s">
        <v>505</v>
      </c>
      <c r="H1496" s="87"/>
    </row>
    <row r="1497" spans="2:8" ht="24" thickBot="1" x14ac:dyDescent="0.3">
      <c r="B1497" s="319" t="s">
        <v>506</v>
      </c>
      <c r="C1497" s="320"/>
      <c r="D1497" s="136">
        <v>197.93</v>
      </c>
      <c r="E1497" s="136">
        <f>D1488</f>
        <v>4</v>
      </c>
      <c r="F1497" s="77" t="s">
        <v>434</v>
      </c>
      <c r="G1497" s="142">
        <f t="shared" ref="G1497:G1504" si="70">D1497*E1497</f>
        <v>791.72</v>
      </c>
      <c r="H1497" s="321"/>
    </row>
    <row r="1498" spans="2:8" ht="23.25" x14ac:dyDescent="0.25">
      <c r="B1498" s="322" t="s">
        <v>507</v>
      </c>
      <c r="C1498" s="323"/>
      <c r="D1498" s="137">
        <v>159.44</v>
      </c>
      <c r="E1498" s="137">
        <f>V1485</f>
        <v>0.99</v>
      </c>
      <c r="F1498" s="78" t="s">
        <v>437</v>
      </c>
      <c r="G1498" s="143">
        <f t="shared" si="70"/>
        <v>157.84559999999999</v>
      </c>
      <c r="H1498" s="321"/>
    </row>
    <row r="1499" spans="2:8" ht="24" thickBot="1" x14ac:dyDescent="0.3">
      <c r="B1499" s="324" t="s">
        <v>508</v>
      </c>
      <c r="C1499" s="325"/>
      <c r="D1499" s="138">
        <v>276.62</v>
      </c>
      <c r="E1499" s="138">
        <f>V1485</f>
        <v>0.99</v>
      </c>
      <c r="F1499" s="79" t="s">
        <v>437</v>
      </c>
      <c r="G1499" s="144">
        <f t="shared" si="70"/>
        <v>273.85379999999998</v>
      </c>
      <c r="H1499" s="321"/>
    </row>
    <row r="1500" spans="2:8" ht="24" thickBot="1" x14ac:dyDescent="0.3">
      <c r="B1500" s="326" t="s">
        <v>438</v>
      </c>
      <c r="C1500" s="327"/>
      <c r="D1500" s="139">
        <v>519</v>
      </c>
      <c r="E1500" s="139"/>
      <c r="F1500" s="80" t="s">
        <v>434</v>
      </c>
      <c r="G1500" s="145">
        <f t="shared" si="70"/>
        <v>0</v>
      </c>
      <c r="H1500" s="321"/>
    </row>
    <row r="1501" spans="2:8" ht="23.25" x14ac:dyDescent="0.25">
      <c r="B1501" s="322" t="s">
        <v>509</v>
      </c>
      <c r="C1501" s="323"/>
      <c r="D1501" s="137">
        <v>920</v>
      </c>
      <c r="E1501" s="137">
        <f>D1488*2</f>
        <v>8</v>
      </c>
      <c r="F1501" s="78" t="s">
        <v>434</v>
      </c>
      <c r="G1501" s="143">
        <f t="shared" si="70"/>
        <v>7360</v>
      </c>
      <c r="H1501" s="321"/>
    </row>
    <row r="1502" spans="2:8" ht="23.25" x14ac:dyDescent="0.25">
      <c r="B1502" s="328" t="s">
        <v>510</v>
      </c>
      <c r="C1502" s="329"/>
      <c r="D1502" s="140">
        <v>1300</v>
      </c>
      <c r="E1502" s="140">
        <f>IF(T1485="Осина",D1488,"0")</f>
        <v>4</v>
      </c>
      <c r="F1502" s="81" t="s">
        <v>434</v>
      </c>
      <c r="G1502" s="146">
        <f t="shared" si="70"/>
        <v>5200</v>
      </c>
      <c r="H1502" s="321"/>
    </row>
    <row r="1503" spans="2:8" ht="23.25" x14ac:dyDescent="0.25">
      <c r="B1503" s="328" t="s">
        <v>439</v>
      </c>
      <c r="C1503" s="329"/>
      <c r="D1503" s="141">
        <v>5165.12</v>
      </c>
      <c r="E1503" s="140" t="str">
        <f>IF(T1485="Осина","0",D1488)</f>
        <v>0</v>
      </c>
      <c r="F1503" s="81" t="s">
        <v>434</v>
      </c>
      <c r="G1503" s="146">
        <f t="shared" si="70"/>
        <v>0</v>
      </c>
      <c r="H1503" s="321"/>
    </row>
    <row r="1504" spans="2:8" ht="23.25" x14ac:dyDescent="0.25">
      <c r="B1504" s="328" t="s">
        <v>511</v>
      </c>
      <c r="C1504" s="329"/>
      <c r="D1504" s="141">
        <v>917</v>
      </c>
      <c r="E1504" s="140" t="str">
        <f>IF(T1485="Осина","0",D1488)</f>
        <v>0</v>
      </c>
      <c r="F1504" s="81" t="s">
        <v>434</v>
      </c>
      <c r="G1504" s="146">
        <f t="shared" si="70"/>
        <v>0</v>
      </c>
      <c r="H1504" s="321"/>
    </row>
    <row r="1505" spans="2:8" ht="23.25" x14ac:dyDescent="0.25">
      <c r="B1505" s="328" t="s">
        <v>441</v>
      </c>
      <c r="C1505" s="329"/>
      <c r="D1505" s="141">
        <v>461.56000000000006</v>
      </c>
      <c r="E1505" s="140" t="str">
        <f>IF(T1485="Осина","0",D1488)</f>
        <v>0</v>
      </c>
      <c r="F1505" s="81" t="s">
        <v>434</v>
      </c>
      <c r="G1505" s="146">
        <f>D1505*E1505</f>
        <v>0</v>
      </c>
      <c r="H1505" s="321"/>
    </row>
    <row r="1506" spans="2:8" ht="24" thickBot="1" x14ac:dyDescent="0.3">
      <c r="B1506" s="324" t="s">
        <v>440</v>
      </c>
      <c r="C1506" s="325"/>
      <c r="D1506" s="138">
        <v>353.15</v>
      </c>
      <c r="E1506" s="140" t="str">
        <f>IF(T1485="Осина","0",D1488*4)</f>
        <v>0</v>
      </c>
      <c r="F1506" s="79" t="s">
        <v>434</v>
      </c>
      <c r="G1506" s="147">
        <f>D1506*E1506</f>
        <v>0</v>
      </c>
      <c r="H1506" s="321"/>
    </row>
    <row r="1507" spans="2:8" ht="23.25" x14ac:dyDescent="0.25">
      <c r="B1507" s="49"/>
      <c r="C1507" s="66"/>
      <c r="D1507" s="66"/>
      <c r="E1507" s="56"/>
      <c r="F1507" s="56"/>
      <c r="G1507" s="48"/>
      <c r="H1507" s="92"/>
    </row>
    <row r="1508" spans="2:8" ht="25.5" x14ac:dyDescent="0.25">
      <c r="B1508" s="49"/>
      <c r="C1508" s="59" t="s">
        <v>512</v>
      </c>
      <c r="D1508" s="60"/>
      <c r="E1508" s="49"/>
      <c r="F1508" s="49"/>
      <c r="G1508" s="48"/>
      <c r="H1508" s="87"/>
    </row>
    <row r="1509" spans="2:8" ht="18.75" x14ac:dyDescent="0.25">
      <c r="B1509" s="49"/>
      <c r="C1509" s="306" t="s">
        <v>513</v>
      </c>
      <c r="D1509" s="107" t="s">
        <v>514</v>
      </c>
      <c r="E1509" s="68">
        <f>ROUND((G1497+D1490)/D1490,2)</f>
        <v>1.0900000000000001</v>
      </c>
      <c r="F1509" s="68"/>
      <c r="G1509" s="50"/>
      <c r="H1509" s="87"/>
    </row>
    <row r="1510" spans="2:8" ht="23.25" x14ac:dyDescent="0.25">
      <c r="B1510" s="49"/>
      <c r="C1510" s="306"/>
      <c r="D1510" s="107" t="s">
        <v>515</v>
      </c>
      <c r="E1510" s="68">
        <f>ROUND((G1498+G1499+D1490)/D1490,2)</f>
        <v>1.05</v>
      </c>
      <c r="F1510" s="68"/>
      <c r="G1510" s="57"/>
      <c r="H1510" s="93"/>
    </row>
    <row r="1511" spans="2:8" ht="23.25" x14ac:dyDescent="0.25">
      <c r="B1511" s="49"/>
      <c r="C1511" s="306"/>
      <c r="D1511" s="107" t="s">
        <v>516</v>
      </c>
      <c r="E1511" s="68">
        <f>ROUND((G1500+D1490)/D1490,2)</f>
        <v>1</v>
      </c>
      <c r="F1511" s="50"/>
      <c r="G1511" s="57"/>
      <c r="H1511" s="87"/>
    </row>
    <row r="1512" spans="2:8" ht="23.25" x14ac:dyDescent="0.25">
      <c r="B1512" s="49"/>
      <c r="C1512" s="306"/>
      <c r="D1512" s="69" t="s">
        <v>517</v>
      </c>
      <c r="E1512" s="70">
        <f>ROUND((SUM(G1501:G1506)+D1490)/D1490,2)</f>
        <v>2.38</v>
      </c>
      <c r="F1512" s="50"/>
      <c r="G1512" s="57"/>
      <c r="H1512" s="87"/>
    </row>
    <row r="1513" spans="2:8" ht="25.5" x14ac:dyDescent="0.25">
      <c r="B1513" s="49"/>
      <c r="C1513" s="49"/>
      <c r="D1513" s="71" t="s">
        <v>518</v>
      </c>
      <c r="E1513" s="72">
        <f>SUM(E1509:E1512)-IF(D1494="сплошная",3,2)</f>
        <v>2.5199999999999996</v>
      </c>
      <c r="F1513" s="73"/>
      <c r="G1513" s="48"/>
      <c r="H1513" s="87"/>
    </row>
    <row r="1514" spans="2:8" ht="23.25" x14ac:dyDescent="0.25">
      <c r="B1514" s="49"/>
      <c r="C1514" s="49"/>
      <c r="D1514" s="49"/>
      <c r="E1514" s="74"/>
      <c r="F1514" s="49"/>
      <c r="G1514" s="48"/>
      <c r="H1514" s="87"/>
    </row>
    <row r="1515" spans="2:8" ht="25.5" x14ac:dyDescent="0.35">
      <c r="B1515" s="58"/>
      <c r="C1515" s="75" t="s">
        <v>519</v>
      </c>
      <c r="D1515" s="307">
        <f>E1513*D1490</f>
        <v>22969.522799999995</v>
      </c>
      <c r="E1515" s="307"/>
      <c r="F1515" s="49"/>
      <c r="G1515" s="48"/>
      <c r="H1515" s="87"/>
    </row>
    <row r="1516" spans="2:8" ht="18.75" x14ac:dyDescent="0.3">
      <c r="B1516" s="49"/>
      <c r="C1516" s="76" t="s">
        <v>520</v>
      </c>
      <c r="D1516" s="308">
        <f>D1515/D1489</f>
        <v>36.416207372175975</v>
      </c>
      <c r="E1516" s="308"/>
      <c r="F1516" s="49"/>
      <c r="G1516" s="49"/>
      <c r="H1516" s="94"/>
    </row>
    <row r="1519" spans="2:8" ht="60.75" x14ac:dyDescent="0.8">
      <c r="B1519" s="330" t="str">
        <f>CONCATENATE("ЛОТ № ",K1522)</f>
        <v>ЛОТ № 42</v>
      </c>
      <c r="C1519" s="330"/>
      <c r="D1519" s="330"/>
      <c r="E1519" s="330"/>
      <c r="F1519" s="330"/>
      <c r="G1519" s="330"/>
      <c r="H1519" s="330"/>
    </row>
    <row r="1520" spans="2:8" ht="18.75" x14ac:dyDescent="0.25">
      <c r="B1520" s="331" t="s">
        <v>492</v>
      </c>
      <c r="C1520" s="331"/>
      <c r="D1520" s="331"/>
      <c r="E1520" s="331"/>
      <c r="F1520" s="331"/>
      <c r="G1520" s="331"/>
      <c r="H1520" s="87"/>
    </row>
    <row r="1521" spans="2:27" ht="25.5" x14ac:dyDescent="0.25">
      <c r="B1521" s="49"/>
      <c r="C1521" s="59" t="s">
        <v>493</v>
      </c>
      <c r="D1521" s="60"/>
      <c r="E1521" s="49"/>
      <c r="F1521" s="49"/>
      <c r="G1521" s="48"/>
      <c r="H1521" s="87"/>
      <c r="I1521" s="88"/>
      <c r="J1521" s="88"/>
      <c r="K1521" s="88"/>
      <c r="L1521" s="88" t="s">
        <v>454</v>
      </c>
      <c r="M1521" s="88" t="s">
        <v>444</v>
      </c>
      <c r="N1521" s="88" t="s">
        <v>445</v>
      </c>
      <c r="O1521" s="88" t="s">
        <v>453</v>
      </c>
      <c r="P1521" s="89" t="s">
        <v>446</v>
      </c>
      <c r="Q1521" s="88" t="s">
        <v>435</v>
      </c>
      <c r="R1521" s="40" t="s">
        <v>447</v>
      </c>
      <c r="S1521" s="40" t="s">
        <v>522</v>
      </c>
      <c r="T1521" s="88" t="s">
        <v>118</v>
      </c>
      <c r="U1521" s="88" t="s">
        <v>500</v>
      </c>
      <c r="V1521" s="88" t="s">
        <v>450</v>
      </c>
      <c r="W1521" s="40" t="s">
        <v>448</v>
      </c>
      <c r="X1521" s="40" t="s">
        <v>449</v>
      </c>
      <c r="Y1521" s="88" t="s">
        <v>523</v>
      </c>
      <c r="Z1521" s="88"/>
    </row>
    <row r="1522" spans="2:27" ht="19.5" x14ac:dyDescent="0.25">
      <c r="B1522" s="50"/>
      <c r="C1522" s="332" t="s">
        <v>494</v>
      </c>
      <c r="D1522" s="335" t="s">
        <v>521</v>
      </c>
      <c r="E1522" s="336"/>
      <c r="F1522" s="336"/>
      <c r="G1522" s="337"/>
      <c r="H1522" s="90"/>
      <c r="I1522" s="88" t="s">
        <v>443</v>
      </c>
      <c r="J1522" s="88"/>
      <c r="K1522" s="43">
        <f>IF(I1522="","",COUNTA(I$5:I1522))</f>
        <v>42</v>
      </c>
      <c r="L1522" s="95" t="str">
        <f>INDEX('Ведомость расчета мин. платы'!$B$10:$T$209,MATCH(ЛОТЫ!$K1522,'Ведомость расчета мин. платы'!$B$10:$B$209,0),2)</f>
        <v>Тимерликовское</v>
      </c>
      <c r="M1522" s="95">
        <f>INDEX('Ведомость расчета мин. платы'!$B$10:$T$209,MATCH(ЛОТЫ!$K1522,'Ведомость расчета мин. платы'!$B$10:$B$209,0),3)</f>
        <v>115</v>
      </c>
      <c r="N1522" s="95">
        <f>INDEX('Ведомость расчета мин. платы'!$B$10:$T$209,MATCH(ЛОТЫ!$K1522,'Ведомость расчета мин. платы'!$B$10:$B$209,0),4)</f>
        <v>6</v>
      </c>
      <c r="O1522" s="95">
        <f>INDEX('Ведомость расчета мин. платы'!$B$10:$T$209,MATCH(ЛОТЫ!$K1522,'Ведомость расчета мин. платы'!$B$10:$B$209,0),5)</f>
        <v>3</v>
      </c>
      <c r="P1522" s="89">
        <f>IFERROR(INDEX(Коэффициенты!$G$4:$O$106,MATCH(CONCATENATE($L1522,"/",$M1522,"/",$N1522,"/",$O1522),Коэффициенты!$O$4:$O$106,0),1),"")</f>
        <v>3.2</v>
      </c>
      <c r="Q1522" s="40">
        <f>IFERROR(INDEX(Коэффициенты!$G$4:$O$106,MATCH(CONCATENATE($L1522,"/",$M1522,"/",$N1522,"/",$O1522),Коэффициенты!$O$4:$O$106,0),6),"")</f>
        <v>496.34000000000003</v>
      </c>
      <c r="R1522" s="40">
        <f>IFERROR(INDEX(Коэффициенты!$G$4:$O$106,MATCH(CONCATENATE($L1522,"/",$M1522,"/",$N1522,"/",$O1522),Коэффициенты!$O$4:$O$106,0),2),"")</f>
        <v>6704.51</v>
      </c>
      <c r="S1522" s="43" t="str">
        <f>IFERROR(INDEX('Такс. опис.'!$A$5:$BW$50,MATCH(CONCATENATE($L1522,"/",$M1522,"/",$N1522),'Такс. опис.'!$C$5:$C$50,0),26),"")</f>
        <v>10ОС+Б</v>
      </c>
      <c r="T1522" s="43" t="str">
        <f>IFERROR(INDEX('Такс. опис.'!$A$5:$BW$50,MATCH(CONCATENATE($L1522,"/",$M1522,"/",$N1522),'Такс. опис.'!$C$5:$C$50,0),47),"")</f>
        <v>Осина</v>
      </c>
      <c r="U1522" s="43">
        <f>IFERROR(INDEX('Такс. опис.'!$A$5:$BW$50,MATCH(CONCATENATE($L1522,"/",$M1522,"/",$N1522),'Такс. опис.'!$C$5:$C$50,0),49),"")</f>
        <v>45</v>
      </c>
      <c r="V1522" s="103">
        <f>IFERROR(INDEX('Ведомость расчета мин. платы'!$AC$10:$AD$214,MATCH(CONCATENATE($L1522,"/",$M1522,"/",$N1522,"/",$O1522),'Ведомость расчета мин. платы'!$AC$10:$AC$214,0),2),"")</f>
        <v>0.9</v>
      </c>
      <c r="W1522" s="40">
        <f>E1550</f>
        <v>2.6500000000000004</v>
      </c>
      <c r="X1522" s="40">
        <f>D1552</f>
        <v>17766.951500000003</v>
      </c>
      <c r="Y1522" s="91">
        <f>D1553</f>
        <v>35.795929201756863</v>
      </c>
      <c r="Z1522" s="88"/>
      <c r="AA1522" s="86">
        <f t="shared" ref="AA1522" si="71">IF(M1522&gt;0,1,0)</f>
        <v>1</v>
      </c>
    </row>
    <row r="1523" spans="2:27" ht="19.5" x14ac:dyDescent="0.25">
      <c r="B1523" s="50"/>
      <c r="C1523" s="333"/>
      <c r="D1523" s="338" t="str">
        <f>CONCATENATE(L1522, " участковое лесничество")</f>
        <v>Тимерликовское участковое лесничество</v>
      </c>
      <c r="E1523" s="338"/>
      <c r="F1523" s="338"/>
      <c r="G1523" s="338"/>
      <c r="H1523" s="90"/>
      <c r="I1523" s="88"/>
      <c r="J1523" s="88">
        <f>IFERROR(IF(ISBLANK(K1522),"",K1522),"")</f>
        <v>42</v>
      </c>
      <c r="K1523" s="88"/>
      <c r="L1523" s="88"/>
      <c r="M1523" s="88"/>
      <c r="N1523" s="88"/>
      <c r="O1523" s="88"/>
      <c r="P1523" s="88"/>
      <c r="Q1523" s="88"/>
      <c r="R1523" s="88"/>
      <c r="S1523" s="88"/>
      <c r="T1523" s="88"/>
      <c r="U1523" s="88"/>
      <c r="V1523" s="88"/>
      <c r="W1523" s="88"/>
      <c r="X1523" s="88"/>
      <c r="Y1523" s="88"/>
      <c r="Z1523" s="88"/>
    </row>
    <row r="1524" spans="2:27" ht="19.5" x14ac:dyDescent="0.25">
      <c r="B1524" s="50"/>
      <c r="C1524" s="334"/>
      <c r="D1524" s="338" t="str">
        <f>CONCATENATE("кв. ",M1522," ","выд."," ",N1522," ","делянка", " ",O1522)</f>
        <v>кв. 115 выд. 6 делянка 3</v>
      </c>
      <c r="E1524" s="338"/>
      <c r="F1524" s="338"/>
      <c r="G1524" s="338"/>
      <c r="H1524" s="90"/>
      <c r="I1524" s="88"/>
      <c r="J1524" s="88"/>
      <c r="K1524" s="88"/>
      <c r="L1524" s="88"/>
      <c r="M1524" s="88"/>
      <c r="N1524" s="88"/>
      <c r="O1524" s="88"/>
      <c r="P1524" s="88"/>
      <c r="Q1524" s="88"/>
      <c r="R1524" s="88"/>
      <c r="S1524" s="88"/>
      <c r="T1524" s="88"/>
      <c r="U1524" s="88"/>
      <c r="V1524" s="88"/>
      <c r="W1524" s="88"/>
      <c r="X1524" s="88"/>
      <c r="Y1524" s="88"/>
      <c r="Z1524" s="88"/>
    </row>
    <row r="1525" spans="2:27" ht="23.25" x14ac:dyDescent="0.25">
      <c r="B1525" s="49"/>
      <c r="C1525" s="61" t="s">
        <v>495</v>
      </c>
      <c r="D1525" s="51">
        <f>P1522</f>
        <v>3.2</v>
      </c>
      <c r="E1525" s="62"/>
      <c r="F1525" s="50"/>
      <c r="G1525" s="48"/>
      <c r="H1525" s="87"/>
    </row>
    <row r="1526" spans="2:27" ht="22.5" x14ac:dyDescent="0.25">
      <c r="B1526" s="49"/>
      <c r="C1526" s="63" t="s">
        <v>496</v>
      </c>
      <c r="D1526" s="106">
        <f>Q1522</f>
        <v>496.34000000000003</v>
      </c>
      <c r="E1526" s="309" t="s">
        <v>497</v>
      </c>
      <c r="F1526" s="310"/>
      <c r="G1526" s="313">
        <f>D1527/D1526</f>
        <v>13.507897811983721</v>
      </c>
      <c r="H1526" s="87"/>
    </row>
    <row r="1527" spans="2:27" ht="22.5" x14ac:dyDescent="0.25">
      <c r="B1527" s="49"/>
      <c r="C1527" s="63" t="s">
        <v>498</v>
      </c>
      <c r="D1527" s="52">
        <f>R1522</f>
        <v>6704.51</v>
      </c>
      <c r="E1527" s="311"/>
      <c r="F1527" s="312"/>
      <c r="G1527" s="314"/>
      <c r="H1527" s="87"/>
    </row>
    <row r="1528" spans="2:27" ht="23.25" x14ac:dyDescent="0.25">
      <c r="B1528" s="49"/>
      <c r="C1528" s="64"/>
      <c r="D1528" s="53"/>
      <c r="E1528" s="65"/>
      <c r="F1528" s="49"/>
      <c r="G1528" s="48"/>
      <c r="H1528" s="87"/>
    </row>
    <row r="1529" spans="2:27" ht="23.25" x14ac:dyDescent="0.25">
      <c r="B1529" s="49"/>
      <c r="C1529" s="82" t="s">
        <v>499</v>
      </c>
      <c r="D1529" s="96" t="str">
        <f>S1522</f>
        <v>10ОС+Б</v>
      </c>
      <c r="E1529" s="49"/>
      <c r="F1529" s="49"/>
      <c r="G1529" s="48"/>
      <c r="H1529" s="87"/>
    </row>
    <row r="1530" spans="2:27" ht="23.25" x14ac:dyDescent="0.25">
      <c r="B1530" s="49"/>
      <c r="C1530" s="82" t="s">
        <v>500</v>
      </c>
      <c r="D1530" s="96">
        <f>U1522</f>
        <v>45</v>
      </c>
      <c r="E1530" s="49"/>
      <c r="F1530" s="49"/>
      <c r="G1530" s="48"/>
      <c r="H1530" s="87"/>
    </row>
    <row r="1531" spans="2:27" ht="23.25" x14ac:dyDescent="0.25">
      <c r="B1531" s="49"/>
      <c r="C1531" s="82" t="s">
        <v>501</v>
      </c>
      <c r="D1531" s="83" t="s">
        <v>502</v>
      </c>
      <c r="E1531" s="49"/>
      <c r="F1531" s="49"/>
      <c r="G1531" s="48"/>
      <c r="H1531" s="87"/>
    </row>
    <row r="1532" spans="2:27" ht="24" thickBot="1" x14ac:dyDescent="0.3">
      <c r="B1532" s="49"/>
      <c r="C1532" s="49"/>
      <c r="D1532" s="49"/>
      <c r="E1532" s="49"/>
      <c r="F1532" s="49"/>
      <c r="G1532" s="48"/>
      <c r="H1532" s="87"/>
    </row>
    <row r="1533" spans="2:27" ht="48" thickBot="1" x14ac:dyDescent="0.3">
      <c r="B1533" s="315" t="s">
        <v>436</v>
      </c>
      <c r="C1533" s="316"/>
      <c r="D1533" s="54" t="s">
        <v>503</v>
      </c>
      <c r="E1533" s="317" t="s">
        <v>504</v>
      </c>
      <c r="F1533" s="318"/>
      <c r="G1533" s="55" t="s">
        <v>505</v>
      </c>
      <c r="H1533" s="87"/>
    </row>
    <row r="1534" spans="2:27" ht="24" thickBot="1" x14ac:dyDescent="0.3">
      <c r="B1534" s="319" t="s">
        <v>506</v>
      </c>
      <c r="C1534" s="320"/>
      <c r="D1534" s="136">
        <v>197.93</v>
      </c>
      <c r="E1534" s="136">
        <f>D1525</f>
        <v>3.2</v>
      </c>
      <c r="F1534" s="77" t="s">
        <v>434</v>
      </c>
      <c r="G1534" s="142">
        <f t="shared" ref="G1534:G1541" si="72">D1534*E1534</f>
        <v>633.37600000000009</v>
      </c>
      <c r="H1534" s="321"/>
    </row>
    <row r="1535" spans="2:27" ht="23.25" x14ac:dyDescent="0.25">
      <c r="B1535" s="322" t="s">
        <v>507</v>
      </c>
      <c r="C1535" s="323"/>
      <c r="D1535" s="137">
        <v>159.44</v>
      </c>
      <c r="E1535" s="137">
        <f>V1522</f>
        <v>0.9</v>
      </c>
      <c r="F1535" s="78" t="s">
        <v>437</v>
      </c>
      <c r="G1535" s="143">
        <f t="shared" si="72"/>
        <v>143.49600000000001</v>
      </c>
      <c r="H1535" s="321"/>
    </row>
    <row r="1536" spans="2:27" ht="24" thickBot="1" x14ac:dyDescent="0.3">
      <c r="B1536" s="324" t="s">
        <v>508</v>
      </c>
      <c r="C1536" s="325"/>
      <c r="D1536" s="138">
        <v>276.62</v>
      </c>
      <c r="E1536" s="138">
        <f>V1522</f>
        <v>0.9</v>
      </c>
      <c r="F1536" s="79" t="s">
        <v>437</v>
      </c>
      <c r="G1536" s="144">
        <f t="shared" si="72"/>
        <v>248.958</v>
      </c>
      <c r="H1536" s="321"/>
    </row>
    <row r="1537" spans="2:8" ht="24" thickBot="1" x14ac:dyDescent="0.3">
      <c r="B1537" s="326" t="s">
        <v>438</v>
      </c>
      <c r="C1537" s="327"/>
      <c r="D1537" s="139">
        <v>519</v>
      </c>
      <c r="E1537" s="139"/>
      <c r="F1537" s="80" t="s">
        <v>434</v>
      </c>
      <c r="G1537" s="145">
        <f t="shared" si="72"/>
        <v>0</v>
      </c>
      <c r="H1537" s="321"/>
    </row>
    <row r="1538" spans="2:8" ht="23.25" x14ac:dyDescent="0.25">
      <c r="B1538" s="322" t="s">
        <v>509</v>
      </c>
      <c r="C1538" s="323"/>
      <c r="D1538" s="137">
        <v>920</v>
      </c>
      <c r="E1538" s="137">
        <f>D1525*2</f>
        <v>6.4</v>
      </c>
      <c r="F1538" s="78" t="s">
        <v>434</v>
      </c>
      <c r="G1538" s="143">
        <f t="shared" si="72"/>
        <v>5888</v>
      </c>
      <c r="H1538" s="321"/>
    </row>
    <row r="1539" spans="2:8" ht="23.25" x14ac:dyDescent="0.25">
      <c r="B1539" s="328" t="s">
        <v>510</v>
      </c>
      <c r="C1539" s="329"/>
      <c r="D1539" s="140">
        <v>1300</v>
      </c>
      <c r="E1539" s="140">
        <f>IF(T1522="Осина",D1525,"0")</f>
        <v>3.2</v>
      </c>
      <c r="F1539" s="81" t="s">
        <v>434</v>
      </c>
      <c r="G1539" s="146">
        <f t="shared" si="72"/>
        <v>4160</v>
      </c>
      <c r="H1539" s="321"/>
    </row>
    <row r="1540" spans="2:8" ht="23.25" x14ac:dyDescent="0.25">
      <c r="B1540" s="328" t="s">
        <v>439</v>
      </c>
      <c r="C1540" s="329"/>
      <c r="D1540" s="141">
        <v>5165.12</v>
      </c>
      <c r="E1540" s="140" t="str">
        <f>IF(T1522="Осина","0",D1525)</f>
        <v>0</v>
      </c>
      <c r="F1540" s="81" t="s">
        <v>434</v>
      </c>
      <c r="G1540" s="146">
        <f t="shared" si="72"/>
        <v>0</v>
      </c>
      <c r="H1540" s="321"/>
    </row>
    <row r="1541" spans="2:8" ht="23.25" x14ac:dyDescent="0.25">
      <c r="B1541" s="328" t="s">
        <v>511</v>
      </c>
      <c r="C1541" s="329"/>
      <c r="D1541" s="141">
        <v>917</v>
      </c>
      <c r="E1541" s="140" t="str">
        <f>IF(T1522="Осина","0",D1525)</f>
        <v>0</v>
      </c>
      <c r="F1541" s="81" t="s">
        <v>434</v>
      </c>
      <c r="G1541" s="146">
        <f t="shared" si="72"/>
        <v>0</v>
      </c>
      <c r="H1541" s="321"/>
    </row>
    <row r="1542" spans="2:8" ht="23.25" x14ac:dyDescent="0.25">
      <c r="B1542" s="328" t="s">
        <v>441</v>
      </c>
      <c r="C1542" s="329"/>
      <c r="D1542" s="141">
        <v>461.56000000000006</v>
      </c>
      <c r="E1542" s="140" t="str">
        <f>IF(T1522="Осина","0",D1525)</f>
        <v>0</v>
      </c>
      <c r="F1542" s="81" t="s">
        <v>434</v>
      </c>
      <c r="G1542" s="146">
        <f>D1542*E1542</f>
        <v>0</v>
      </c>
      <c r="H1542" s="321"/>
    </row>
    <row r="1543" spans="2:8" ht="24" thickBot="1" x14ac:dyDescent="0.3">
      <c r="B1543" s="324" t="s">
        <v>440</v>
      </c>
      <c r="C1543" s="325"/>
      <c r="D1543" s="138">
        <v>353.15</v>
      </c>
      <c r="E1543" s="140" t="str">
        <f>IF(T1522="Осина","0",D1525*4)</f>
        <v>0</v>
      </c>
      <c r="F1543" s="79" t="s">
        <v>434</v>
      </c>
      <c r="G1543" s="147">
        <f>D1543*E1543</f>
        <v>0</v>
      </c>
      <c r="H1543" s="321"/>
    </row>
    <row r="1544" spans="2:8" ht="23.25" x14ac:dyDescent="0.25">
      <c r="B1544" s="49"/>
      <c r="C1544" s="66"/>
      <c r="D1544" s="66"/>
      <c r="E1544" s="56"/>
      <c r="F1544" s="56"/>
      <c r="G1544" s="48"/>
      <c r="H1544" s="92"/>
    </row>
    <row r="1545" spans="2:8" ht="25.5" x14ac:dyDescent="0.25">
      <c r="B1545" s="49"/>
      <c r="C1545" s="59" t="s">
        <v>512</v>
      </c>
      <c r="D1545" s="60"/>
      <c r="E1545" s="49"/>
      <c r="F1545" s="49"/>
      <c r="G1545" s="48"/>
      <c r="H1545" s="87"/>
    </row>
    <row r="1546" spans="2:8" ht="18.75" x14ac:dyDescent="0.25">
      <c r="B1546" s="49"/>
      <c r="C1546" s="306" t="s">
        <v>513</v>
      </c>
      <c r="D1546" s="107" t="s">
        <v>514</v>
      </c>
      <c r="E1546" s="68">
        <f>ROUND((G1534+D1527)/D1527,2)</f>
        <v>1.0900000000000001</v>
      </c>
      <c r="F1546" s="68"/>
      <c r="G1546" s="50"/>
      <c r="H1546" s="87"/>
    </row>
    <row r="1547" spans="2:8" ht="23.25" x14ac:dyDescent="0.25">
      <c r="B1547" s="49"/>
      <c r="C1547" s="306"/>
      <c r="D1547" s="107" t="s">
        <v>515</v>
      </c>
      <c r="E1547" s="68">
        <f>ROUND((G1535+G1536+D1527)/D1527,2)</f>
        <v>1.06</v>
      </c>
      <c r="F1547" s="68"/>
      <c r="G1547" s="57"/>
      <c r="H1547" s="93"/>
    </row>
    <row r="1548" spans="2:8" ht="23.25" x14ac:dyDescent="0.25">
      <c r="B1548" s="49"/>
      <c r="C1548" s="306"/>
      <c r="D1548" s="107" t="s">
        <v>516</v>
      </c>
      <c r="E1548" s="68">
        <f>ROUND((G1537+D1527)/D1527,2)</f>
        <v>1</v>
      </c>
      <c r="F1548" s="50"/>
      <c r="G1548" s="57"/>
      <c r="H1548" s="87"/>
    </row>
    <row r="1549" spans="2:8" ht="23.25" x14ac:dyDescent="0.25">
      <c r="B1549" s="49"/>
      <c r="C1549" s="306"/>
      <c r="D1549" s="69" t="s">
        <v>517</v>
      </c>
      <c r="E1549" s="70">
        <f>ROUND((SUM(G1538:G1543)+D1527)/D1527,2)</f>
        <v>2.5</v>
      </c>
      <c r="F1549" s="50"/>
      <c r="G1549" s="57"/>
      <c r="H1549" s="87"/>
    </row>
    <row r="1550" spans="2:8" ht="25.5" x14ac:dyDescent="0.25">
      <c r="B1550" s="49"/>
      <c r="C1550" s="49"/>
      <c r="D1550" s="71" t="s">
        <v>518</v>
      </c>
      <c r="E1550" s="72">
        <f>SUM(E1546:E1549)-IF(D1531="сплошная",3,2)</f>
        <v>2.6500000000000004</v>
      </c>
      <c r="F1550" s="73"/>
      <c r="G1550" s="48"/>
      <c r="H1550" s="87"/>
    </row>
    <row r="1551" spans="2:8" ht="23.25" x14ac:dyDescent="0.25">
      <c r="B1551" s="49"/>
      <c r="C1551" s="49"/>
      <c r="D1551" s="49"/>
      <c r="E1551" s="74"/>
      <c r="F1551" s="49"/>
      <c r="G1551" s="48"/>
      <c r="H1551" s="87"/>
    </row>
    <row r="1552" spans="2:8" ht="25.5" x14ac:dyDescent="0.35">
      <c r="B1552" s="58"/>
      <c r="C1552" s="75" t="s">
        <v>519</v>
      </c>
      <c r="D1552" s="307">
        <f>E1550*D1527</f>
        <v>17766.951500000003</v>
      </c>
      <c r="E1552" s="307"/>
      <c r="F1552" s="49"/>
      <c r="G1552" s="48"/>
      <c r="H1552" s="87"/>
    </row>
    <row r="1553" spans="2:27" ht="18.75" x14ac:dyDescent="0.3">
      <c r="B1553" s="49"/>
      <c r="C1553" s="76" t="s">
        <v>520</v>
      </c>
      <c r="D1553" s="308">
        <f>D1552/D1526</f>
        <v>35.795929201756863</v>
      </c>
      <c r="E1553" s="308"/>
      <c r="F1553" s="49"/>
      <c r="G1553" s="49"/>
      <c r="H1553" s="94"/>
    </row>
    <row r="1556" spans="2:27" ht="60.75" x14ac:dyDescent="0.8">
      <c r="B1556" s="330" t="str">
        <f>CONCATENATE("ЛОТ № ",K1559)</f>
        <v>ЛОТ № 43</v>
      </c>
      <c r="C1556" s="330"/>
      <c r="D1556" s="330"/>
      <c r="E1556" s="330"/>
      <c r="F1556" s="330"/>
      <c r="G1556" s="330"/>
      <c r="H1556" s="330"/>
    </row>
    <row r="1557" spans="2:27" ht="18.75" x14ac:dyDescent="0.25">
      <c r="B1557" s="331" t="s">
        <v>492</v>
      </c>
      <c r="C1557" s="331"/>
      <c r="D1557" s="331"/>
      <c r="E1557" s="331"/>
      <c r="F1557" s="331"/>
      <c r="G1557" s="331"/>
      <c r="H1557" s="87"/>
    </row>
    <row r="1558" spans="2:27" ht="25.5" x14ac:dyDescent="0.25">
      <c r="B1558" s="49"/>
      <c r="C1558" s="59" t="s">
        <v>493</v>
      </c>
      <c r="D1558" s="60"/>
      <c r="E1558" s="49"/>
      <c r="F1558" s="49"/>
      <c r="G1558" s="48"/>
      <c r="H1558" s="87"/>
      <c r="I1558" s="88"/>
      <c r="J1558" s="88"/>
      <c r="K1558" s="88"/>
      <c r="L1558" s="88" t="s">
        <v>454</v>
      </c>
      <c r="M1558" s="88" t="s">
        <v>444</v>
      </c>
      <c r="N1558" s="88" t="s">
        <v>445</v>
      </c>
      <c r="O1558" s="88" t="s">
        <v>453</v>
      </c>
      <c r="P1558" s="89" t="s">
        <v>446</v>
      </c>
      <c r="Q1558" s="88" t="s">
        <v>435</v>
      </c>
      <c r="R1558" s="40" t="s">
        <v>447</v>
      </c>
      <c r="S1558" s="40" t="s">
        <v>522</v>
      </c>
      <c r="T1558" s="88" t="s">
        <v>118</v>
      </c>
      <c r="U1558" s="88" t="s">
        <v>500</v>
      </c>
      <c r="V1558" s="88" t="s">
        <v>450</v>
      </c>
      <c r="W1558" s="40" t="s">
        <v>448</v>
      </c>
      <c r="X1558" s="40" t="s">
        <v>449</v>
      </c>
      <c r="Y1558" s="88" t="s">
        <v>523</v>
      </c>
      <c r="Z1558" s="88"/>
    </row>
    <row r="1559" spans="2:27" ht="19.5" x14ac:dyDescent="0.25">
      <c r="B1559" s="50"/>
      <c r="C1559" s="332" t="s">
        <v>494</v>
      </c>
      <c r="D1559" s="335" t="s">
        <v>521</v>
      </c>
      <c r="E1559" s="336"/>
      <c r="F1559" s="336"/>
      <c r="G1559" s="337"/>
      <c r="H1559" s="90"/>
      <c r="I1559" s="88" t="s">
        <v>443</v>
      </c>
      <c r="J1559" s="88"/>
      <c r="K1559" s="43">
        <f>IF(I1559="","",COUNTA(I$5:I1559))</f>
        <v>43</v>
      </c>
      <c r="L1559" s="95" t="str">
        <f>INDEX('Ведомость расчета мин. платы'!$B$10:$T$209,MATCH(ЛОТЫ!$K1559,'Ведомость расчета мин. платы'!$B$10:$B$209,0),2)</f>
        <v>Тумбинское</v>
      </c>
      <c r="M1559" s="95">
        <f>INDEX('Ведомость расчета мин. платы'!$B$10:$T$209,MATCH(ЛОТЫ!$K1559,'Ведомость расчета мин. платы'!$B$10:$B$209,0),3)</f>
        <v>3</v>
      </c>
      <c r="N1559" s="95">
        <f>INDEX('Ведомость расчета мин. платы'!$B$10:$T$209,MATCH(ЛОТЫ!$K1559,'Ведомость расчета мин. платы'!$B$10:$B$209,0),4)</f>
        <v>3</v>
      </c>
      <c r="O1559" s="95">
        <f>INDEX('Ведомость расчета мин. платы'!$B$10:$T$209,MATCH(ЛОТЫ!$K1559,'Ведомость расчета мин. платы'!$B$10:$B$209,0),5)</f>
        <v>1</v>
      </c>
      <c r="P1559" s="89">
        <f>IFERROR(INDEX(Коэффициенты!$G$4:$O$106,MATCH(CONCATENATE($L1559,"/",$M1559,"/",$N1559,"/",$O1559),Коэффициенты!$O$4:$O$106,0),1),"")</f>
        <v>10</v>
      </c>
      <c r="Q1559" s="40">
        <f>IFERROR(INDEX(Коэффициенты!$G$4:$O$106,MATCH(CONCATENATE($L1559,"/",$M1559,"/",$N1559,"/",$O1559),Коэффициенты!$O$4:$O$106,0),6),"")</f>
        <v>1607.49</v>
      </c>
      <c r="R1559" s="40">
        <f>IFERROR(INDEX(Коэффициенты!$G$4:$O$106,MATCH(CONCATENATE($L1559,"/",$M1559,"/",$N1559,"/",$O1559),Коэффициенты!$O$4:$O$106,0),2),"")</f>
        <v>18840.22</v>
      </c>
      <c r="S1559" s="43" t="str">
        <f>IFERROR(INDEX('Такс. опис.'!$A$5:$BW$50,MATCH(CONCATENATE($L1559,"/",$M1559,"/",$N1559),'Такс. опис.'!$C$5:$C$50,0),26),"")</f>
        <v>7ЛП3ОС+Б</v>
      </c>
      <c r="T1559" s="43" t="str">
        <f>IFERROR(INDEX('Такс. опис.'!$A$5:$BW$50,MATCH(CONCATENATE($L1559,"/",$M1559,"/",$N1559),'Такс. опис.'!$C$5:$C$50,0),47),"")</f>
        <v>Липа</v>
      </c>
      <c r="U1559" s="43">
        <f>IFERROR(INDEX('Такс. опис.'!$A$5:$BW$50,MATCH(CONCATENATE($L1559,"/",$M1559,"/",$N1559),'Такс. опис.'!$C$5:$C$50,0),49),"")</f>
        <v>75</v>
      </c>
      <c r="V1559" s="103">
        <f>IFERROR(INDEX('Ведомость расчета мин. платы'!$AC$10:$AD$214,MATCH(CONCATENATE($L1559,"/",$M1559,"/",$N1559,"/",$O1559),'Ведомость расчета мин. платы'!$AC$10:$AC$214,0),2),"")</f>
        <v>2.2000000000000002</v>
      </c>
      <c r="W1559" s="40">
        <f>E1587</f>
        <v>2.83</v>
      </c>
      <c r="X1559" s="40">
        <f>D1589</f>
        <v>53317.822600000007</v>
      </c>
      <c r="Y1559" s="91">
        <f>D1590</f>
        <v>33.168369694368245</v>
      </c>
      <c r="Z1559" s="88"/>
      <c r="AA1559" s="86">
        <f t="shared" ref="AA1559" si="73">IF(M1559&gt;0,1,0)</f>
        <v>1</v>
      </c>
    </row>
    <row r="1560" spans="2:27" ht="19.5" x14ac:dyDescent="0.25">
      <c r="B1560" s="50"/>
      <c r="C1560" s="333"/>
      <c r="D1560" s="338" t="str">
        <f>CONCATENATE(L1559, " участковое лесничество")</f>
        <v>Тумбинское участковое лесничество</v>
      </c>
      <c r="E1560" s="338"/>
      <c r="F1560" s="338"/>
      <c r="G1560" s="338"/>
      <c r="H1560" s="90"/>
      <c r="I1560" s="88"/>
      <c r="J1560" s="88">
        <f>IFERROR(IF(ISBLANK(K1559),"",K1559),"")</f>
        <v>43</v>
      </c>
      <c r="K1560" s="88"/>
      <c r="L1560" s="88"/>
      <c r="M1560" s="88"/>
      <c r="N1560" s="88"/>
      <c r="O1560" s="88"/>
      <c r="P1560" s="88"/>
      <c r="Q1560" s="88"/>
      <c r="R1560" s="88"/>
      <c r="S1560" s="88"/>
      <c r="T1560" s="88"/>
      <c r="U1560" s="88"/>
      <c r="V1560" s="88"/>
      <c r="W1560" s="88"/>
      <c r="X1560" s="88"/>
      <c r="Y1560" s="88"/>
      <c r="Z1560" s="88"/>
    </row>
    <row r="1561" spans="2:27" ht="19.5" x14ac:dyDescent="0.25">
      <c r="B1561" s="50"/>
      <c r="C1561" s="334"/>
      <c r="D1561" s="338" t="str">
        <f>CONCATENATE("кв. ",M1559," ","выд."," ",N1559," ","делянка", " ",O1559)</f>
        <v>кв. 3 выд. 3 делянка 1</v>
      </c>
      <c r="E1561" s="338"/>
      <c r="F1561" s="338"/>
      <c r="G1561" s="338"/>
      <c r="H1561" s="90"/>
      <c r="I1561" s="88"/>
      <c r="J1561" s="88"/>
      <c r="K1561" s="88"/>
      <c r="L1561" s="88"/>
      <c r="M1561" s="88"/>
      <c r="N1561" s="88"/>
      <c r="O1561" s="88"/>
      <c r="P1561" s="88"/>
      <c r="Q1561" s="88"/>
      <c r="R1561" s="88"/>
      <c r="S1561" s="88"/>
      <c r="T1561" s="88"/>
      <c r="U1561" s="88"/>
      <c r="V1561" s="88"/>
      <c r="W1561" s="88"/>
      <c r="X1561" s="88"/>
      <c r="Y1561" s="88"/>
      <c r="Z1561" s="88"/>
    </row>
    <row r="1562" spans="2:27" ht="23.25" x14ac:dyDescent="0.25">
      <c r="B1562" s="49"/>
      <c r="C1562" s="61" t="s">
        <v>495</v>
      </c>
      <c r="D1562" s="51">
        <f>P1559</f>
        <v>10</v>
      </c>
      <c r="E1562" s="62"/>
      <c r="F1562" s="50"/>
      <c r="G1562" s="48"/>
      <c r="H1562" s="87"/>
    </row>
    <row r="1563" spans="2:27" ht="22.5" x14ac:dyDescent="0.25">
      <c r="B1563" s="49"/>
      <c r="C1563" s="63" t="s">
        <v>496</v>
      </c>
      <c r="D1563" s="106">
        <f>Q1559</f>
        <v>1607.49</v>
      </c>
      <c r="E1563" s="309" t="s">
        <v>497</v>
      </c>
      <c r="F1563" s="310"/>
      <c r="G1563" s="313">
        <f>D1564/D1563</f>
        <v>11.720271976808565</v>
      </c>
      <c r="H1563" s="87"/>
    </row>
    <row r="1564" spans="2:27" ht="22.5" x14ac:dyDescent="0.25">
      <c r="B1564" s="49"/>
      <c r="C1564" s="63" t="s">
        <v>498</v>
      </c>
      <c r="D1564" s="52">
        <f>R1559</f>
        <v>18840.22</v>
      </c>
      <c r="E1564" s="311"/>
      <c r="F1564" s="312"/>
      <c r="G1564" s="314"/>
      <c r="H1564" s="87"/>
    </row>
    <row r="1565" spans="2:27" ht="23.25" x14ac:dyDescent="0.25">
      <c r="B1565" s="49"/>
      <c r="C1565" s="64"/>
      <c r="D1565" s="53"/>
      <c r="E1565" s="65"/>
      <c r="F1565" s="49"/>
      <c r="G1565" s="48"/>
      <c r="H1565" s="87"/>
    </row>
    <row r="1566" spans="2:27" ht="23.25" x14ac:dyDescent="0.25">
      <c r="B1566" s="49"/>
      <c r="C1566" s="82" t="s">
        <v>499</v>
      </c>
      <c r="D1566" s="96" t="str">
        <f>S1559</f>
        <v>7ЛП3ОС+Б</v>
      </c>
      <c r="E1566" s="49"/>
      <c r="F1566" s="49"/>
      <c r="G1566" s="48"/>
      <c r="H1566" s="87"/>
    </row>
    <row r="1567" spans="2:27" ht="23.25" x14ac:dyDescent="0.25">
      <c r="B1567" s="49"/>
      <c r="C1567" s="82" t="s">
        <v>500</v>
      </c>
      <c r="D1567" s="96">
        <f>U1559</f>
        <v>75</v>
      </c>
      <c r="E1567" s="49"/>
      <c r="F1567" s="49"/>
      <c r="G1567" s="48"/>
      <c r="H1567" s="87"/>
    </row>
    <row r="1568" spans="2:27" ht="23.25" x14ac:dyDescent="0.25">
      <c r="B1568" s="49"/>
      <c r="C1568" s="82" t="s">
        <v>501</v>
      </c>
      <c r="D1568" s="83" t="s">
        <v>502</v>
      </c>
      <c r="E1568" s="49"/>
      <c r="F1568" s="49"/>
      <c r="G1568" s="48"/>
      <c r="H1568" s="87"/>
    </row>
    <row r="1569" spans="2:8" ht="24" thickBot="1" x14ac:dyDescent="0.3">
      <c r="B1569" s="49"/>
      <c r="C1569" s="49"/>
      <c r="D1569" s="49"/>
      <c r="E1569" s="49"/>
      <c r="F1569" s="49"/>
      <c r="G1569" s="48"/>
      <c r="H1569" s="87"/>
    </row>
    <row r="1570" spans="2:8" ht="48" thickBot="1" x14ac:dyDescent="0.3">
      <c r="B1570" s="315" t="s">
        <v>436</v>
      </c>
      <c r="C1570" s="316"/>
      <c r="D1570" s="54" t="s">
        <v>503</v>
      </c>
      <c r="E1570" s="317" t="s">
        <v>504</v>
      </c>
      <c r="F1570" s="318"/>
      <c r="G1570" s="55" t="s">
        <v>505</v>
      </c>
      <c r="H1570" s="87"/>
    </row>
    <row r="1571" spans="2:8" ht="24" thickBot="1" x14ac:dyDescent="0.3">
      <c r="B1571" s="319" t="s">
        <v>506</v>
      </c>
      <c r="C1571" s="320"/>
      <c r="D1571" s="136">
        <v>197.93</v>
      </c>
      <c r="E1571" s="136">
        <f>D1562</f>
        <v>10</v>
      </c>
      <c r="F1571" s="77" t="s">
        <v>434</v>
      </c>
      <c r="G1571" s="142">
        <f t="shared" ref="G1571:G1578" si="74">D1571*E1571</f>
        <v>1979.3000000000002</v>
      </c>
      <c r="H1571" s="321"/>
    </row>
    <row r="1572" spans="2:8" ht="23.25" x14ac:dyDescent="0.25">
      <c r="B1572" s="322" t="s">
        <v>507</v>
      </c>
      <c r="C1572" s="323"/>
      <c r="D1572" s="137">
        <v>159.44</v>
      </c>
      <c r="E1572" s="137">
        <f>V1559</f>
        <v>2.2000000000000002</v>
      </c>
      <c r="F1572" s="78" t="s">
        <v>437</v>
      </c>
      <c r="G1572" s="143">
        <f t="shared" si="74"/>
        <v>350.76800000000003</v>
      </c>
      <c r="H1572" s="321"/>
    </row>
    <row r="1573" spans="2:8" ht="24" thickBot="1" x14ac:dyDescent="0.3">
      <c r="B1573" s="324" t="s">
        <v>508</v>
      </c>
      <c r="C1573" s="325"/>
      <c r="D1573" s="138">
        <v>276.62</v>
      </c>
      <c r="E1573" s="138">
        <f>V1559</f>
        <v>2.2000000000000002</v>
      </c>
      <c r="F1573" s="79" t="s">
        <v>437</v>
      </c>
      <c r="G1573" s="144">
        <f t="shared" si="74"/>
        <v>608.56400000000008</v>
      </c>
      <c r="H1573" s="321"/>
    </row>
    <row r="1574" spans="2:8" ht="24" thickBot="1" x14ac:dyDescent="0.3">
      <c r="B1574" s="326" t="s">
        <v>438</v>
      </c>
      <c r="C1574" s="327"/>
      <c r="D1574" s="139">
        <v>519</v>
      </c>
      <c r="E1574" s="139"/>
      <c r="F1574" s="80" t="s">
        <v>434</v>
      </c>
      <c r="G1574" s="145">
        <f t="shared" si="74"/>
        <v>0</v>
      </c>
      <c r="H1574" s="321"/>
    </row>
    <row r="1575" spans="2:8" ht="23.25" x14ac:dyDescent="0.25">
      <c r="B1575" s="322" t="s">
        <v>509</v>
      </c>
      <c r="C1575" s="323"/>
      <c r="D1575" s="137">
        <v>920</v>
      </c>
      <c r="E1575" s="137">
        <f>D1562*2</f>
        <v>20</v>
      </c>
      <c r="F1575" s="78" t="s">
        <v>434</v>
      </c>
      <c r="G1575" s="143">
        <f t="shared" si="74"/>
        <v>18400</v>
      </c>
      <c r="H1575" s="321"/>
    </row>
    <row r="1576" spans="2:8" ht="23.25" x14ac:dyDescent="0.25">
      <c r="B1576" s="328" t="s">
        <v>510</v>
      </c>
      <c r="C1576" s="329"/>
      <c r="D1576" s="140">
        <v>1300</v>
      </c>
      <c r="E1576" s="140">
        <v>10</v>
      </c>
      <c r="F1576" s="81" t="s">
        <v>434</v>
      </c>
      <c r="G1576" s="146">
        <f t="shared" si="74"/>
        <v>13000</v>
      </c>
      <c r="H1576" s="321"/>
    </row>
    <row r="1577" spans="2:8" ht="23.25" x14ac:dyDescent="0.25">
      <c r="B1577" s="328" t="s">
        <v>439</v>
      </c>
      <c r="C1577" s="329"/>
      <c r="D1577" s="141">
        <v>5165.12</v>
      </c>
      <c r="E1577" s="140"/>
      <c r="F1577" s="81" t="s">
        <v>434</v>
      </c>
      <c r="G1577" s="146">
        <f t="shared" si="74"/>
        <v>0</v>
      </c>
      <c r="H1577" s="321"/>
    </row>
    <row r="1578" spans="2:8" ht="23.25" x14ac:dyDescent="0.25">
      <c r="B1578" s="328" t="s">
        <v>511</v>
      </c>
      <c r="C1578" s="329"/>
      <c r="D1578" s="141">
        <v>917</v>
      </c>
      <c r="E1578" s="140"/>
      <c r="F1578" s="81" t="s">
        <v>434</v>
      </c>
      <c r="G1578" s="146">
        <f t="shared" si="74"/>
        <v>0</v>
      </c>
      <c r="H1578" s="321"/>
    </row>
    <row r="1579" spans="2:8" ht="23.25" x14ac:dyDescent="0.25">
      <c r="B1579" s="328" t="s">
        <v>441</v>
      </c>
      <c r="C1579" s="329"/>
      <c r="D1579" s="141">
        <v>461.56000000000006</v>
      </c>
      <c r="E1579" s="140"/>
      <c r="F1579" s="81" t="s">
        <v>434</v>
      </c>
      <c r="G1579" s="146">
        <f>D1579*E1579</f>
        <v>0</v>
      </c>
      <c r="H1579" s="321"/>
    </row>
    <row r="1580" spans="2:8" ht="24" thickBot="1" x14ac:dyDescent="0.3">
      <c r="B1580" s="324" t="s">
        <v>440</v>
      </c>
      <c r="C1580" s="325"/>
      <c r="D1580" s="138">
        <v>353.15</v>
      </c>
      <c r="E1580" s="140"/>
      <c r="F1580" s="79" t="s">
        <v>434</v>
      </c>
      <c r="G1580" s="147">
        <f>D1580*E1580</f>
        <v>0</v>
      </c>
      <c r="H1580" s="321"/>
    </row>
    <row r="1581" spans="2:8" ht="23.25" x14ac:dyDescent="0.25">
      <c r="B1581" s="49"/>
      <c r="C1581" s="66"/>
      <c r="D1581" s="66"/>
      <c r="E1581" s="56"/>
      <c r="F1581" s="56"/>
      <c r="G1581" s="48"/>
      <c r="H1581" s="92"/>
    </row>
    <row r="1582" spans="2:8" ht="25.5" x14ac:dyDescent="0.25">
      <c r="B1582" s="49"/>
      <c r="C1582" s="59" t="s">
        <v>512</v>
      </c>
      <c r="D1582" s="60"/>
      <c r="E1582" s="49"/>
      <c r="F1582" s="49"/>
      <c r="G1582" s="48"/>
      <c r="H1582" s="87"/>
    </row>
    <row r="1583" spans="2:8" ht="18.75" x14ac:dyDescent="0.25">
      <c r="B1583" s="49"/>
      <c r="C1583" s="306" t="s">
        <v>513</v>
      </c>
      <c r="D1583" s="107" t="s">
        <v>514</v>
      </c>
      <c r="E1583" s="68">
        <f>ROUND((G1571+D1564)/D1564,2)</f>
        <v>1.1100000000000001</v>
      </c>
      <c r="F1583" s="68"/>
      <c r="G1583" s="50"/>
      <c r="H1583" s="87"/>
    </row>
    <row r="1584" spans="2:8" ht="23.25" x14ac:dyDescent="0.25">
      <c r="B1584" s="49"/>
      <c r="C1584" s="306"/>
      <c r="D1584" s="107" t="s">
        <v>515</v>
      </c>
      <c r="E1584" s="68">
        <f>ROUND((G1572+G1573+D1564)/D1564,2)</f>
        <v>1.05</v>
      </c>
      <c r="F1584" s="68"/>
      <c r="G1584" s="57"/>
      <c r="H1584" s="93"/>
    </row>
    <row r="1585" spans="2:27" ht="23.25" x14ac:dyDescent="0.25">
      <c r="B1585" s="49"/>
      <c r="C1585" s="306"/>
      <c r="D1585" s="107" t="s">
        <v>516</v>
      </c>
      <c r="E1585" s="68">
        <f>ROUND((G1574+D1564)/D1564,2)</f>
        <v>1</v>
      </c>
      <c r="F1585" s="50"/>
      <c r="G1585" s="57"/>
      <c r="H1585" s="87"/>
    </row>
    <row r="1586" spans="2:27" ht="23.25" x14ac:dyDescent="0.25">
      <c r="B1586" s="49"/>
      <c r="C1586" s="306"/>
      <c r="D1586" s="69" t="s">
        <v>517</v>
      </c>
      <c r="E1586" s="70">
        <f>ROUND((SUM(G1575:G1580)+D1564)/D1564,2)</f>
        <v>2.67</v>
      </c>
      <c r="F1586" s="50"/>
      <c r="G1586" s="57"/>
      <c r="H1586" s="87"/>
    </row>
    <row r="1587" spans="2:27" ht="25.5" x14ac:dyDescent="0.25">
      <c r="B1587" s="49"/>
      <c r="C1587" s="49"/>
      <c r="D1587" s="71" t="s">
        <v>518</v>
      </c>
      <c r="E1587" s="72">
        <f>SUM(E1583:E1586)-IF(D1568="сплошная",3,2)</f>
        <v>2.83</v>
      </c>
      <c r="F1587" s="73"/>
      <c r="G1587" s="48"/>
      <c r="H1587" s="87"/>
    </row>
    <row r="1588" spans="2:27" ht="23.25" x14ac:dyDescent="0.25">
      <c r="B1588" s="49"/>
      <c r="C1588" s="49"/>
      <c r="D1588" s="49"/>
      <c r="E1588" s="74"/>
      <c r="F1588" s="49"/>
      <c r="G1588" s="48"/>
      <c r="H1588" s="87"/>
    </row>
    <row r="1589" spans="2:27" ht="25.5" x14ac:dyDescent="0.35">
      <c r="B1589" s="58"/>
      <c r="C1589" s="75" t="s">
        <v>519</v>
      </c>
      <c r="D1589" s="307">
        <f>E1587*D1564</f>
        <v>53317.822600000007</v>
      </c>
      <c r="E1589" s="307"/>
      <c r="F1589" s="49"/>
      <c r="G1589" s="48"/>
      <c r="H1589" s="87"/>
    </row>
    <row r="1590" spans="2:27" ht="18.75" x14ac:dyDescent="0.3">
      <c r="B1590" s="49"/>
      <c r="C1590" s="76" t="s">
        <v>520</v>
      </c>
      <c r="D1590" s="308">
        <f>D1589/D1563</f>
        <v>33.168369694368245</v>
      </c>
      <c r="E1590" s="308"/>
      <c r="F1590" s="49"/>
      <c r="G1590" s="49"/>
      <c r="H1590" s="94"/>
    </row>
    <row r="1593" spans="2:27" ht="60.75" x14ac:dyDescent="0.8">
      <c r="B1593" s="330" t="str">
        <f>CONCATENATE("ЛОТ № ",K1596)</f>
        <v>ЛОТ № 44</v>
      </c>
      <c r="C1593" s="330"/>
      <c r="D1593" s="330"/>
      <c r="E1593" s="330"/>
      <c r="F1593" s="330"/>
      <c r="G1593" s="330"/>
      <c r="H1593" s="330"/>
    </row>
    <row r="1594" spans="2:27" ht="18.75" x14ac:dyDescent="0.25">
      <c r="B1594" s="331" t="s">
        <v>492</v>
      </c>
      <c r="C1594" s="331"/>
      <c r="D1594" s="331"/>
      <c r="E1594" s="331"/>
      <c r="F1594" s="331"/>
      <c r="G1594" s="331"/>
      <c r="H1594" s="87"/>
    </row>
    <row r="1595" spans="2:27" ht="25.5" x14ac:dyDescent="0.25">
      <c r="B1595" s="49"/>
      <c r="C1595" s="59" t="s">
        <v>493</v>
      </c>
      <c r="D1595" s="60"/>
      <c r="E1595" s="49"/>
      <c r="F1595" s="49"/>
      <c r="G1595" s="48"/>
      <c r="H1595" s="87"/>
      <c r="I1595" s="88"/>
      <c r="J1595" s="88"/>
      <c r="K1595" s="88"/>
      <c r="L1595" s="88" t="s">
        <v>454</v>
      </c>
      <c r="M1595" s="88" t="s">
        <v>444</v>
      </c>
      <c r="N1595" s="88" t="s">
        <v>445</v>
      </c>
      <c r="O1595" s="88" t="s">
        <v>453</v>
      </c>
      <c r="P1595" s="89" t="s">
        <v>446</v>
      </c>
      <c r="Q1595" s="88" t="s">
        <v>435</v>
      </c>
      <c r="R1595" s="40" t="s">
        <v>447</v>
      </c>
      <c r="S1595" s="40" t="s">
        <v>522</v>
      </c>
      <c r="T1595" s="88" t="s">
        <v>118</v>
      </c>
      <c r="U1595" s="88" t="s">
        <v>500</v>
      </c>
      <c r="V1595" s="88" t="s">
        <v>450</v>
      </c>
      <c r="W1595" s="40" t="s">
        <v>448</v>
      </c>
      <c r="X1595" s="40" t="s">
        <v>449</v>
      </c>
      <c r="Y1595" s="88" t="s">
        <v>523</v>
      </c>
      <c r="Z1595" s="88"/>
    </row>
    <row r="1596" spans="2:27" ht="19.5" x14ac:dyDescent="0.25">
      <c r="B1596" s="50"/>
      <c r="C1596" s="332" t="s">
        <v>494</v>
      </c>
      <c r="D1596" s="335" t="s">
        <v>521</v>
      </c>
      <c r="E1596" s="336"/>
      <c r="F1596" s="336"/>
      <c r="G1596" s="337"/>
      <c r="H1596" s="90"/>
      <c r="I1596" s="88" t="s">
        <v>443</v>
      </c>
      <c r="J1596" s="88"/>
      <c r="K1596" s="43">
        <f>IF(I1596="","",COUNTA(I$5:I1596))</f>
        <v>44</v>
      </c>
      <c r="L1596" s="95" t="str">
        <f>INDEX('Ведомость расчета мин. платы'!$B$10:$T$209,MATCH(ЛОТЫ!$K1596,'Ведомость расчета мин. платы'!$B$10:$B$209,0),2)</f>
        <v>Тумбинское</v>
      </c>
      <c r="M1596" s="95">
        <f>INDEX('Ведомость расчета мин. платы'!$B$10:$T$209,MATCH(ЛОТЫ!$K1596,'Ведомость расчета мин. платы'!$B$10:$B$209,0),3)</f>
        <v>4</v>
      </c>
      <c r="N1596" s="95">
        <f>INDEX('Ведомость расчета мин. платы'!$B$10:$T$209,MATCH(ЛОТЫ!$K1596,'Ведомость расчета мин. платы'!$B$10:$B$209,0),4)</f>
        <v>1</v>
      </c>
      <c r="O1596" s="95">
        <f>INDEX('Ведомость расчета мин. платы'!$B$10:$T$209,MATCH(ЛОТЫ!$K1596,'Ведомость расчета мин. платы'!$B$10:$B$209,0),5)</f>
        <v>1</v>
      </c>
      <c r="P1596" s="89">
        <f>IFERROR(INDEX(Коэффициенты!$G$4:$O$106,MATCH(CONCATENATE($L1596,"/",$M1596,"/",$N1596,"/",$O1596),Коэффициенты!$O$4:$O$106,0),1),"")</f>
        <v>10</v>
      </c>
      <c r="Q1596" s="40">
        <f>IFERROR(INDEX(Коэффициенты!$G$4:$O$106,MATCH(CONCATENATE($L1596,"/",$M1596,"/",$N1596,"/",$O1596),Коэффициенты!$O$4:$O$106,0),6),"")</f>
        <v>1428.25</v>
      </c>
      <c r="R1596" s="40">
        <f>IFERROR(INDEX(Коэффициенты!$G$4:$O$106,MATCH(CONCATENATE($L1596,"/",$M1596,"/",$N1596,"/",$O1596),Коэффициенты!$O$4:$O$106,0),2),"")</f>
        <v>19478.16</v>
      </c>
      <c r="S1596" s="43" t="str">
        <f>IFERROR(INDEX('Такс. опис.'!$A$5:$BW$50,MATCH(CONCATENATE($L1596,"/",$M1596,"/",$N1596),'Такс. опис.'!$C$5:$C$50,0),26),"")</f>
        <v>8ЛП2ОС+Б</v>
      </c>
      <c r="T1596" s="43" t="str">
        <f>IFERROR(INDEX('Такс. опис.'!$A$5:$BW$50,MATCH(CONCATENATE($L1596,"/",$M1596,"/",$N1596),'Такс. опис.'!$C$5:$C$50,0),47),"")</f>
        <v>Липа</v>
      </c>
      <c r="U1596" s="43">
        <f>IFERROR(INDEX('Такс. опис.'!$A$5:$BW$50,MATCH(CONCATENATE($L1596,"/",$M1596,"/",$N1596),'Такс. опис.'!$C$5:$C$50,0),49),"")</f>
        <v>75</v>
      </c>
      <c r="V1596" s="103">
        <f>IFERROR(INDEX('Ведомость расчета мин. платы'!$AC$10:$AD$214,MATCH(CONCATENATE($L1596,"/",$M1596,"/",$N1596,"/",$O1596),'Ведомость расчета мин. платы'!$AC$10:$AC$214,0),2),"")</f>
        <v>2.2000000000000002</v>
      </c>
      <c r="W1596" s="40">
        <f>E1624</f>
        <v>2.76</v>
      </c>
      <c r="X1596" s="40">
        <f>D1626</f>
        <v>53759.721599999997</v>
      </c>
      <c r="Y1596" s="91">
        <f>D1627</f>
        <v>37.640274181690877</v>
      </c>
      <c r="Z1596" s="88"/>
      <c r="AA1596" s="86">
        <f t="shared" ref="AA1596" si="75">IF(M1596&gt;0,1,0)</f>
        <v>1</v>
      </c>
    </row>
    <row r="1597" spans="2:27" ht="19.5" x14ac:dyDescent="0.25">
      <c r="B1597" s="50"/>
      <c r="C1597" s="333"/>
      <c r="D1597" s="338" t="str">
        <f>CONCATENATE(L1596, " участковое лесничество")</f>
        <v>Тумбинское участковое лесничество</v>
      </c>
      <c r="E1597" s="338"/>
      <c r="F1597" s="338"/>
      <c r="G1597" s="338"/>
      <c r="H1597" s="90"/>
      <c r="I1597" s="88"/>
      <c r="J1597" s="88">
        <f>IFERROR(IF(ISBLANK(K1596),"",K1596),"")</f>
        <v>44</v>
      </c>
      <c r="K1597" s="88"/>
      <c r="L1597" s="88"/>
      <c r="M1597" s="88"/>
      <c r="N1597" s="88"/>
      <c r="O1597" s="88"/>
      <c r="P1597" s="88"/>
      <c r="Q1597" s="88"/>
      <c r="R1597" s="88"/>
      <c r="S1597" s="88"/>
      <c r="T1597" s="88"/>
      <c r="U1597" s="88"/>
      <c r="V1597" s="88"/>
      <c r="W1597" s="88"/>
      <c r="X1597" s="88"/>
      <c r="Y1597" s="88"/>
      <c r="Z1597" s="88"/>
    </row>
    <row r="1598" spans="2:27" ht="19.5" x14ac:dyDescent="0.25">
      <c r="B1598" s="50"/>
      <c r="C1598" s="334"/>
      <c r="D1598" s="338" t="str">
        <f>CONCATENATE("кв. ",M1596," ","выд."," ",N1596," ","делянка", " ",O1596)</f>
        <v>кв. 4 выд. 1 делянка 1</v>
      </c>
      <c r="E1598" s="338"/>
      <c r="F1598" s="338"/>
      <c r="G1598" s="338"/>
      <c r="H1598" s="90"/>
      <c r="I1598" s="88"/>
      <c r="J1598" s="88"/>
      <c r="K1598" s="88"/>
      <c r="L1598" s="88"/>
      <c r="M1598" s="88"/>
      <c r="N1598" s="88"/>
      <c r="O1598" s="88"/>
      <c r="P1598" s="88"/>
      <c r="Q1598" s="88"/>
      <c r="R1598" s="88"/>
      <c r="S1598" s="88"/>
      <c r="T1598" s="88"/>
      <c r="U1598" s="88"/>
      <c r="V1598" s="88"/>
      <c r="W1598" s="88"/>
      <c r="X1598" s="88"/>
      <c r="Y1598" s="88"/>
      <c r="Z1598" s="88"/>
    </row>
    <row r="1599" spans="2:27" ht="23.25" x14ac:dyDescent="0.25">
      <c r="B1599" s="49"/>
      <c r="C1599" s="61" t="s">
        <v>495</v>
      </c>
      <c r="D1599" s="51">
        <f>P1596</f>
        <v>10</v>
      </c>
      <c r="E1599" s="62"/>
      <c r="F1599" s="50"/>
      <c r="G1599" s="48"/>
      <c r="H1599" s="87"/>
    </row>
    <row r="1600" spans="2:27" ht="22.5" x14ac:dyDescent="0.25">
      <c r="B1600" s="49"/>
      <c r="C1600" s="63" t="s">
        <v>496</v>
      </c>
      <c r="D1600" s="106">
        <f>Q1596</f>
        <v>1428.25</v>
      </c>
      <c r="E1600" s="309" t="s">
        <v>497</v>
      </c>
      <c r="F1600" s="310"/>
      <c r="G1600" s="313">
        <f>D1601/D1600</f>
        <v>13.637780500612637</v>
      </c>
      <c r="H1600" s="87"/>
    </row>
    <row r="1601" spans="2:8" ht="22.5" x14ac:dyDescent="0.25">
      <c r="B1601" s="49"/>
      <c r="C1601" s="63" t="s">
        <v>498</v>
      </c>
      <c r="D1601" s="52">
        <f>R1596</f>
        <v>19478.16</v>
      </c>
      <c r="E1601" s="311"/>
      <c r="F1601" s="312"/>
      <c r="G1601" s="314"/>
      <c r="H1601" s="87"/>
    </row>
    <row r="1602" spans="2:8" ht="23.25" x14ac:dyDescent="0.25">
      <c r="B1602" s="49"/>
      <c r="C1602" s="64"/>
      <c r="D1602" s="53"/>
      <c r="E1602" s="65"/>
      <c r="F1602" s="49"/>
      <c r="G1602" s="48"/>
      <c r="H1602" s="87"/>
    </row>
    <row r="1603" spans="2:8" ht="23.25" x14ac:dyDescent="0.25">
      <c r="B1603" s="49"/>
      <c r="C1603" s="82" t="s">
        <v>499</v>
      </c>
      <c r="D1603" s="96" t="str">
        <f>S1596</f>
        <v>8ЛП2ОС+Б</v>
      </c>
      <c r="E1603" s="49"/>
      <c r="F1603" s="49"/>
      <c r="G1603" s="48"/>
      <c r="H1603" s="87"/>
    </row>
    <row r="1604" spans="2:8" ht="23.25" x14ac:dyDescent="0.25">
      <c r="B1604" s="49"/>
      <c r="C1604" s="82" t="s">
        <v>500</v>
      </c>
      <c r="D1604" s="96">
        <f>U1596</f>
        <v>75</v>
      </c>
      <c r="E1604" s="49"/>
      <c r="F1604" s="49"/>
      <c r="G1604" s="48"/>
      <c r="H1604" s="87"/>
    </row>
    <row r="1605" spans="2:8" ht="23.25" x14ac:dyDescent="0.25">
      <c r="B1605" s="49"/>
      <c r="C1605" s="82" t="s">
        <v>501</v>
      </c>
      <c r="D1605" s="83" t="s">
        <v>502</v>
      </c>
      <c r="E1605" s="49"/>
      <c r="F1605" s="49"/>
      <c r="G1605" s="48"/>
      <c r="H1605" s="87"/>
    </row>
    <row r="1606" spans="2:8" ht="24" thickBot="1" x14ac:dyDescent="0.3">
      <c r="B1606" s="49"/>
      <c r="C1606" s="49"/>
      <c r="D1606" s="49"/>
      <c r="E1606" s="49"/>
      <c r="F1606" s="49"/>
      <c r="G1606" s="48"/>
      <c r="H1606" s="87"/>
    </row>
    <row r="1607" spans="2:8" ht="48" thickBot="1" x14ac:dyDescent="0.3">
      <c r="B1607" s="315" t="s">
        <v>436</v>
      </c>
      <c r="C1607" s="316"/>
      <c r="D1607" s="54" t="s">
        <v>503</v>
      </c>
      <c r="E1607" s="317" t="s">
        <v>504</v>
      </c>
      <c r="F1607" s="318"/>
      <c r="G1607" s="55" t="s">
        <v>505</v>
      </c>
      <c r="H1607" s="87"/>
    </row>
    <row r="1608" spans="2:8" ht="24" thickBot="1" x14ac:dyDescent="0.3">
      <c r="B1608" s="319" t="s">
        <v>506</v>
      </c>
      <c r="C1608" s="320"/>
      <c r="D1608" s="136">
        <v>197.93</v>
      </c>
      <c r="E1608" s="136">
        <f>D1599</f>
        <v>10</v>
      </c>
      <c r="F1608" s="77" t="s">
        <v>434</v>
      </c>
      <c r="G1608" s="142">
        <f t="shared" ref="G1608:G1615" si="76">D1608*E1608</f>
        <v>1979.3000000000002</v>
      </c>
      <c r="H1608" s="321"/>
    </row>
    <row r="1609" spans="2:8" ht="23.25" x14ac:dyDescent="0.25">
      <c r="B1609" s="322" t="s">
        <v>507</v>
      </c>
      <c r="C1609" s="323"/>
      <c r="D1609" s="137">
        <v>159.44</v>
      </c>
      <c r="E1609" s="137">
        <f>V1596</f>
        <v>2.2000000000000002</v>
      </c>
      <c r="F1609" s="78" t="s">
        <v>437</v>
      </c>
      <c r="G1609" s="143">
        <f t="shared" si="76"/>
        <v>350.76800000000003</v>
      </c>
      <c r="H1609" s="321"/>
    </row>
    <row r="1610" spans="2:8" ht="24" thickBot="1" x14ac:dyDescent="0.3">
      <c r="B1610" s="324" t="s">
        <v>508</v>
      </c>
      <c r="C1610" s="325"/>
      <c r="D1610" s="138">
        <v>276.62</v>
      </c>
      <c r="E1610" s="138">
        <f>V1596</f>
        <v>2.2000000000000002</v>
      </c>
      <c r="F1610" s="79" t="s">
        <v>437</v>
      </c>
      <c r="G1610" s="144">
        <f t="shared" si="76"/>
        <v>608.56400000000008</v>
      </c>
      <c r="H1610" s="321"/>
    </row>
    <row r="1611" spans="2:8" ht="24" thickBot="1" x14ac:dyDescent="0.3">
      <c r="B1611" s="326" t="s">
        <v>438</v>
      </c>
      <c r="C1611" s="327"/>
      <c r="D1611" s="139">
        <v>519</v>
      </c>
      <c r="E1611" s="139"/>
      <c r="F1611" s="80" t="s">
        <v>434</v>
      </c>
      <c r="G1611" s="145">
        <f t="shared" si="76"/>
        <v>0</v>
      </c>
      <c r="H1611" s="321"/>
    </row>
    <row r="1612" spans="2:8" ht="23.25" x14ac:dyDescent="0.25">
      <c r="B1612" s="322" t="s">
        <v>509</v>
      </c>
      <c r="C1612" s="323"/>
      <c r="D1612" s="137">
        <v>920</v>
      </c>
      <c r="E1612" s="137">
        <f>D1599*2</f>
        <v>20</v>
      </c>
      <c r="F1612" s="78" t="s">
        <v>434</v>
      </c>
      <c r="G1612" s="143">
        <f t="shared" si="76"/>
        <v>18400</v>
      </c>
      <c r="H1612" s="321"/>
    </row>
    <row r="1613" spans="2:8" ht="23.25" x14ac:dyDescent="0.25">
      <c r="B1613" s="328" t="s">
        <v>510</v>
      </c>
      <c r="C1613" s="329"/>
      <c r="D1613" s="140">
        <v>1300</v>
      </c>
      <c r="E1613" s="140">
        <v>10</v>
      </c>
      <c r="F1613" s="81" t="s">
        <v>434</v>
      </c>
      <c r="G1613" s="146">
        <f t="shared" si="76"/>
        <v>13000</v>
      </c>
      <c r="H1613" s="321"/>
    </row>
    <row r="1614" spans="2:8" ht="23.25" x14ac:dyDescent="0.25">
      <c r="B1614" s="328" t="s">
        <v>439</v>
      </c>
      <c r="C1614" s="329"/>
      <c r="D1614" s="141">
        <v>5165.12</v>
      </c>
      <c r="E1614" s="140"/>
      <c r="F1614" s="81" t="s">
        <v>434</v>
      </c>
      <c r="G1614" s="146">
        <f t="shared" si="76"/>
        <v>0</v>
      </c>
      <c r="H1614" s="321"/>
    </row>
    <row r="1615" spans="2:8" ht="23.25" x14ac:dyDescent="0.25">
      <c r="B1615" s="328" t="s">
        <v>511</v>
      </c>
      <c r="C1615" s="329"/>
      <c r="D1615" s="141">
        <v>917</v>
      </c>
      <c r="E1615" s="140"/>
      <c r="F1615" s="81" t="s">
        <v>434</v>
      </c>
      <c r="G1615" s="146">
        <f t="shared" si="76"/>
        <v>0</v>
      </c>
      <c r="H1615" s="321"/>
    </row>
    <row r="1616" spans="2:8" ht="23.25" x14ac:dyDescent="0.25">
      <c r="B1616" s="328" t="s">
        <v>441</v>
      </c>
      <c r="C1616" s="329"/>
      <c r="D1616" s="141">
        <v>461.56000000000006</v>
      </c>
      <c r="E1616" s="140"/>
      <c r="F1616" s="81" t="s">
        <v>434</v>
      </c>
      <c r="G1616" s="146">
        <f>D1616*E1616</f>
        <v>0</v>
      </c>
      <c r="H1616" s="321"/>
    </row>
    <row r="1617" spans="2:26" ht="24" thickBot="1" x14ac:dyDescent="0.3">
      <c r="B1617" s="324" t="s">
        <v>440</v>
      </c>
      <c r="C1617" s="325"/>
      <c r="D1617" s="138">
        <v>353.15</v>
      </c>
      <c r="E1617" s="140"/>
      <c r="F1617" s="79" t="s">
        <v>434</v>
      </c>
      <c r="G1617" s="147">
        <f>D1617*E1617</f>
        <v>0</v>
      </c>
      <c r="H1617" s="321"/>
    </row>
    <row r="1618" spans="2:26" ht="23.25" x14ac:dyDescent="0.25">
      <c r="B1618" s="49"/>
      <c r="C1618" s="66"/>
      <c r="D1618" s="66"/>
      <c r="E1618" s="56"/>
      <c r="F1618" s="56"/>
      <c r="G1618" s="48"/>
      <c r="H1618" s="92"/>
    </row>
    <row r="1619" spans="2:26" ht="25.5" x14ac:dyDescent="0.25">
      <c r="B1619" s="49"/>
      <c r="C1619" s="59" t="s">
        <v>512</v>
      </c>
      <c r="D1619" s="60"/>
      <c r="E1619" s="49"/>
      <c r="F1619" s="49"/>
      <c r="G1619" s="48"/>
      <c r="H1619" s="87"/>
    </row>
    <row r="1620" spans="2:26" ht="18.75" x14ac:dyDescent="0.25">
      <c r="B1620" s="49"/>
      <c r="C1620" s="306" t="s">
        <v>513</v>
      </c>
      <c r="D1620" s="107" t="s">
        <v>514</v>
      </c>
      <c r="E1620" s="68">
        <f>ROUND((G1608+D1601)/D1601,2)</f>
        <v>1.1000000000000001</v>
      </c>
      <c r="F1620" s="68"/>
      <c r="G1620" s="50"/>
      <c r="H1620" s="87"/>
    </row>
    <row r="1621" spans="2:26" ht="23.25" x14ac:dyDescent="0.25">
      <c r="B1621" s="49"/>
      <c r="C1621" s="306"/>
      <c r="D1621" s="107" t="s">
        <v>515</v>
      </c>
      <c r="E1621" s="68">
        <f>ROUND((G1609+G1610+D1601)/D1601,2)</f>
        <v>1.05</v>
      </c>
      <c r="F1621" s="68"/>
      <c r="G1621" s="57"/>
      <c r="H1621" s="93"/>
    </row>
    <row r="1622" spans="2:26" ht="23.25" x14ac:dyDescent="0.25">
      <c r="B1622" s="49"/>
      <c r="C1622" s="306"/>
      <c r="D1622" s="107" t="s">
        <v>516</v>
      </c>
      <c r="E1622" s="68">
        <f>ROUND((G1611+D1601)/D1601,2)</f>
        <v>1</v>
      </c>
      <c r="F1622" s="50"/>
      <c r="G1622" s="57"/>
      <c r="H1622" s="87"/>
    </row>
    <row r="1623" spans="2:26" ht="23.25" x14ac:dyDescent="0.25">
      <c r="B1623" s="49"/>
      <c r="C1623" s="306"/>
      <c r="D1623" s="69" t="s">
        <v>517</v>
      </c>
      <c r="E1623" s="70">
        <f>ROUND((SUM(G1612:G1617)+D1601)/D1601,2)</f>
        <v>2.61</v>
      </c>
      <c r="F1623" s="50"/>
      <c r="G1623" s="57"/>
      <c r="H1623" s="87"/>
    </row>
    <row r="1624" spans="2:26" ht="25.5" x14ac:dyDescent="0.25">
      <c r="B1624" s="49"/>
      <c r="C1624" s="49"/>
      <c r="D1624" s="71" t="s">
        <v>518</v>
      </c>
      <c r="E1624" s="72">
        <f>SUM(E1620:E1623)-IF(D1605="сплошная",3,2)</f>
        <v>2.76</v>
      </c>
      <c r="F1624" s="73"/>
      <c r="G1624" s="48"/>
      <c r="H1624" s="87"/>
    </row>
    <row r="1625" spans="2:26" ht="23.25" x14ac:dyDescent="0.25">
      <c r="B1625" s="49"/>
      <c r="C1625" s="49"/>
      <c r="D1625" s="49"/>
      <c r="E1625" s="74"/>
      <c r="F1625" s="49"/>
      <c r="G1625" s="48"/>
      <c r="H1625" s="87"/>
    </row>
    <row r="1626" spans="2:26" ht="25.5" x14ac:dyDescent="0.35">
      <c r="B1626" s="58"/>
      <c r="C1626" s="75" t="s">
        <v>519</v>
      </c>
      <c r="D1626" s="307">
        <f>E1624*D1601</f>
        <v>53759.721599999997</v>
      </c>
      <c r="E1626" s="307"/>
      <c r="F1626" s="49"/>
      <c r="G1626" s="48"/>
      <c r="H1626" s="87"/>
    </row>
    <row r="1627" spans="2:26" ht="18.75" x14ac:dyDescent="0.3">
      <c r="B1627" s="49"/>
      <c r="C1627" s="76" t="s">
        <v>520</v>
      </c>
      <c r="D1627" s="308">
        <f>D1626/D1600</f>
        <v>37.640274181690877</v>
      </c>
      <c r="E1627" s="308"/>
      <c r="F1627" s="49"/>
      <c r="G1627" s="49"/>
      <c r="H1627" s="94"/>
    </row>
    <row r="1630" spans="2:26" ht="60.75" x14ac:dyDescent="0.8">
      <c r="B1630" s="330" t="str">
        <f>CONCATENATE("ЛОТ № ",K1633)</f>
        <v>ЛОТ № 45</v>
      </c>
      <c r="C1630" s="330"/>
      <c r="D1630" s="330"/>
      <c r="E1630" s="330"/>
      <c r="F1630" s="330"/>
      <c r="G1630" s="330"/>
      <c r="H1630" s="330"/>
    </row>
    <row r="1631" spans="2:26" ht="18.75" x14ac:dyDescent="0.25">
      <c r="B1631" s="331" t="s">
        <v>492</v>
      </c>
      <c r="C1631" s="331"/>
      <c r="D1631" s="331"/>
      <c r="E1631" s="331"/>
      <c r="F1631" s="331"/>
      <c r="G1631" s="331"/>
      <c r="H1631" s="87"/>
    </row>
    <row r="1632" spans="2:26" ht="25.5" x14ac:dyDescent="0.25">
      <c r="B1632" s="49"/>
      <c r="C1632" s="59" t="s">
        <v>493</v>
      </c>
      <c r="D1632" s="60"/>
      <c r="E1632" s="49"/>
      <c r="F1632" s="49"/>
      <c r="G1632" s="48"/>
      <c r="H1632" s="87"/>
      <c r="I1632" s="88"/>
      <c r="J1632" s="88"/>
      <c r="K1632" s="88"/>
      <c r="L1632" s="88" t="s">
        <v>454</v>
      </c>
      <c r="M1632" s="88" t="s">
        <v>444</v>
      </c>
      <c r="N1632" s="88" t="s">
        <v>445</v>
      </c>
      <c r="O1632" s="88" t="s">
        <v>453</v>
      </c>
      <c r="P1632" s="89" t="s">
        <v>446</v>
      </c>
      <c r="Q1632" s="88" t="s">
        <v>435</v>
      </c>
      <c r="R1632" s="40" t="s">
        <v>447</v>
      </c>
      <c r="S1632" s="40" t="s">
        <v>522</v>
      </c>
      <c r="T1632" s="88" t="s">
        <v>118</v>
      </c>
      <c r="U1632" s="88" t="s">
        <v>500</v>
      </c>
      <c r="V1632" s="88" t="s">
        <v>450</v>
      </c>
      <c r="W1632" s="40" t="s">
        <v>448</v>
      </c>
      <c r="X1632" s="40" t="s">
        <v>449</v>
      </c>
      <c r="Y1632" s="88" t="s">
        <v>523</v>
      </c>
      <c r="Z1632" s="88"/>
    </row>
    <row r="1633" spans="2:27" ht="19.5" x14ac:dyDescent="0.25">
      <c r="B1633" s="50"/>
      <c r="C1633" s="332" t="s">
        <v>494</v>
      </c>
      <c r="D1633" s="335" t="s">
        <v>521</v>
      </c>
      <c r="E1633" s="336"/>
      <c r="F1633" s="336"/>
      <c r="G1633" s="337"/>
      <c r="H1633" s="90"/>
      <c r="I1633" s="88" t="s">
        <v>443</v>
      </c>
      <c r="J1633" s="88"/>
      <c r="K1633" s="43">
        <f>IF(I1633="","",COUNTA(I$5:I1633))</f>
        <v>45</v>
      </c>
      <c r="L1633" s="95" t="str">
        <f>INDEX('Ведомость расчета мин. платы'!$B$10:$T$209,MATCH(ЛОТЫ!$K1633,'Ведомость расчета мин. платы'!$B$10:$B$209,0),2)</f>
        <v>Тумбинское</v>
      </c>
      <c r="M1633" s="95">
        <f>INDEX('Ведомость расчета мин. платы'!$B$10:$T$209,MATCH(ЛОТЫ!$K1633,'Ведомость расчета мин. платы'!$B$10:$B$209,0),3)</f>
        <v>4</v>
      </c>
      <c r="N1633" s="95">
        <f>INDEX('Ведомость расчета мин. платы'!$B$10:$T$209,MATCH(ЛОТЫ!$K1633,'Ведомость расчета мин. платы'!$B$10:$B$209,0),4)</f>
        <v>1</v>
      </c>
      <c r="O1633" s="95">
        <f>INDEX('Ведомость расчета мин. платы'!$B$10:$T$209,MATCH(ЛОТЫ!$K1633,'Ведомость расчета мин. платы'!$B$10:$B$209,0),5)</f>
        <v>2</v>
      </c>
      <c r="P1633" s="89">
        <f>IFERROR(INDEX(Коэффициенты!$G$4:$O$106,MATCH(CONCATENATE($L1633,"/",$M1633,"/",$N1633,"/",$O1633),Коэффициенты!$O$4:$O$106,0),1),"")</f>
        <v>10</v>
      </c>
      <c r="Q1633" s="40">
        <f>IFERROR(INDEX(Коэффициенты!$G$4:$O$106,MATCH(CONCATENATE($L1633,"/",$M1633,"/",$N1633,"/",$O1633),Коэффициенты!$O$4:$O$106,0),6),"")</f>
        <v>1418.04</v>
      </c>
      <c r="R1633" s="40">
        <f>IFERROR(INDEX(Коэффициенты!$G$4:$O$106,MATCH(CONCATENATE($L1633,"/",$M1633,"/",$N1633,"/",$O1633),Коэффициенты!$O$4:$O$106,0),2),"")</f>
        <v>15686.67</v>
      </c>
      <c r="S1633" s="43" t="str">
        <f>IFERROR(INDEX('Такс. опис.'!$A$5:$BW$50,MATCH(CONCATENATE($L1633,"/",$M1633,"/",$N1633),'Такс. опис.'!$C$5:$C$50,0),26),"")</f>
        <v>8ЛП2ОС+Б</v>
      </c>
      <c r="T1633" s="43" t="str">
        <f>IFERROR(INDEX('Такс. опис.'!$A$5:$BW$50,MATCH(CONCATENATE($L1633,"/",$M1633,"/",$N1633),'Такс. опис.'!$C$5:$C$50,0),47),"")</f>
        <v>Липа</v>
      </c>
      <c r="U1633" s="43">
        <f>IFERROR(INDEX('Такс. опис.'!$A$5:$BW$50,MATCH(CONCATENATE($L1633,"/",$M1633,"/",$N1633),'Такс. опис.'!$C$5:$C$50,0),49),"")</f>
        <v>75</v>
      </c>
      <c r="V1633" s="103">
        <f>IFERROR(INDEX('Ведомость расчета мин. платы'!$AC$10:$AD$214,MATCH(CONCATENATE($L1633,"/",$M1633,"/",$N1633,"/",$O1633),'Ведомость расчета мин. платы'!$AC$10:$AC$214,0),2),"")</f>
        <v>2.2000000000000002</v>
      </c>
      <c r="W1633" s="40">
        <f>E1661</f>
        <v>3.1899999999999995</v>
      </c>
      <c r="X1633" s="40">
        <f>D1663</f>
        <v>50040.477299999991</v>
      </c>
      <c r="Y1633" s="91">
        <f>D1664</f>
        <v>35.288480790386728</v>
      </c>
      <c r="Z1633" s="88"/>
      <c r="AA1633" s="86">
        <f t="shared" ref="AA1633" si="77">IF(M1633&gt;0,1,0)</f>
        <v>1</v>
      </c>
    </row>
    <row r="1634" spans="2:27" ht="19.5" x14ac:dyDescent="0.25">
      <c r="B1634" s="50"/>
      <c r="C1634" s="333"/>
      <c r="D1634" s="338" t="str">
        <f>CONCATENATE(L1633, " участковое лесничество")</f>
        <v>Тумбинское участковое лесничество</v>
      </c>
      <c r="E1634" s="338"/>
      <c r="F1634" s="338"/>
      <c r="G1634" s="338"/>
      <c r="H1634" s="90"/>
      <c r="I1634" s="88"/>
      <c r="J1634" s="88">
        <f>IFERROR(IF(ISBLANK(K1633),"",K1633),"")</f>
        <v>45</v>
      </c>
      <c r="K1634" s="88"/>
      <c r="L1634" s="88"/>
      <c r="M1634" s="88"/>
      <c r="N1634" s="88"/>
      <c r="O1634" s="88"/>
      <c r="P1634" s="88"/>
      <c r="Q1634" s="88"/>
      <c r="R1634" s="88"/>
      <c r="S1634" s="88"/>
      <c r="T1634" s="88"/>
      <c r="U1634" s="88"/>
      <c r="V1634" s="88"/>
      <c r="W1634" s="88"/>
      <c r="X1634" s="88"/>
      <c r="Y1634" s="88"/>
      <c r="Z1634" s="88"/>
    </row>
    <row r="1635" spans="2:27" ht="19.5" x14ac:dyDescent="0.25">
      <c r="B1635" s="50"/>
      <c r="C1635" s="334"/>
      <c r="D1635" s="338" t="str">
        <f>CONCATENATE("кв. ",M1633," ","выд."," ",N1633," ","делянка", " ",O1633)</f>
        <v>кв. 4 выд. 1 делянка 2</v>
      </c>
      <c r="E1635" s="338"/>
      <c r="F1635" s="338"/>
      <c r="G1635" s="338"/>
      <c r="H1635" s="90"/>
      <c r="I1635" s="88"/>
      <c r="J1635" s="88"/>
      <c r="K1635" s="88"/>
      <c r="L1635" s="88"/>
      <c r="M1635" s="88"/>
      <c r="N1635" s="88"/>
      <c r="O1635" s="88"/>
      <c r="P1635" s="88"/>
      <c r="Q1635" s="88"/>
      <c r="R1635" s="88"/>
      <c r="S1635" s="88"/>
      <c r="T1635" s="88"/>
      <c r="U1635" s="88"/>
      <c r="V1635" s="88"/>
      <c r="W1635" s="88"/>
      <c r="X1635" s="88"/>
      <c r="Y1635" s="88"/>
      <c r="Z1635" s="88"/>
    </row>
    <row r="1636" spans="2:27" ht="23.25" x14ac:dyDescent="0.25">
      <c r="B1636" s="49"/>
      <c r="C1636" s="61" t="s">
        <v>495</v>
      </c>
      <c r="D1636" s="51">
        <f>P1633</f>
        <v>10</v>
      </c>
      <c r="E1636" s="62"/>
      <c r="F1636" s="50"/>
      <c r="G1636" s="48"/>
      <c r="H1636" s="87"/>
    </row>
    <row r="1637" spans="2:27" ht="22.5" x14ac:dyDescent="0.25">
      <c r="B1637" s="49"/>
      <c r="C1637" s="63" t="s">
        <v>496</v>
      </c>
      <c r="D1637" s="106">
        <f>Q1633</f>
        <v>1418.04</v>
      </c>
      <c r="E1637" s="309" t="s">
        <v>497</v>
      </c>
      <c r="F1637" s="310"/>
      <c r="G1637" s="313">
        <f>D1638/D1637</f>
        <v>11.062219683506813</v>
      </c>
      <c r="H1637" s="87"/>
    </row>
    <row r="1638" spans="2:27" ht="22.5" x14ac:dyDescent="0.25">
      <c r="B1638" s="49"/>
      <c r="C1638" s="63" t="s">
        <v>498</v>
      </c>
      <c r="D1638" s="52">
        <f>R1633</f>
        <v>15686.67</v>
      </c>
      <c r="E1638" s="311"/>
      <c r="F1638" s="312"/>
      <c r="G1638" s="314"/>
      <c r="H1638" s="87"/>
    </row>
    <row r="1639" spans="2:27" ht="23.25" x14ac:dyDescent="0.25">
      <c r="B1639" s="49"/>
      <c r="C1639" s="64"/>
      <c r="D1639" s="53"/>
      <c r="E1639" s="65"/>
      <c r="F1639" s="49"/>
      <c r="G1639" s="48"/>
      <c r="H1639" s="87"/>
    </row>
    <row r="1640" spans="2:27" ht="23.25" x14ac:dyDescent="0.25">
      <c r="B1640" s="49"/>
      <c r="C1640" s="82" t="s">
        <v>499</v>
      </c>
      <c r="D1640" s="96" t="str">
        <f>S1633</f>
        <v>8ЛП2ОС+Б</v>
      </c>
      <c r="E1640" s="49"/>
      <c r="F1640" s="49"/>
      <c r="G1640" s="48"/>
      <c r="H1640" s="87"/>
    </row>
    <row r="1641" spans="2:27" ht="23.25" x14ac:dyDescent="0.25">
      <c r="B1641" s="49"/>
      <c r="C1641" s="82" t="s">
        <v>500</v>
      </c>
      <c r="D1641" s="96">
        <f>U1633</f>
        <v>75</v>
      </c>
      <c r="E1641" s="49"/>
      <c r="F1641" s="49"/>
      <c r="G1641" s="48"/>
      <c r="H1641" s="87"/>
    </row>
    <row r="1642" spans="2:27" ht="23.25" x14ac:dyDescent="0.25">
      <c r="B1642" s="49"/>
      <c r="C1642" s="82" t="s">
        <v>501</v>
      </c>
      <c r="D1642" s="83" t="s">
        <v>502</v>
      </c>
      <c r="E1642" s="49"/>
      <c r="F1642" s="49"/>
      <c r="G1642" s="48"/>
      <c r="H1642" s="87"/>
    </row>
    <row r="1643" spans="2:27" ht="24" thickBot="1" x14ac:dyDescent="0.3">
      <c r="B1643" s="49"/>
      <c r="C1643" s="49"/>
      <c r="D1643" s="49"/>
      <c r="E1643" s="49"/>
      <c r="F1643" s="49"/>
      <c r="G1643" s="48"/>
      <c r="H1643" s="87"/>
    </row>
    <row r="1644" spans="2:27" ht="48" thickBot="1" x14ac:dyDescent="0.3">
      <c r="B1644" s="315" t="s">
        <v>436</v>
      </c>
      <c r="C1644" s="316"/>
      <c r="D1644" s="54" t="s">
        <v>503</v>
      </c>
      <c r="E1644" s="317" t="s">
        <v>504</v>
      </c>
      <c r="F1644" s="318"/>
      <c r="G1644" s="55" t="s">
        <v>505</v>
      </c>
      <c r="H1644" s="87"/>
    </row>
    <row r="1645" spans="2:27" ht="24" thickBot="1" x14ac:dyDescent="0.3">
      <c r="B1645" s="319" t="s">
        <v>506</v>
      </c>
      <c r="C1645" s="320"/>
      <c r="D1645" s="136">
        <v>197.93</v>
      </c>
      <c r="E1645" s="136">
        <f>D1636</f>
        <v>10</v>
      </c>
      <c r="F1645" s="77" t="s">
        <v>434</v>
      </c>
      <c r="G1645" s="142">
        <f t="shared" ref="G1645:G1652" si="78">D1645*E1645</f>
        <v>1979.3000000000002</v>
      </c>
      <c r="H1645" s="321"/>
    </row>
    <row r="1646" spans="2:27" ht="23.25" x14ac:dyDescent="0.25">
      <c r="B1646" s="322" t="s">
        <v>507</v>
      </c>
      <c r="C1646" s="323"/>
      <c r="D1646" s="137">
        <v>159.44</v>
      </c>
      <c r="E1646" s="137">
        <f>V1633</f>
        <v>2.2000000000000002</v>
      </c>
      <c r="F1646" s="78" t="s">
        <v>437</v>
      </c>
      <c r="G1646" s="143">
        <f t="shared" si="78"/>
        <v>350.76800000000003</v>
      </c>
      <c r="H1646" s="321"/>
    </row>
    <row r="1647" spans="2:27" ht="24" thickBot="1" x14ac:dyDescent="0.3">
      <c r="B1647" s="324" t="s">
        <v>508</v>
      </c>
      <c r="C1647" s="325"/>
      <c r="D1647" s="138">
        <v>276.62</v>
      </c>
      <c r="E1647" s="138">
        <f>V1633</f>
        <v>2.2000000000000002</v>
      </c>
      <c r="F1647" s="79" t="s">
        <v>437</v>
      </c>
      <c r="G1647" s="144">
        <f t="shared" si="78"/>
        <v>608.56400000000008</v>
      </c>
      <c r="H1647" s="321"/>
    </row>
    <row r="1648" spans="2:27" ht="24" thickBot="1" x14ac:dyDescent="0.3">
      <c r="B1648" s="326" t="s">
        <v>438</v>
      </c>
      <c r="C1648" s="327"/>
      <c r="D1648" s="139">
        <v>519</v>
      </c>
      <c r="E1648" s="139"/>
      <c r="F1648" s="80" t="s">
        <v>434</v>
      </c>
      <c r="G1648" s="145">
        <f t="shared" si="78"/>
        <v>0</v>
      </c>
      <c r="H1648" s="321"/>
    </row>
    <row r="1649" spans="2:8" ht="23.25" x14ac:dyDescent="0.25">
      <c r="B1649" s="322" t="s">
        <v>509</v>
      </c>
      <c r="C1649" s="323"/>
      <c r="D1649" s="137">
        <v>920</v>
      </c>
      <c r="E1649" s="137">
        <f>D1636*2</f>
        <v>20</v>
      </c>
      <c r="F1649" s="78" t="s">
        <v>434</v>
      </c>
      <c r="G1649" s="143">
        <f t="shared" si="78"/>
        <v>18400</v>
      </c>
      <c r="H1649" s="321"/>
    </row>
    <row r="1650" spans="2:8" ht="23.25" x14ac:dyDescent="0.25">
      <c r="B1650" s="328" t="s">
        <v>510</v>
      </c>
      <c r="C1650" s="329"/>
      <c r="D1650" s="140">
        <v>1300</v>
      </c>
      <c r="E1650" s="140">
        <v>10</v>
      </c>
      <c r="F1650" s="81" t="s">
        <v>434</v>
      </c>
      <c r="G1650" s="146">
        <f t="shared" si="78"/>
        <v>13000</v>
      </c>
      <c r="H1650" s="321"/>
    </row>
    <row r="1651" spans="2:8" ht="23.25" x14ac:dyDescent="0.25">
      <c r="B1651" s="328" t="s">
        <v>439</v>
      </c>
      <c r="C1651" s="329"/>
      <c r="D1651" s="141">
        <v>5165.12</v>
      </c>
      <c r="E1651" s="140"/>
      <c r="F1651" s="81" t="s">
        <v>434</v>
      </c>
      <c r="G1651" s="146">
        <f t="shared" si="78"/>
        <v>0</v>
      </c>
      <c r="H1651" s="321"/>
    </row>
    <row r="1652" spans="2:8" ht="23.25" x14ac:dyDescent="0.25">
      <c r="B1652" s="328" t="s">
        <v>511</v>
      </c>
      <c r="C1652" s="329"/>
      <c r="D1652" s="141">
        <v>917</v>
      </c>
      <c r="E1652" s="140"/>
      <c r="F1652" s="81" t="s">
        <v>434</v>
      </c>
      <c r="G1652" s="146">
        <f t="shared" si="78"/>
        <v>0</v>
      </c>
      <c r="H1652" s="321"/>
    </row>
    <row r="1653" spans="2:8" ht="23.25" x14ac:dyDescent="0.25">
      <c r="B1653" s="328" t="s">
        <v>441</v>
      </c>
      <c r="C1653" s="329"/>
      <c r="D1653" s="141">
        <v>461.56000000000006</v>
      </c>
      <c r="E1653" s="140"/>
      <c r="F1653" s="81" t="s">
        <v>434</v>
      </c>
      <c r="G1653" s="146">
        <f>D1653*E1653</f>
        <v>0</v>
      </c>
      <c r="H1653" s="321"/>
    </row>
    <row r="1654" spans="2:8" ht="24" thickBot="1" x14ac:dyDescent="0.3">
      <c r="B1654" s="324" t="s">
        <v>440</v>
      </c>
      <c r="C1654" s="325"/>
      <c r="D1654" s="138">
        <v>353.15</v>
      </c>
      <c r="E1654" s="140"/>
      <c r="F1654" s="79" t="s">
        <v>434</v>
      </c>
      <c r="G1654" s="147">
        <f>D1654*E1654</f>
        <v>0</v>
      </c>
      <c r="H1654" s="321"/>
    </row>
    <row r="1655" spans="2:8" ht="23.25" x14ac:dyDescent="0.25">
      <c r="B1655" s="49"/>
      <c r="C1655" s="66"/>
      <c r="D1655" s="66"/>
      <c r="E1655" s="56"/>
      <c r="F1655" s="56"/>
      <c r="G1655" s="48"/>
      <c r="H1655" s="92"/>
    </row>
    <row r="1656" spans="2:8" ht="25.5" x14ac:dyDescent="0.25">
      <c r="B1656" s="49"/>
      <c r="C1656" s="59" t="s">
        <v>512</v>
      </c>
      <c r="D1656" s="60"/>
      <c r="E1656" s="49"/>
      <c r="F1656" s="49"/>
      <c r="G1656" s="48"/>
      <c r="H1656" s="87"/>
    </row>
    <row r="1657" spans="2:8" ht="18.75" x14ac:dyDescent="0.25">
      <c r="B1657" s="49"/>
      <c r="C1657" s="306" t="s">
        <v>513</v>
      </c>
      <c r="D1657" s="107" t="s">
        <v>514</v>
      </c>
      <c r="E1657" s="68">
        <f>ROUND((G1645+D1638)/D1638,2)</f>
        <v>1.1299999999999999</v>
      </c>
      <c r="F1657" s="68"/>
      <c r="G1657" s="50"/>
      <c r="H1657" s="87"/>
    </row>
    <row r="1658" spans="2:8" ht="23.25" x14ac:dyDescent="0.25">
      <c r="B1658" s="49"/>
      <c r="C1658" s="306"/>
      <c r="D1658" s="107" t="s">
        <v>515</v>
      </c>
      <c r="E1658" s="68">
        <f>ROUND((G1646+G1647+D1638)/D1638,2)</f>
        <v>1.06</v>
      </c>
      <c r="F1658" s="68"/>
      <c r="G1658" s="57"/>
      <c r="H1658" s="93"/>
    </row>
    <row r="1659" spans="2:8" ht="23.25" x14ac:dyDescent="0.25">
      <c r="B1659" s="49"/>
      <c r="C1659" s="306"/>
      <c r="D1659" s="107" t="s">
        <v>516</v>
      </c>
      <c r="E1659" s="68">
        <f>ROUND((G1648+D1638)/D1638,2)</f>
        <v>1</v>
      </c>
      <c r="F1659" s="50"/>
      <c r="G1659" s="57"/>
      <c r="H1659" s="87"/>
    </row>
    <row r="1660" spans="2:8" ht="23.25" x14ac:dyDescent="0.25">
      <c r="B1660" s="49"/>
      <c r="C1660" s="306"/>
      <c r="D1660" s="69" t="s">
        <v>517</v>
      </c>
      <c r="E1660" s="70">
        <f>ROUND((SUM(G1649:G1654)+D1638)/D1638,2)</f>
        <v>3</v>
      </c>
      <c r="F1660" s="50"/>
      <c r="G1660" s="57"/>
      <c r="H1660" s="87"/>
    </row>
    <row r="1661" spans="2:8" ht="25.5" x14ac:dyDescent="0.25">
      <c r="B1661" s="49"/>
      <c r="C1661" s="49"/>
      <c r="D1661" s="71" t="s">
        <v>518</v>
      </c>
      <c r="E1661" s="72">
        <f>SUM(E1657:E1660)-IF(D1642="сплошная",3,2)</f>
        <v>3.1899999999999995</v>
      </c>
      <c r="F1661" s="73"/>
      <c r="G1661" s="48"/>
      <c r="H1661" s="87"/>
    </row>
    <row r="1662" spans="2:8" ht="23.25" x14ac:dyDescent="0.25">
      <c r="B1662" s="49"/>
      <c r="C1662" s="49"/>
      <c r="D1662" s="49"/>
      <c r="E1662" s="74"/>
      <c r="F1662" s="49"/>
      <c r="G1662" s="48"/>
      <c r="H1662" s="87"/>
    </row>
    <row r="1663" spans="2:8" ht="25.5" x14ac:dyDescent="0.35">
      <c r="B1663" s="58"/>
      <c r="C1663" s="75" t="s">
        <v>519</v>
      </c>
      <c r="D1663" s="307">
        <f>E1661*D1638</f>
        <v>50040.477299999991</v>
      </c>
      <c r="E1663" s="307"/>
      <c r="F1663" s="49"/>
      <c r="G1663" s="48"/>
      <c r="H1663" s="87"/>
    </row>
    <row r="1664" spans="2:8" ht="18.75" x14ac:dyDescent="0.3">
      <c r="B1664" s="49"/>
      <c r="C1664" s="76" t="s">
        <v>520</v>
      </c>
      <c r="D1664" s="308">
        <f>D1663/D1637</f>
        <v>35.288480790386728</v>
      </c>
      <c r="E1664" s="308"/>
      <c r="F1664" s="49"/>
      <c r="G1664" s="49"/>
      <c r="H1664" s="94"/>
    </row>
    <row r="1667" spans="2:27" ht="60.75" x14ac:dyDescent="0.8">
      <c r="B1667" s="330" t="str">
        <f>CONCATENATE("ЛОТ № ",K1670)</f>
        <v>ЛОТ № 46</v>
      </c>
      <c r="C1667" s="330"/>
      <c r="D1667" s="330"/>
      <c r="E1667" s="330"/>
      <c r="F1667" s="330"/>
      <c r="G1667" s="330"/>
      <c r="H1667" s="330"/>
    </row>
    <row r="1668" spans="2:27" ht="18.75" x14ac:dyDescent="0.25">
      <c r="B1668" s="331" t="s">
        <v>492</v>
      </c>
      <c r="C1668" s="331"/>
      <c r="D1668" s="331"/>
      <c r="E1668" s="331"/>
      <c r="F1668" s="331"/>
      <c r="G1668" s="331"/>
      <c r="H1668" s="87"/>
    </row>
    <row r="1669" spans="2:27" ht="25.5" x14ac:dyDescent="0.25">
      <c r="B1669" s="49"/>
      <c r="C1669" s="59" t="s">
        <v>493</v>
      </c>
      <c r="D1669" s="60"/>
      <c r="E1669" s="49"/>
      <c r="F1669" s="49"/>
      <c r="G1669" s="48"/>
      <c r="H1669" s="87"/>
      <c r="I1669" s="88"/>
      <c r="J1669" s="88"/>
      <c r="K1669" s="88"/>
      <c r="L1669" s="88" t="s">
        <v>454</v>
      </c>
      <c r="M1669" s="88" t="s">
        <v>444</v>
      </c>
      <c r="N1669" s="88" t="s">
        <v>445</v>
      </c>
      <c r="O1669" s="88" t="s">
        <v>453</v>
      </c>
      <c r="P1669" s="89" t="s">
        <v>446</v>
      </c>
      <c r="Q1669" s="88" t="s">
        <v>435</v>
      </c>
      <c r="R1669" s="40" t="s">
        <v>447</v>
      </c>
      <c r="S1669" s="40" t="s">
        <v>522</v>
      </c>
      <c r="T1669" s="88" t="s">
        <v>118</v>
      </c>
      <c r="U1669" s="88" t="s">
        <v>500</v>
      </c>
      <c r="V1669" s="88" t="s">
        <v>450</v>
      </c>
      <c r="W1669" s="40" t="s">
        <v>448</v>
      </c>
      <c r="X1669" s="40" t="s">
        <v>449</v>
      </c>
      <c r="Y1669" s="88" t="s">
        <v>523</v>
      </c>
      <c r="Z1669" s="88"/>
    </row>
    <row r="1670" spans="2:27" ht="19.5" x14ac:dyDescent="0.25">
      <c r="B1670" s="50"/>
      <c r="C1670" s="332" t="s">
        <v>494</v>
      </c>
      <c r="D1670" s="335" t="s">
        <v>521</v>
      </c>
      <c r="E1670" s="336"/>
      <c r="F1670" s="336"/>
      <c r="G1670" s="337"/>
      <c r="H1670" s="90"/>
      <c r="I1670" s="88" t="s">
        <v>443</v>
      </c>
      <c r="J1670" s="88"/>
      <c r="K1670" s="43">
        <f>IF(I1670="","",COUNTA(I$5:I1670))</f>
        <v>46</v>
      </c>
      <c r="L1670" s="95" t="str">
        <f>INDEX('Ведомость расчета мин. платы'!$B$10:$T$209,MATCH(ЛОТЫ!$K1670,'Ведомость расчета мин. платы'!$B$10:$B$209,0),2)</f>
        <v>Тумбинское</v>
      </c>
      <c r="M1670" s="95">
        <f>INDEX('Ведомость расчета мин. платы'!$B$10:$T$209,MATCH(ЛОТЫ!$K1670,'Ведомость расчета мин. платы'!$B$10:$B$209,0),3)</f>
        <v>4</v>
      </c>
      <c r="N1670" s="95">
        <f>INDEX('Ведомость расчета мин. платы'!$B$10:$T$209,MATCH(ЛОТЫ!$K1670,'Ведомость расчета мин. платы'!$B$10:$B$209,0),4)</f>
        <v>2</v>
      </c>
      <c r="O1670" s="95">
        <f>INDEX('Ведомость расчета мин. платы'!$B$10:$T$209,MATCH(ЛОТЫ!$K1670,'Ведомость расчета мин. платы'!$B$10:$B$209,0),5)</f>
        <v>3</v>
      </c>
      <c r="P1670" s="89">
        <f>IFERROR(INDEX(Коэффициенты!$G$4:$O$106,MATCH(CONCATENATE($L1670,"/",$M1670,"/",$N1670,"/",$O1670),Коэффициенты!$O$4:$O$106,0),1),"")</f>
        <v>4.3</v>
      </c>
      <c r="Q1670" s="40">
        <f>IFERROR(INDEX(Коэффициенты!$G$4:$O$106,MATCH(CONCATENATE($L1670,"/",$M1670,"/",$N1670,"/",$O1670),Коэффициенты!$O$4:$O$106,0),6),"")</f>
        <v>1049.58</v>
      </c>
      <c r="R1670" s="40">
        <f>IFERROR(INDEX(Коэффициенты!$G$4:$O$106,MATCH(CONCATENATE($L1670,"/",$M1670,"/",$N1670,"/",$O1670),Коэффициенты!$O$4:$O$106,0),2),"")</f>
        <v>10521.720000000001</v>
      </c>
      <c r="S1670" s="43" t="str">
        <f>IFERROR(INDEX('Такс. опис.'!$A$5:$BW$50,MATCH(CONCATENATE($L1670,"/",$M1670,"/",$N1670),'Такс. опис.'!$C$5:$C$50,0),26),"")</f>
        <v>9ОС1Б+ЛП</v>
      </c>
      <c r="T1670" s="43" t="str">
        <f>IFERROR(INDEX('Такс. опис.'!$A$5:$BW$50,MATCH(CONCATENATE($L1670,"/",$M1670,"/",$N1670),'Такс. опис.'!$C$5:$C$50,0),47),"")</f>
        <v>Осина</v>
      </c>
      <c r="U1670" s="43">
        <f>IFERROR(INDEX('Такс. опис.'!$A$5:$BW$50,MATCH(CONCATENATE($L1670,"/",$M1670,"/",$N1670),'Такс. опис.'!$C$5:$C$50,0),49),"")</f>
        <v>45</v>
      </c>
      <c r="V1670" s="103">
        <f>IFERROR(INDEX('Ведомость расчета мин. платы'!$AC$10:$AD$214,MATCH(CONCATENATE($L1670,"/",$M1670,"/",$N1670,"/",$O1670),'Ведомость расчета мин. платы'!$AC$10:$AC$214,0),2),"")</f>
        <v>0.67</v>
      </c>
      <c r="W1670" s="40">
        <f>E1698</f>
        <v>2.3900000000000006</v>
      </c>
      <c r="X1670" s="40">
        <f>D1700</f>
        <v>25146.910800000009</v>
      </c>
      <c r="Y1670" s="91">
        <f>D1701</f>
        <v>23.959022466129319</v>
      </c>
      <c r="Z1670" s="88"/>
      <c r="AA1670" s="86">
        <f t="shared" ref="AA1670" si="79">IF(M1670&gt;0,1,0)</f>
        <v>1</v>
      </c>
    </row>
    <row r="1671" spans="2:27" ht="19.5" x14ac:dyDescent="0.25">
      <c r="B1671" s="50"/>
      <c r="C1671" s="333"/>
      <c r="D1671" s="338" t="str">
        <f>CONCATENATE(L1670, " участковое лесничество")</f>
        <v>Тумбинское участковое лесничество</v>
      </c>
      <c r="E1671" s="338"/>
      <c r="F1671" s="338"/>
      <c r="G1671" s="338"/>
      <c r="H1671" s="90"/>
      <c r="I1671" s="88"/>
      <c r="J1671" s="88">
        <f>IFERROR(IF(ISBLANK(K1670),"",K1670),"")</f>
        <v>46</v>
      </c>
      <c r="K1671" s="88"/>
      <c r="L1671" s="88"/>
      <c r="M1671" s="88"/>
      <c r="N1671" s="88"/>
      <c r="O1671" s="88"/>
      <c r="P1671" s="88"/>
      <c r="Q1671" s="88"/>
      <c r="R1671" s="88"/>
      <c r="S1671" s="88"/>
      <c r="T1671" s="88"/>
      <c r="U1671" s="88"/>
      <c r="V1671" s="88"/>
      <c r="W1671" s="88"/>
      <c r="X1671" s="88"/>
      <c r="Y1671" s="88"/>
      <c r="Z1671" s="88"/>
    </row>
    <row r="1672" spans="2:27" ht="19.5" x14ac:dyDescent="0.25">
      <c r="B1672" s="50"/>
      <c r="C1672" s="334"/>
      <c r="D1672" s="338" t="str">
        <f>CONCATENATE("кв. ",M1670," ","выд."," ",N1670," ","делянка", " ",O1670)</f>
        <v>кв. 4 выд. 2 делянка 3</v>
      </c>
      <c r="E1672" s="338"/>
      <c r="F1672" s="338"/>
      <c r="G1672" s="338"/>
      <c r="H1672" s="90"/>
      <c r="I1672" s="88"/>
      <c r="J1672" s="88"/>
      <c r="K1672" s="88"/>
      <c r="L1672" s="88"/>
      <c r="M1672" s="88"/>
      <c r="N1672" s="88"/>
      <c r="O1672" s="88"/>
      <c r="P1672" s="88"/>
      <c r="Q1672" s="88"/>
      <c r="R1672" s="88"/>
      <c r="S1672" s="88"/>
      <c r="T1672" s="88"/>
      <c r="U1672" s="88"/>
      <c r="V1672" s="88"/>
      <c r="W1672" s="88"/>
      <c r="X1672" s="88"/>
      <c r="Y1672" s="88"/>
      <c r="Z1672" s="88"/>
    </row>
    <row r="1673" spans="2:27" ht="23.25" x14ac:dyDescent="0.25">
      <c r="B1673" s="49"/>
      <c r="C1673" s="61" t="s">
        <v>495</v>
      </c>
      <c r="D1673" s="51">
        <f>P1670</f>
        <v>4.3</v>
      </c>
      <c r="E1673" s="62"/>
      <c r="F1673" s="50"/>
      <c r="G1673" s="48"/>
      <c r="H1673" s="87"/>
    </row>
    <row r="1674" spans="2:27" ht="22.5" x14ac:dyDescent="0.25">
      <c r="B1674" s="49"/>
      <c r="C1674" s="63" t="s">
        <v>496</v>
      </c>
      <c r="D1674" s="106">
        <f>Q1670</f>
        <v>1049.58</v>
      </c>
      <c r="E1674" s="309" t="s">
        <v>497</v>
      </c>
      <c r="F1674" s="310"/>
      <c r="G1674" s="313">
        <f>D1675/D1674</f>
        <v>10.024695592522725</v>
      </c>
      <c r="H1674" s="87"/>
    </row>
    <row r="1675" spans="2:27" ht="22.5" x14ac:dyDescent="0.25">
      <c r="B1675" s="49"/>
      <c r="C1675" s="63" t="s">
        <v>498</v>
      </c>
      <c r="D1675" s="52">
        <f>R1670</f>
        <v>10521.720000000001</v>
      </c>
      <c r="E1675" s="311"/>
      <c r="F1675" s="312"/>
      <c r="G1675" s="314"/>
      <c r="H1675" s="87"/>
    </row>
    <row r="1676" spans="2:27" ht="23.25" x14ac:dyDescent="0.25">
      <c r="B1676" s="49"/>
      <c r="C1676" s="64"/>
      <c r="D1676" s="53"/>
      <c r="E1676" s="65"/>
      <c r="F1676" s="49"/>
      <c r="G1676" s="48"/>
      <c r="H1676" s="87"/>
    </row>
    <row r="1677" spans="2:27" ht="23.25" x14ac:dyDescent="0.25">
      <c r="B1677" s="49"/>
      <c r="C1677" s="82" t="s">
        <v>499</v>
      </c>
      <c r="D1677" s="96" t="str">
        <f>S1670</f>
        <v>9ОС1Б+ЛП</v>
      </c>
      <c r="E1677" s="49"/>
      <c r="F1677" s="49"/>
      <c r="G1677" s="48"/>
      <c r="H1677" s="87"/>
    </row>
    <row r="1678" spans="2:27" ht="23.25" x14ac:dyDescent="0.25">
      <c r="B1678" s="49"/>
      <c r="C1678" s="82" t="s">
        <v>500</v>
      </c>
      <c r="D1678" s="96">
        <f>U1670</f>
        <v>45</v>
      </c>
      <c r="E1678" s="49"/>
      <c r="F1678" s="49"/>
      <c r="G1678" s="48"/>
      <c r="H1678" s="87"/>
    </row>
    <row r="1679" spans="2:27" ht="23.25" x14ac:dyDescent="0.25">
      <c r="B1679" s="49"/>
      <c r="C1679" s="82" t="s">
        <v>501</v>
      </c>
      <c r="D1679" s="83" t="s">
        <v>502</v>
      </c>
      <c r="E1679" s="49"/>
      <c r="F1679" s="49"/>
      <c r="G1679" s="48"/>
      <c r="H1679" s="87"/>
    </row>
    <row r="1680" spans="2:27" ht="24" thickBot="1" x14ac:dyDescent="0.3">
      <c r="B1680" s="49"/>
      <c r="C1680" s="49"/>
      <c r="D1680" s="49"/>
      <c r="E1680" s="49"/>
      <c r="F1680" s="49"/>
      <c r="G1680" s="48"/>
      <c r="H1680" s="87"/>
    </row>
    <row r="1681" spans="2:8" ht="48" thickBot="1" x14ac:dyDescent="0.3">
      <c r="B1681" s="315" t="s">
        <v>436</v>
      </c>
      <c r="C1681" s="316"/>
      <c r="D1681" s="54" t="s">
        <v>503</v>
      </c>
      <c r="E1681" s="317" t="s">
        <v>504</v>
      </c>
      <c r="F1681" s="318"/>
      <c r="G1681" s="55" t="s">
        <v>505</v>
      </c>
      <c r="H1681" s="87"/>
    </row>
    <row r="1682" spans="2:8" ht="24" thickBot="1" x14ac:dyDescent="0.3">
      <c r="B1682" s="319" t="s">
        <v>506</v>
      </c>
      <c r="C1682" s="320"/>
      <c r="D1682" s="136">
        <v>197.93</v>
      </c>
      <c r="E1682" s="136">
        <f>D1673</f>
        <v>4.3</v>
      </c>
      <c r="F1682" s="77" t="s">
        <v>434</v>
      </c>
      <c r="G1682" s="142">
        <f t="shared" ref="G1682:G1689" si="80">D1682*E1682</f>
        <v>851.09900000000005</v>
      </c>
      <c r="H1682" s="321"/>
    </row>
    <row r="1683" spans="2:8" ht="23.25" x14ac:dyDescent="0.25">
      <c r="B1683" s="322" t="s">
        <v>507</v>
      </c>
      <c r="C1683" s="323"/>
      <c r="D1683" s="137">
        <v>159.44</v>
      </c>
      <c r="E1683" s="137">
        <f>V1670</f>
        <v>0.67</v>
      </c>
      <c r="F1683" s="78" t="s">
        <v>437</v>
      </c>
      <c r="G1683" s="143">
        <f t="shared" si="80"/>
        <v>106.82480000000001</v>
      </c>
      <c r="H1683" s="321"/>
    </row>
    <row r="1684" spans="2:8" ht="24" thickBot="1" x14ac:dyDescent="0.3">
      <c r="B1684" s="324" t="s">
        <v>508</v>
      </c>
      <c r="C1684" s="325"/>
      <c r="D1684" s="138">
        <v>276.62</v>
      </c>
      <c r="E1684" s="138">
        <f>V1670</f>
        <v>0.67</v>
      </c>
      <c r="F1684" s="79" t="s">
        <v>437</v>
      </c>
      <c r="G1684" s="144">
        <f t="shared" si="80"/>
        <v>185.33540000000002</v>
      </c>
      <c r="H1684" s="321"/>
    </row>
    <row r="1685" spans="2:8" ht="24" thickBot="1" x14ac:dyDescent="0.3">
      <c r="B1685" s="326" t="s">
        <v>438</v>
      </c>
      <c r="C1685" s="327"/>
      <c r="D1685" s="139">
        <v>519</v>
      </c>
      <c r="E1685" s="139"/>
      <c r="F1685" s="80" t="s">
        <v>434</v>
      </c>
      <c r="G1685" s="145">
        <f t="shared" si="80"/>
        <v>0</v>
      </c>
      <c r="H1685" s="321"/>
    </row>
    <row r="1686" spans="2:8" ht="23.25" x14ac:dyDescent="0.25">
      <c r="B1686" s="322" t="s">
        <v>509</v>
      </c>
      <c r="C1686" s="323"/>
      <c r="D1686" s="137">
        <v>920</v>
      </c>
      <c r="E1686" s="137">
        <f>D1673*2</f>
        <v>8.6</v>
      </c>
      <c r="F1686" s="78" t="s">
        <v>434</v>
      </c>
      <c r="G1686" s="143">
        <f t="shared" si="80"/>
        <v>7912</v>
      </c>
      <c r="H1686" s="321"/>
    </row>
    <row r="1687" spans="2:8" ht="23.25" x14ac:dyDescent="0.25">
      <c r="B1687" s="328" t="s">
        <v>510</v>
      </c>
      <c r="C1687" s="329"/>
      <c r="D1687" s="140">
        <v>1300</v>
      </c>
      <c r="E1687" s="140">
        <f>IF(T1670="Осина",D1673,"0")</f>
        <v>4.3</v>
      </c>
      <c r="F1687" s="81" t="s">
        <v>434</v>
      </c>
      <c r="G1687" s="146">
        <f t="shared" si="80"/>
        <v>5590</v>
      </c>
      <c r="H1687" s="321"/>
    </row>
    <row r="1688" spans="2:8" ht="23.25" x14ac:dyDescent="0.25">
      <c r="B1688" s="328" t="s">
        <v>439</v>
      </c>
      <c r="C1688" s="329"/>
      <c r="D1688" s="141">
        <v>5165.12</v>
      </c>
      <c r="E1688" s="140" t="str">
        <f>IF(T1670="Осина","0",D1673)</f>
        <v>0</v>
      </c>
      <c r="F1688" s="81" t="s">
        <v>434</v>
      </c>
      <c r="G1688" s="146">
        <f t="shared" si="80"/>
        <v>0</v>
      </c>
      <c r="H1688" s="321"/>
    </row>
    <row r="1689" spans="2:8" ht="23.25" x14ac:dyDescent="0.25">
      <c r="B1689" s="328" t="s">
        <v>511</v>
      </c>
      <c r="C1689" s="329"/>
      <c r="D1689" s="141">
        <v>917</v>
      </c>
      <c r="E1689" s="140" t="str">
        <f>IF(T1670="Осина","0",D1673)</f>
        <v>0</v>
      </c>
      <c r="F1689" s="81" t="s">
        <v>434</v>
      </c>
      <c r="G1689" s="146">
        <f t="shared" si="80"/>
        <v>0</v>
      </c>
      <c r="H1689" s="321"/>
    </row>
    <row r="1690" spans="2:8" ht="23.25" x14ac:dyDescent="0.25">
      <c r="B1690" s="328" t="s">
        <v>441</v>
      </c>
      <c r="C1690" s="329"/>
      <c r="D1690" s="141">
        <v>461.56000000000006</v>
      </c>
      <c r="E1690" s="140" t="str">
        <f>IF(T1670="Осина","0",D1673)</f>
        <v>0</v>
      </c>
      <c r="F1690" s="81" t="s">
        <v>434</v>
      </c>
      <c r="G1690" s="146">
        <f>D1690*E1690</f>
        <v>0</v>
      </c>
      <c r="H1690" s="321"/>
    </row>
    <row r="1691" spans="2:8" ht="24" thickBot="1" x14ac:dyDescent="0.3">
      <c r="B1691" s="324" t="s">
        <v>440</v>
      </c>
      <c r="C1691" s="325"/>
      <c r="D1691" s="138">
        <v>353.15</v>
      </c>
      <c r="E1691" s="140" t="str">
        <f>IF(T1670="Осина","0",D1673*4)</f>
        <v>0</v>
      </c>
      <c r="F1691" s="79" t="s">
        <v>434</v>
      </c>
      <c r="G1691" s="147">
        <f>D1691*E1691</f>
        <v>0</v>
      </c>
      <c r="H1691" s="321"/>
    </row>
    <row r="1692" spans="2:8" ht="23.25" x14ac:dyDescent="0.25">
      <c r="B1692" s="49"/>
      <c r="C1692" s="66"/>
      <c r="D1692" s="66"/>
      <c r="E1692" s="56"/>
      <c r="F1692" s="56"/>
      <c r="G1692" s="48"/>
      <c r="H1692" s="92"/>
    </row>
    <row r="1693" spans="2:8" ht="25.5" x14ac:dyDescent="0.25">
      <c r="B1693" s="49"/>
      <c r="C1693" s="59" t="s">
        <v>512</v>
      </c>
      <c r="D1693" s="60"/>
      <c r="E1693" s="49"/>
      <c r="F1693" s="49"/>
      <c r="G1693" s="48"/>
      <c r="H1693" s="87"/>
    </row>
    <row r="1694" spans="2:8" ht="18.75" x14ac:dyDescent="0.25">
      <c r="B1694" s="49"/>
      <c r="C1694" s="306" t="s">
        <v>513</v>
      </c>
      <c r="D1694" s="107" t="s">
        <v>514</v>
      </c>
      <c r="E1694" s="68">
        <f>ROUND((G1682+D1675)/D1675,2)</f>
        <v>1.08</v>
      </c>
      <c r="F1694" s="68"/>
      <c r="G1694" s="50"/>
      <c r="H1694" s="87"/>
    </row>
    <row r="1695" spans="2:8" ht="23.25" x14ac:dyDescent="0.25">
      <c r="B1695" s="49"/>
      <c r="C1695" s="306"/>
      <c r="D1695" s="107" t="s">
        <v>515</v>
      </c>
      <c r="E1695" s="68">
        <f>ROUND((G1683+G1684+D1675)/D1675,2)</f>
        <v>1.03</v>
      </c>
      <c r="F1695" s="68"/>
      <c r="G1695" s="57"/>
      <c r="H1695" s="93"/>
    </row>
    <row r="1696" spans="2:8" ht="23.25" x14ac:dyDescent="0.25">
      <c r="B1696" s="49"/>
      <c r="C1696" s="306"/>
      <c r="D1696" s="107" t="s">
        <v>516</v>
      </c>
      <c r="E1696" s="68">
        <f>ROUND((G1685+D1675)/D1675,2)</f>
        <v>1</v>
      </c>
      <c r="F1696" s="50"/>
      <c r="G1696" s="57"/>
      <c r="H1696" s="87"/>
    </row>
    <row r="1697" spans="2:27" ht="23.25" x14ac:dyDescent="0.25">
      <c r="B1697" s="49"/>
      <c r="C1697" s="306"/>
      <c r="D1697" s="69" t="s">
        <v>517</v>
      </c>
      <c r="E1697" s="70">
        <f>ROUND((SUM(G1686:G1691)+D1675)/D1675,2)</f>
        <v>2.2799999999999998</v>
      </c>
      <c r="F1697" s="50"/>
      <c r="G1697" s="57"/>
      <c r="H1697" s="87"/>
    </row>
    <row r="1698" spans="2:27" ht="25.5" x14ac:dyDescent="0.25">
      <c r="B1698" s="49"/>
      <c r="C1698" s="49"/>
      <c r="D1698" s="71" t="s">
        <v>518</v>
      </c>
      <c r="E1698" s="72">
        <f>SUM(E1694:E1697)-IF(D1679="сплошная",3,2)</f>
        <v>2.3900000000000006</v>
      </c>
      <c r="F1698" s="73"/>
      <c r="G1698" s="48"/>
      <c r="H1698" s="87"/>
    </row>
    <row r="1699" spans="2:27" ht="23.25" x14ac:dyDescent="0.25">
      <c r="B1699" s="49"/>
      <c r="C1699" s="49"/>
      <c r="D1699" s="49"/>
      <c r="E1699" s="74"/>
      <c r="F1699" s="49"/>
      <c r="G1699" s="48"/>
      <c r="H1699" s="87"/>
    </row>
    <row r="1700" spans="2:27" ht="25.5" x14ac:dyDescent="0.35">
      <c r="B1700" s="58"/>
      <c r="C1700" s="75" t="s">
        <v>519</v>
      </c>
      <c r="D1700" s="307">
        <f>E1698*D1675</f>
        <v>25146.910800000009</v>
      </c>
      <c r="E1700" s="307"/>
      <c r="F1700" s="49"/>
      <c r="G1700" s="48"/>
      <c r="H1700" s="87"/>
    </row>
    <row r="1701" spans="2:27" ht="18.75" x14ac:dyDescent="0.3">
      <c r="B1701" s="49"/>
      <c r="C1701" s="76" t="s">
        <v>520</v>
      </c>
      <c r="D1701" s="308">
        <f>D1700/D1674</f>
        <v>23.959022466129319</v>
      </c>
      <c r="E1701" s="308"/>
      <c r="F1701" s="49"/>
      <c r="G1701" s="49"/>
      <c r="H1701" s="94"/>
    </row>
    <row r="1704" spans="2:27" ht="60.75" x14ac:dyDescent="0.8">
      <c r="B1704" s="330" t="str">
        <f>CONCATENATE("ЛОТ № ",K1707)</f>
        <v>ЛОТ № 47</v>
      </c>
      <c r="C1704" s="330"/>
      <c r="D1704" s="330"/>
      <c r="E1704" s="330"/>
      <c r="F1704" s="330"/>
      <c r="G1704" s="330"/>
      <c r="H1704" s="330"/>
    </row>
    <row r="1705" spans="2:27" ht="18.75" x14ac:dyDescent="0.25">
      <c r="B1705" s="331" t="s">
        <v>492</v>
      </c>
      <c r="C1705" s="331"/>
      <c r="D1705" s="331"/>
      <c r="E1705" s="331"/>
      <c r="F1705" s="331"/>
      <c r="G1705" s="331"/>
      <c r="H1705" s="87"/>
    </row>
    <row r="1706" spans="2:27" ht="25.5" x14ac:dyDescent="0.25">
      <c r="B1706" s="49"/>
      <c r="C1706" s="59" t="s">
        <v>493</v>
      </c>
      <c r="D1706" s="60"/>
      <c r="E1706" s="49"/>
      <c r="F1706" s="49"/>
      <c r="G1706" s="48"/>
      <c r="H1706" s="87"/>
      <c r="I1706" s="88"/>
      <c r="J1706" s="88"/>
      <c r="K1706" s="88"/>
      <c r="L1706" s="88" t="s">
        <v>454</v>
      </c>
      <c r="M1706" s="88" t="s">
        <v>444</v>
      </c>
      <c r="N1706" s="88" t="s">
        <v>445</v>
      </c>
      <c r="O1706" s="88" t="s">
        <v>453</v>
      </c>
      <c r="P1706" s="89" t="s">
        <v>446</v>
      </c>
      <c r="Q1706" s="88" t="s">
        <v>435</v>
      </c>
      <c r="R1706" s="40" t="s">
        <v>447</v>
      </c>
      <c r="S1706" s="40" t="s">
        <v>522</v>
      </c>
      <c r="T1706" s="88" t="s">
        <v>118</v>
      </c>
      <c r="U1706" s="88" t="s">
        <v>500</v>
      </c>
      <c r="V1706" s="88" t="s">
        <v>450</v>
      </c>
      <c r="W1706" s="40" t="s">
        <v>448</v>
      </c>
      <c r="X1706" s="40" t="s">
        <v>449</v>
      </c>
      <c r="Y1706" s="88" t="s">
        <v>523</v>
      </c>
      <c r="Z1706" s="88"/>
    </row>
    <row r="1707" spans="2:27" ht="19.5" x14ac:dyDescent="0.25">
      <c r="B1707" s="50"/>
      <c r="C1707" s="332" t="s">
        <v>494</v>
      </c>
      <c r="D1707" s="335" t="s">
        <v>521</v>
      </c>
      <c r="E1707" s="336"/>
      <c r="F1707" s="336"/>
      <c r="G1707" s="337"/>
      <c r="H1707" s="90"/>
      <c r="I1707" s="88" t="s">
        <v>443</v>
      </c>
      <c r="J1707" s="88"/>
      <c r="K1707" s="43">
        <f>IF(I1707="","",COUNTA(I$5:I1707))</f>
        <v>47</v>
      </c>
      <c r="L1707" s="95" t="str">
        <f>INDEX('Ведомость расчета мин. платы'!$B$10:$T$209,MATCH(ЛОТЫ!$K1707,'Ведомость расчета мин. платы'!$B$10:$B$209,0),2)</f>
        <v>Тумбинское</v>
      </c>
      <c r="M1707" s="95">
        <f>INDEX('Ведомость расчета мин. платы'!$B$10:$T$209,MATCH(ЛОТЫ!$K1707,'Ведомость расчета мин. платы'!$B$10:$B$209,0),3)</f>
        <v>54</v>
      </c>
      <c r="N1707" s="95">
        <f>INDEX('Ведомость расчета мин. платы'!$B$10:$T$209,MATCH(ЛОТЫ!$K1707,'Ведомость расчета мин. платы'!$B$10:$B$209,0),4)</f>
        <v>9</v>
      </c>
      <c r="O1707" s="95">
        <f>INDEX('Ведомость расчета мин. платы'!$B$10:$T$209,MATCH(ЛОТЫ!$K1707,'Ведомость расчета мин. платы'!$B$10:$B$209,0),5)</f>
        <v>1</v>
      </c>
      <c r="P1707" s="89">
        <f>IFERROR(INDEX(Коэффициенты!$G$4:$O$106,MATCH(CONCATENATE($L1707,"/",$M1707,"/",$N1707,"/",$O1707),Коэффициенты!$O$4:$O$106,0),1),"")</f>
        <v>7.7</v>
      </c>
      <c r="Q1707" s="40">
        <f>IFERROR(INDEX(Коэффициенты!$G$4:$O$106,MATCH(CONCATENATE($L1707,"/",$M1707,"/",$N1707,"/",$O1707),Коэффициенты!$O$4:$O$106,0),6),"")</f>
        <v>1212.68</v>
      </c>
      <c r="R1707" s="40">
        <f>IFERROR(INDEX(Коэффициенты!$G$4:$O$106,MATCH(CONCATENATE($L1707,"/",$M1707,"/",$N1707,"/",$O1707),Коэффициенты!$O$4:$O$106,0),2),"")</f>
        <v>12233.7</v>
      </c>
      <c r="S1707" s="43" t="str">
        <f>IFERROR(INDEX('Такс. опис.'!$A$5:$BW$50,MATCH(CONCATENATE($L1707,"/",$M1707,"/",$N1707),'Такс. опис.'!$C$5:$C$50,0),26),"")</f>
        <v>5ОС2Б2ЛП1С</v>
      </c>
      <c r="T1707" s="43" t="str">
        <f>IFERROR(INDEX('Такс. опис.'!$A$5:$BW$50,MATCH(CONCATENATE($L1707,"/",$M1707,"/",$N1707),'Такс. опис.'!$C$5:$C$50,0),47),"")</f>
        <v>Осина</v>
      </c>
      <c r="U1707" s="43">
        <f>IFERROR(INDEX('Такс. опис.'!$A$5:$BW$50,MATCH(CONCATENATE($L1707,"/",$M1707,"/",$N1707),'Такс. опис.'!$C$5:$C$50,0),49),"")</f>
        <v>45</v>
      </c>
      <c r="V1707" s="103">
        <f>IFERROR(INDEX('Ведомость расчета мин. платы'!$AC$10:$AD$214,MATCH(CONCATENATE($L1707,"/",$M1707,"/",$N1707,"/",$O1707),'Ведомость расчета мин. платы'!$AC$10:$AC$214,0),2),"")</f>
        <v>1.74</v>
      </c>
      <c r="W1707" s="40">
        <f>E1735</f>
        <v>3.16</v>
      </c>
      <c r="X1707" s="40">
        <f>D1737</f>
        <v>38658.492000000006</v>
      </c>
      <c r="Y1707" s="91">
        <f>D1738</f>
        <v>31.878559883893526</v>
      </c>
      <c r="Z1707" s="88"/>
      <c r="AA1707" s="86">
        <f t="shared" ref="AA1707" si="81">IF(M1707&gt;0,1,0)</f>
        <v>1</v>
      </c>
    </row>
    <row r="1708" spans="2:27" ht="19.5" x14ac:dyDescent="0.25">
      <c r="B1708" s="50"/>
      <c r="C1708" s="333"/>
      <c r="D1708" s="338" t="str">
        <f>CONCATENATE(L1707, " участковое лесничество")</f>
        <v>Тумбинское участковое лесничество</v>
      </c>
      <c r="E1708" s="338"/>
      <c r="F1708" s="338"/>
      <c r="G1708" s="338"/>
      <c r="H1708" s="90"/>
      <c r="I1708" s="88"/>
      <c r="J1708" s="88">
        <f>IFERROR(IF(ISBLANK(K1707),"",K1707),"")</f>
        <v>47</v>
      </c>
      <c r="K1708" s="88"/>
      <c r="L1708" s="88"/>
      <c r="M1708" s="88"/>
      <c r="N1708" s="88"/>
      <c r="O1708" s="88"/>
      <c r="P1708" s="88"/>
      <c r="Q1708" s="88"/>
      <c r="R1708" s="88"/>
      <c r="S1708" s="88"/>
      <c r="T1708" s="88"/>
      <c r="U1708" s="88"/>
      <c r="V1708" s="88"/>
      <c r="W1708" s="88"/>
      <c r="X1708" s="88"/>
      <c r="Y1708" s="88"/>
      <c r="Z1708" s="88"/>
    </row>
    <row r="1709" spans="2:27" ht="19.5" x14ac:dyDescent="0.25">
      <c r="B1709" s="50"/>
      <c r="C1709" s="334"/>
      <c r="D1709" s="338" t="str">
        <f>CONCATENATE("кв. ",M1707," ","выд."," ",N1707," ","делянка", " ",O1707)</f>
        <v>кв. 54 выд. 9 делянка 1</v>
      </c>
      <c r="E1709" s="338"/>
      <c r="F1709" s="338"/>
      <c r="G1709" s="338"/>
      <c r="H1709" s="90"/>
      <c r="I1709" s="88"/>
      <c r="J1709" s="88"/>
      <c r="K1709" s="88"/>
      <c r="L1709" s="88"/>
      <c r="M1709" s="88"/>
      <c r="N1709" s="88"/>
      <c r="O1709" s="88"/>
      <c r="P1709" s="88"/>
      <c r="Q1709" s="88"/>
      <c r="R1709" s="88"/>
      <c r="S1709" s="88"/>
      <c r="T1709" s="88"/>
      <c r="U1709" s="88"/>
      <c r="V1709" s="88"/>
      <c r="W1709" s="88"/>
      <c r="X1709" s="88"/>
      <c r="Y1709" s="88"/>
      <c r="Z1709" s="88"/>
    </row>
    <row r="1710" spans="2:27" ht="23.25" x14ac:dyDescent="0.25">
      <c r="B1710" s="49"/>
      <c r="C1710" s="61" t="s">
        <v>495</v>
      </c>
      <c r="D1710" s="51">
        <f>P1707</f>
        <v>7.7</v>
      </c>
      <c r="E1710" s="62"/>
      <c r="F1710" s="50"/>
      <c r="G1710" s="48"/>
      <c r="H1710" s="87"/>
    </row>
    <row r="1711" spans="2:27" ht="22.5" x14ac:dyDescent="0.25">
      <c r="B1711" s="49"/>
      <c r="C1711" s="63" t="s">
        <v>496</v>
      </c>
      <c r="D1711" s="106">
        <f>Q1707</f>
        <v>1212.68</v>
      </c>
      <c r="E1711" s="309" t="s">
        <v>497</v>
      </c>
      <c r="F1711" s="310"/>
      <c r="G1711" s="313">
        <f>D1712/D1711</f>
        <v>10.088151861991621</v>
      </c>
      <c r="H1711" s="87"/>
    </row>
    <row r="1712" spans="2:27" ht="22.5" x14ac:dyDescent="0.25">
      <c r="B1712" s="49"/>
      <c r="C1712" s="63" t="s">
        <v>498</v>
      </c>
      <c r="D1712" s="52">
        <f>R1707</f>
        <v>12233.7</v>
      </c>
      <c r="E1712" s="311"/>
      <c r="F1712" s="312"/>
      <c r="G1712" s="314"/>
      <c r="H1712" s="87"/>
    </row>
    <row r="1713" spans="2:8" ht="23.25" x14ac:dyDescent="0.25">
      <c r="B1713" s="49"/>
      <c r="C1713" s="64"/>
      <c r="D1713" s="53"/>
      <c r="E1713" s="65"/>
      <c r="F1713" s="49"/>
      <c r="G1713" s="48"/>
      <c r="H1713" s="87"/>
    </row>
    <row r="1714" spans="2:8" ht="23.25" x14ac:dyDescent="0.25">
      <c r="B1714" s="49"/>
      <c r="C1714" s="82" t="s">
        <v>499</v>
      </c>
      <c r="D1714" s="96" t="str">
        <f>S1707</f>
        <v>5ОС2Б2ЛП1С</v>
      </c>
      <c r="E1714" s="49"/>
      <c r="F1714" s="49"/>
      <c r="G1714" s="48"/>
      <c r="H1714" s="87"/>
    </row>
    <row r="1715" spans="2:8" ht="23.25" x14ac:dyDescent="0.25">
      <c r="B1715" s="49"/>
      <c r="C1715" s="82" t="s">
        <v>500</v>
      </c>
      <c r="D1715" s="96">
        <f>U1707</f>
        <v>45</v>
      </c>
      <c r="E1715" s="49"/>
      <c r="F1715" s="49"/>
      <c r="G1715" s="48"/>
      <c r="H1715" s="87"/>
    </row>
    <row r="1716" spans="2:8" ht="23.25" x14ac:dyDescent="0.25">
      <c r="B1716" s="49"/>
      <c r="C1716" s="82" t="s">
        <v>501</v>
      </c>
      <c r="D1716" s="83" t="s">
        <v>502</v>
      </c>
      <c r="E1716" s="49"/>
      <c r="F1716" s="49"/>
      <c r="G1716" s="48"/>
      <c r="H1716" s="87"/>
    </row>
    <row r="1717" spans="2:8" ht="24" thickBot="1" x14ac:dyDescent="0.3">
      <c r="B1717" s="49"/>
      <c r="C1717" s="49"/>
      <c r="D1717" s="49"/>
      <c r="E1717" s="49"/>
      <c r="F1717" s="49"/>
      <c r="G1717" s="48"/>
      <c r="H1717" s="87"/>
    </row>
    <row r="1718" spans="2:8" ht="48" thickBot="1" x14ac:dyDescent="0.3">
      <c r="B1718" s="315" t="s">
        <v>436</v>
      </c>
      <c r="C1718" s="316"/>
      <c r="D1718" s="54" t="s">
        <v>503</v>
      </c>
      <c r="E1718" s="317" t="s">
        <v>504</v>
      </c>
      <c r="F1718" s="318"/>
      <c r="G1718" s="55" t="s">
        <v>505</v>
      </c>
      <c r="H1718" s="87"/>
    </row>
    <row r="1719" spans="2:8" ht="24" thickBot="1" x14ac:dyDescent="0.3">
      <c r="B1719" s="319" t="s">
        <v>506</v>
      </c>
      <c r="C1719" s="320"/>
      <c r="D1719" s="136">
        <v>197.93</v>
      </c>
      <c r="E1719" s="136">
        <f>D1710</f>
        <v>7.7</v>
      </c>
      <c r="F1719" s="77" t="s">
        <v>434</v>
      </c>
      <c r="G1719" s="142">
        <f t="shared" ref="G1719:G1726" si="82">D1719*E1719</f>
        <v>1524.0610000000001</v>
      </c>
      <c r="H1719" s="321"/>
    </row>
    <row r="1720" spans="2:8" ht="23.25" x14ac:dyDescent="0.25">
      <c r="B1720" s="322" t="s">
        <v>507</v>
      </c>
      <c r="C1720" s="323"/>
      <c r="D1720" s="137">
        <v>159.44</v>
      </c>
      <c r="E1720" s="137">
        <f>V1707</f>
        <v>1.74</v>
      </c>
      <c r="F1720" s="78" t="s">
        <v>437</v>
      </c>
      <c r="G1720" s="143">
        <f t="shared" si="82"/>
        <v>277.42559999999997</v>
      </c>
      <c r="H1720" s="321"/>
    </row>
    <row r="1721" spans="2:8" ht="24" thickBot="1" x14ac:dyDescent="0.3">
      <c r="B1721" s="324" t="s">
        <v>508</v>
      </c>
      <c r="C1721" s="325"/>
      <c r="D1721" s="138">
        <v>276.62</v>
      </c>
      <c r="E1721" s="138">
        <f>V1707</f>
        <v>1.74</v>
      </c>
      <c r="F1721" s="79" t="s">
        <v>437</v>
      </c>
      <c r="G1721" s="144">
        <f t="shared" si="82"/>
        <v>481.31880000000001</v>
      </c>
      <c r="H1721" s="321"/>
    </row>
    <row r="1722" spans="2:8" ht="24" thickBot="1" x14ac:dyDescent="0.3">
      <c r="B1722" s="326" t="s">
        <v>438</v>
      </c>
      <c r="C1722" s="327"/>
      <c r="D1722" s="139">
        <v>519</v>
      </c>
      <c r="E1722" s="139"/>
      <c r="F1722" s="80" t="s">
        <v>434</v>
      </c>
      <c r="G1722" s="145">
        <f t="shared" si="82"/>
        <v>0</v>
      </c>
      <c r="H1722" s="321"/>
    </row>
    <row r="1723" spans="2:8" ht="23.25" x14ac:dyDescent="0.25">
      <c r="B1723" s="322" t="s">
        <v>509</v>
      </c>
      <c r="C1723" s="323"/>
      <c r="D1723" s="137">
        <v>920</v>
      </c>
      <c r="E1723" s="137">
        <f>D1710*2</f>
        <v>15.4</v>
      </c>
      <c r="F1723" s="78" t="s">
        <v>434</v>
      </c>
      <c r="G1723" s="143">
        <f t="shared" si="82"/>
        <v>14168</v>
      </c>
      <c r="H1723" s="321"/>
    </row>
    <row r="1724" spans="2:8" ht="23.25" x14ac:dyDescent="0.25">
      <c r="B1724" s="328" t="s">
        <v>510</v>
      </c>
      <c r="C1724" s="329"/>
      <c r="D1724" s="140">
        <v>1300</v>
      </c>
      <c r="E1724" s="140">
        <f>IF(T1707="Осина",D1710,"0")</f>
        <v>7.7</v>
      </c>
      <c r="F1724" s="81" t="s">
        <v>434</v>
      </c>
      <c r="G1724" s="146">
        <f t="shared" si="82"/>
        <v>10010</v>
      </c>
      <c r="H1724" s="321"/>
    </row>
    <row r="1725" spans="2:8" ht="23.25" x14ac:dyDescent="0.25">
      <c r="B1725" s="328" t="s">
        <v>439</v>
      </c>
      <c r="C1725" s="329"/>
      <c r="D1725" s="141">
        <v>5165.12</v>
      </c>
      <c r="E1725" s="140" t="str">
        <f>IF(T1707="Осина","0",D1710)</f>
        <v>0</v>
      </c>
      <c r="F1725" s="81" t="s">
        <v>434</v>
      </c>
      <c r="G1725" s="146">
        <f t="shared" si="82"/>
        <v>0</v>
      </c>
      <c r="H1725" s="321"/>
    </row>
    <row r="1726" spans="2:8" ht="23.25" x14ac:dyDescent="0.25">
      <c r="B1726" s="328" t="s">
        <v>511</v>
      </c>
      <c r="C1726" s="329"/>
      <c r="D1726" s="141">
        <v>917</v>
      </c>
      <c r="E1726" s="140" t="str">
        <f>IF(T1707="Осина","0",D1710)</f>
        <v>0</v>
      </c>
      <c r="F1726" s="81" t="s">
        <v>434</v>
      </c>
      <c r="G1726" s="146">
        <f t="shared" si="82"/>
        <v>0</v>
      </c>
      <c r="H1726" s="321"/>
    </row>
    <row r="1727" spans="2:8" ht="23.25" x14ac:dyDescent="0.25">
      <c r="B1727" s="328" t="s">
        <v>441</v>
      </c>
      <c r="C1727" s="329"/>
      <c r="D1727" s="141">
        <v>461.56000000000006</v>
      </c>
      <c r="E1727" s="140" t="str">
        <f>IF(T1707="Осина","0",D1710)</f>
        <v>0</v>
      </c>
      <c r="F1727" s="81" t="s">
        <v>434</v>
      </c>
      <c r="G1727" s="146">
        <f>D1727*E1727</f>
        <v>0</v>
      </c>
      <c r="H1727" s="321"/>
    </row>
    <row r="1728" spans="2:8" ht="24" thickBot="1" x14ac:dyDescent="0.3">
      <c r="B1728" s="324" t="s">
        <v>440</v>
      </c>
      <c r="C1728" s="325"/>
      <c r="D1728" s="138">
        <v>353.15</v>
      </c>
      <c r="E1728" s="140" t="str">
        <f>IF(T1707="Осина","0",D1710*4)</f>
        <v>0</v>
      </c>
      <c r="F1728" s="79" t="s">
        <v>434</v>
      </c>
      <c r="G1728" s="147">
        <f>D1728*E1728</f>
        <v>0</v>
      </c>
      <c r="H1728" s="321"/>
    </row>
    <row r="1729" spans="2:27" ht="23.25" x14ac:dyDescent="0.25">
      <c r="B1729" s="49"/>
      <c r="C1729" s="66"/>
      <c r="D1729" s="66"/>
      <c r="E1729" s="56"/>
      <c r="F1729" s="56"/>
      <c r="G1729" s="48"/>
      <c r="H1729" s="92"/>
    </row>
    <row r="1730" spans="2:27" ht="25.5" x14ac:dyDescent="0.25">
      <c r="B1730" s="49"/>
      <c r="C1730" s="59" t="s">
        <v>512</v>
      </c>
      <c r="D1730" s="60"/>
      <c r="E1730" s="49"/>
      <c r="F1730" s="49"/>
      <c r="G1730" s="48"/>
      <c r="H1730" s="87"/>
    </row>
    <row r="1731" spans="2:27" ht="18.75" x14ac:dyDescent="0.25">
      <c r="B1731" s="49"/>
      <c r="C1731" s="306" t="s">
        <v>513</v>
      </c>
      <c r="D1731" s="107" t="s">
        <v>514</v>
      </c>
      <c r="E1731" s="68">
        <f>ROUND((G1719+D1712)/D1712,2)</f>
        <v>1.1200000000000001</v>
      </c>
      <c r="F1731" s="68"/>
      <c r="G1731" s="50"/>
      <c r="H1731" s="87"/>
    </row>
    <row r="1732" spans="2:27" ht="23.25" x14ac:dyDescent="0.25">
      <c r="B1732" s="49"/>
      <c r="C1732" s="306"/>
      <c r="D1732" s="107" t="s">
        <v>515</v>
      </c>
      <c r="E1732" s="68">
        <f>ROUND((G1720+G1721+D1712)/D1712,2)</f>
        <v>1.06</v>
      </c>
      <c r="F1732" s="68"/>
      <c r="G1732" s="57"/>
      <c r="H1732" s="93"/>
    </row>
    <row r="1733" spans="2:27" ht="23.25" x14ac:dyDescent="0.25">
      <c r="B1733" s="49"/>
      <c r="C1733" s="306"/>
      <c r="D1733" s="107" t="s">
        <v>516</v>
      </c>
      <c r="E1733" s="68">
        <f>ROUND((G1722+D1712)/D1712,2)</f>
        <v>1</v>
      </c>
      <c r="F1733" s="50"/>
      <c r="G1733" s="57"/>
      <c r="H1733" s="87"/>
    </row>
    <row r="1734" spans="2:27" ht="23.25" x14ac:dyDescent="0.25">
      <c r="B1734" s="49"/>
      <c r="C1734" s="306"/>
      <c r="D1734" s="69" t="s">
        <v>517</v>
      </c>
      <c r="E1734" s="70">
        <f>ROUND((SUM(G1723:G1728)+D1712)/D1712,2)</f>
        <v>2.98</v>
      </c>
      <c r="F1734" s="50"/>
      <c r="G1734" s="57"/>
      <c r="H1734" s="87"/>
    </row>
    <row r="1735" spans="2:27" ht="25.5" x14ac:dyDescent="0.25">
      <c r="B1735" s="49"/>
      <c r="C1735" s="49"/>
      <c r="D1735" s="71" t="s">
        <v>518</v>
      </c>
      <c r="E1735" s="72">
        <f>SUM(E1731:E1734)-IF(D1716="сплошная",3,2)</f>
        <v>3.16</v>
      </c>
      <c r="F1735" s="73"/>
      <c r="G1735" s="48"/>
      <c r="H1735" s="87"/>
    </row>
    <row r="1736" spans="2:27" ht="23.25" x14ac:dyDescent="0.25">
      <c r="B1736" s="49"/>
      <c r="C1736" s="49"/>
      <c r="D1736" s="49"/>
      <c r="E1736" s="74"/>
      <c r="F1736" s="49"/>
      <c r="G1736" s="48"/>
      <c r="H1736" s="87"/>
    </row>
    <row r="1737" spans="2:27" ht="25.5" x14ac:dyDescent="0.35">
      <c r="B1737" s="58"/>
      <c r="C1737" s="75" t="s">
        <v>519</v>
      </c>
      <c r="D1737" s="307">
        <f>E1735*D1712</f>
        <v>38658.492000000006</v>
      </c>
      <c r="E1737" s="307"/>
      <c r="F1737" s="49"/>
      <c r="G1737" s="48"/>
      <c r="H1737" s="87"/>
    </row>
    <row r="1738" spans="2:27" ht="18.75" x14ac:dyDescent="0.3">
      <c r="B1738" s="49"/>
      <c r="C1738" s="76" t="s">
        <v>520</v>
      </c>
      <c r="D1738" s="308">
        <f>D1737/D1711</f>
        <v>31.878559883893526</v>
      </c>
      <c r="E1738" s="308"/>
      <c r="F1738" s="49"/>
      <c r="G1738" s="49"/>
      <c r="H1738" s="94"/>
    </row>
    <row r="1741" spans="2:27" ht="60.75" x14ac:dyDescent="0.8">
      <c r="B1741" s="330" t="str">
        <f>CONCATENATE("ЛОТ № ",K1744)</f>
        <v>ЛОТ № 48</v>
      </c>
      <c r="C1741" s="330"/>
      <c r="D1741" s="330"/>
      <c r="E1741" s="330"/>
      <c r="F1741" s="330"/>
      <c r="G1741" s="330"/>
      <c r="H1741" s="330"/>
    </row>
    <row r="1742" spans="2:27" ht="18.75" x14ac:dyDescent="0.25">
      <c r="B1742" s="331" t="s">
        <v>492</v>
      </c>
      <c r="C1742" s="331"/>
      <c r="D1742" s="331"/>
      <c r="E1742" s="331"/>
      <c r="F1742" s="331"/>
      <c r="G1742" s="331"/>
      <c r="H1742" s="87"/>
    </row>
    <row r="1743" spans="2:27" ht="25.5" x14ac:dyDescent="0.25">
      <c r="B1743" s="49"/>
      <c r="C1743" s="59" t="s">
        <v>493</v>
      </c>
      <c r="D1743" s="60"/>
      <c r="E1743" s="49"/>
      <c r="F1743" s="49"/>
      <c r="G1743" s="48"/>
      <c r="H1743" s="87"/>
      <c r="I1743" s="88"/>
      <c r="J1743" s="88"/>
      <c r="K1743" s="88"/>
      <c r="L1743" s="88" t="s">
        <v>454</v>
      </c>
      <c r="M1743" s="88" t="s">
        <v>444</v>
      </c>
      <c r="N1743" s="88" t="s">
        <v>445</v>
      </c>
      <c r="O1743" s="88" t="s">
        <v>453</v>
      </c>
      <c r="P1743" s="89" t="s">
        <v>446</v>
      </c>
      <c r="Q1743" s="88" t="s">
        <v>435</v>
      </c>
      <c r="R1743" s="40" t="s">
        <v>447</v>
      </c>
      <c r="S1743" s="40" t="s">
        <v>522</v>
      </c>
      <c r="T1743" s="88" t="s">
        <v>118</v>
      </c>
      <c r="U1743" s="88" t="s">
        <v>500</v>
      </c>
      <c r="V1743" s="88" t="s">
        <v>450</v>
      </c>
      <c r="W1743" s="40" t="s">
        <v>448</v>
      </c>
      <c r="X1743" s="40" t="s">
        <v>449</v>
      </c>
      <c r="Y1743" s="88" t="s">
        <v>523</v>
      </c>
      <c r="Z1743" s="88"/>
    </row>
    <row r="1744" spans="2:27" ht="19.5" x14ac:dyDescent="0.25">
      <c r="B1744" s="50"/>
      <c r="C1744" s="332" t="s">
        <v>494</v>
      </c>
      <c r="D1744" s="335" t="s">
        <v>521</v>
      </c>
      <c r="E1744" s="336"/>
      <c r="F1744" s="336"/>
      <c r="G1744" s="337"/>
      <c r="H1744" s="90"/>
      <c r="I1744" s="88" t="s">
        <v>443</v>
      </c>
      <c r="J1744" s="88"/>
      <c r="K1744" s="43">
        <f>IF(I1744="","",COUNTA(I$5:I1744))</f>
        <v>48</v>
      </c>
      <c r="L1744" s="95" t="str">
        <f>INDEX('Ведомость расчета мин. платы'!$B$10:$T$209,MATCH(ЛОТЫ!$K1744,'Ведомость расчета мин. платы'!$B$10:$B$209,0),2)</f>
        <v>Тумбинское</v>
      </c>
      <c r="M1744" s="95">
        <f>INDEX('Ведомость расчета мин. платы'!$B$10:$T$209,MATCH(ЛОТЫ!$K1744,'Ведомость расчета мин. платы'!$B$10:$B$209,0),3)</f>
        <v>54</v>
      </c>
      <c r="N1744" s="95">
        <f>INDEX('Ведомость расчета мин. платы'!$B$10:$T$209,MATCH(ЛОТЫ!$K1744,'Ведомость расчета мин. платы'!$B$10:$B$209,0),4)</f>
        <v>9</v>
      </c>
      <c r="O1744" s="95">
        <f>INDEX('Ведомость расчета мин. платы'!$B$10:$T$209,MATCH(ЛОТЫ!$K1744,'Ведомость расчета мин. платы'!$B$10:$B$209,0),5)</f>
        <v>2</v>
      </c>
      <c r="P1744" s="89">
        <f>IFERROR(INDEX(Коэффициенты!$G$4:$O$106,MATCH(CONCATENATE($L1744,"/",$M1744,"/",$N1744,"/",$O1744),Коэффициенты!$O$4:$O$106,0),1),"")</f>
        <v>6.5</v>
      </c>
      <c r="Q1744" s="40">
        <f>IFERROR(INDEX(Коэффициенты!$G$4:$O$106,MATCH(CONCATENATE($L1744,"/",$M1744,"/",$N1744,"/",$O1744),Коэффициенты!$O$4:$O$106,0),6),"")</f>
        <v>1163.0900000000001</v>
      </c>
      <c r="R1744" s="40">
        <f>IFERROR(INDEX(Коэффициенты!$G$4:$O$106,MATCH(CONCATENATE($L1744,"/",$M1744,"/",$N1744,"/",$O1744),Коэффициенты!$O$4:$O$106,0),2),"")</f>
        <v>12449.79</v>
      </c>
      <c r="S1744" s="43" t="str">
        <f>IFERROR(INDEX('Такс. опис.'!$A$5:$BW$50,MATCH(CONCATENATE($L1744,"/",$M1744,"/",$N1744),'Такс. опис.'!$C$5:$C$50,0),26),"")</f>
        <v>5ОС2Б2ЛП1С</v>
      </c>
      <c r="T1744" s="43" t="str">
        <f>IFERROR(INDEX('Такс. опис.'!$A$5:$BW$50,MATCH(CONCATENATE($L1744,"/",$M1744,"/",$N1744),'Такс. опис.'!$C$5:$C$50,0),47),"")</f>
        <v>Осина</v>
      </c>
      <c r="U1744" s="43">
        <f>IFERROR(INDEX('Такс. опис.'!$A$5:$BW$50,MATCH(CONCATENATE($L1744,"/",$M1744,"/",$N1744),'Такс. опис.'!$C$5:$C$50,0),49),"")</f>
        <v>45</v>
      </c>
      <c r="V1744" s="103">
        <f>IFERROR(INDEX('Ведомость расчета мин. платы'!$AC$10:$AD$214,MATCH(CONCATENATE($L1744,"/",$M1744,"/",$N1744,"/",$O1744),'Ведомость расчета мин. платы'!$AC$10:$AC$214,0),2),"")</f>
        <v>1.5</v>
      </c>
      <c r="W1744" s="40">
        <f>E1772</f>
        <v>2.7900000000000009</v>
      </c>
      <c r="X1744" s="40">
        <f>D1774</f>
        <v>34734.914100000016</v>
      </c>
      <c r="Y1744" s="91">
        <f>D1775</f>
        <v>29.864339045129793</v>
      </c>
      <c r="Z1744" s="88"/>
      <c r="AA1744" s="86">
        <f t="shared" ref="AA1744" si="83">IF(M1744&gt;0,1,0)</f>
        <v>1</v>
      </c>
    </row>
    <row r="1745" spans="2:26" ht="19.5" x14ac:dyDescent="0.25">
      <c r="B1745" s="50"/>
      <c r="C1745" s="333"/>
      <c r="D1745" s="338" t="str">
        <f>CONCATENATE(L1744, " участковое лесничество")</f>
        <v>Тумбинское участковое лесничество</v>
      </c>
      <c r="E1745" s="338"/>
      <c r="F1745" s="338"/>
      <c r="G1745" s="338"/>
      <c r="H1745" s="90"/>
      <c r="I1745" s="88"/>
      <c r="J1745" s="88">
        <f>IFERROR(IF(ISBLANK(K1744),"",K1744),"")</f>
        <v>48</v>
      </c>
      <c r="K1745" s="88"/>
      <c r="L1745" s="88"/>
      <c r="M1745" s="88"/>
      <c r="N1745" s="88"/>
      <c r="O1745" s="88"/>
      <c r="P1745" s="88"/>
      <c r="Q1745" s="88"/>
      <c r="R1745" s="88"/>
      <c r="S1745" s="88"/>
      <c r="T1745" s="88"/>
      <c r="U1745" s="88"/>
      <c r="V1745" s="88"/>
      <c r="W1745" s="88"/>
      <c r="X1745" s="88"/>
      <c r="Y1745" s="88"/>
      <c r="Z1745" s="88"/>
    </row>
    <row r="1746" spans="2:26" ht="19.5" x14ac:dyDescent="0.25">
      <c r="B1746" s="50"/>
      <c r="C1746" s="334"/>
      <c r="D1746" s="338" t="str">
        <f>CONCATENATE("кв. ",M1744," ","выд."," ",N1744," ","делянка", " ",O1744)</f>
        <v>кв. 54 выд. 9 делянка 2</v>
      </c>
      <c r="E1746" s="338"/>
      <c r="F1746" s="338"/>
      <c r="G1746" s="338"/>
      <c r="H1746" s="90"/>
      <c r="I1746" s="88"/>
      <c r="J1746" s="88"/>
      <c r="K1746" s="88"/>
      <c r="L1746" s="88"/>
      <c r="M1746" s="88"/>
      <c r="N1746" s="88"/>
      <c r="O1746" s="88"/>
      <c r="P1746" s="88"/>
      <c r="Q1746" s="88"/>
      <c r="R1746" s="88"/>
      <c r="S1746" s="88"/>
      <c r="T1746" s="88"/>
      <c r="U1746" s="88"/>
      <c r="V1746" s="88"/>
      <c r="W1746" s="88"/>
      <c r="X1746" s="88"/>
      <c r="Y1746" s="88"/>
      <c r="Z1746" s="88"/>
    </row>
    <row r="1747" spans="2:26" ht="23.25" x14ac:dyDescent="0.25">
      <c r="B1747" s="49"/>
      <c r="C1747" s="61" t="s">
        <v>495</v>
      </c>
      <c r="D1747" s="51">
        <f>P1744</f>
        <v>6.5</v>
      </c>
      <c r="E1747" s="62"/>
      <c r="F1747" s="50"/>
      <c r="G1747" s="48"/>
      <c r="H1747" s="87"/>
    </row>
    <row r="1748" spans="2:26" ht="22.5" x14ac:dyDescent="0.25">
      <c r="B1748" s="49"/>
      <c r="C1748" s="63" t="s">
        <v>496</v>
      </c>
      <c r="D1748" s="106">
        <f>Q1744</f>
        <v>1163.0900000000001</v>
      </c>
      <c r="E1748" s="309" t="s">
        <v>497</v>
      </c>
      <c r="F1748" s="310"/>
      <c r="G1748" s="313">
        <f>D1749/D1748</f>
        <v>10.704064173881642</v>
      </c>
      <c r="H1748" s="87"/>
    </row>
    <row r="1749" spans="2:26" ht="22.5" x14ac:dyDescent="0.25">
      <c r="B1749" s="49"/>
      <c r="C1749" s="63" t="s">
        <v>498</v>
      </c>
      <c r="D1749" s="52">
        <f>R1744</f>
        <v>12449.79</v>
      </c>
      <c r="E1749" s="311"/>
      <c r="F1749" s="312"/>
      <c r="G1749" s="314"/>
      <c r="H1749" s="87"/>
    </row>
    <row r="1750" spans="2:26" ht="23.25" x14ac:dyDescent="0.25">
      <c r="B1750" s="49"/>
      <c r="C1750" s="64"/>
      <c r="D1750" s="53"/>
      <c r="E1750" s="65"/>
      <c r="F1750" s="49"/>
      <c r="G1750" s="48"/>
      <c r="H1750" s="87"/>
    </row>
    <row r="1751" spans="2:26" ht="23.25" x14ac:dyDescent="0.25">
      <c r="B1751" s="49"/>
      <c r="C1751" s="82" t="s">
        <v>499</v>
      </c>
      <c r="D1751" s="96" t="str">
        <f>S1744</f>
        <v>5ОС2Б2ЛП1С</v>
      </c>
      <c r="E1751" s="49"/>
      <c r="F1751" s="49"/>
      <c r="G1751" s="48"/>
      <c r="H1751" s="87"/>
    </row>
    <row r="1752" spans="2:26" ht="23.25" x14ac:dyDescent="0.25">
      <c r="B1752" s="49"/>
      <c r="C1752" s="82" t="s">
        <v>500</v>
      </c>
      <c r="D1752" s="96">
        <f>U1744</f>
        <v>45</v>
      </c>
      <c r="E1752" s="49"/>
      <c r="F1752" s="49"/>
      <c r="G1752" s="48"/>
      <c r="H1752" s="87"/>
    </row>
    <row r="1753" spans="2:26" ht="23.25" x14ac:dyDescent="0.25">
      <c r="B1753" s="49"/>
      <c r="C1753" s="82" t="s">
        <v>501</v>
      </c>
      <c r="D1753" s="83" t="s">
        <v>502</v>
      </c>
      <c r="E1753" s="49"/>
      <c r="F1753" s="49"/>
      <c r="G1753" s="48"/>
      <c r="H1753" s="87"/>
    </row>
    <row r="1754" spans="2:26" ht="24" thickBot="1" x14ac:dyDescent="0.3">
      <c r="B1754" s="49"/>
      <c r="C1754" s="49"/>
      <c r="D1754" s="49"/>
      <c r="E1754" s="49"/>
      <c r="F1754" s="49"/>
      <c r="G1754" s="48"/>
      <c r="H1754" s="87"/>
    </row>
    <row r="1755" spans="2:26" ht="48" thickBot="1" x14ac:dyDescent="0.3">
      <c r="B1755" s="315" t="s">
        <v>436</v>
      </c>
      <c r="C1755" s="316"/>
      <c r="D1755" s="54" t="s">
        <v>503</v>
      </c>
      <c r="E1755" s="317" t="s">
        <v>504</v>
      </c>
      <c r="F1755" s="318"/>
      <c r="G1755" s="55" t="s">
        <v>505</v>
      </c>
      <c r="H1755" s="87"/>
    </row>
    <row r="1756" spans="2:26" ht="24" thickBot="1" x14ac:dyDescent="0.3">
      <c r="B1756" s="319" t="s">
        <v>506</v>
      </c>
      <c r="C1756" s="320"/>
      <c r="D1756" s="136">
        <v>197.93</v>
      </c>
      <c r="E1756" s="136">
        <f>D1747</f>
        <v>6.5</v>
      </c>
      <c r="F1756" s="77" t="s">
        <v>434</v>
      </c>
      <c r="G1756" s="142">
        <f t="shared" ref="G1756:G1763" si="84">D1756*E1756</f>
        <v>1286.5450000000001</v>
      </c>
      <c r="H1756" s="321"/>
    </row>
    <row r="1757" spans="2:26" ht="23.25" x14ac:dyDescent="0.25">
      <c r="B1757" s="322" t="s">
        <v>507</v>
      </c>
      <c r="C1757" s="323"/>
      <c r="D1757" s="137">
        <v>159.44</v>
      </c>
      <c r="E1757" s="137">
        <f>V1744</f>
        <v>1.5</v>
      </c>
      <c r="F1757" s="78" t="s">
        <v>437</v>
      </c>
      <c r="G1757" s="143">
        <f t="shared" si="84"/>
        <v>239.16</v>
      </c>
      <c r="H1757" s="321"/>
    </row>
    <row r="1758" spans="2:26" ht="24" thickBot="1" x14ac:dyDescent="0.3">
      <c r="B1758" s="324" t="s">
        <v>508</v>
      </c>
      <c r="C1758" s="325"/>
      <c r="D1758" s="138">
        <v>276.62</v>
      </c>
      <c r="E1758" s="138">
        <f>V1744</f>
        <v>1.5</v>
      </c>
      <c r="F1758" s="79" t="s">
        <v>437</v>
      </c>
      <c r="G1758" s="144">
        <f t="shared" si="84"/>
        <v>414.93</v>
      </c>
      <c r="H1758" s="321"/>
    </row>
    <row r="1759" spans="2:26" ht="24" thickBot="1" x14ac:dyDescent="0.3">
      <c r="B1759" s="326" t="s">
        <v>438</v>
      </c>
      <c r="C1759" s="327"/>
      <c r="D1759" s="139">
        <v>519</v>
      </c>
      <c r="E1759" s="139"/>
      <c r="F1759" s="80" t="s">
        <v>434</v>
      </c>
      <c r="G1759" s="145">
        <f t="shared" si="84"/>
        <v>0</v>
      </c>
      <c r="H1759" s="321"/>
    </row>
    <row r="1760" spans="2:26" ht="23.25" x14ac:dyDescent="0.25">
      <c r="B1760" s="322" t="s">
        <v>509</v>
      </c>
      <c r="C1760" s="323"/>
      <c r="D1760" s="137">
        <v>920</v>
      </c>
      <c r="E1760" s="137">
        <f>D1747*2</f>
        <v>13</v>
      </c>
      <c r="F1760" s="78" t="s">
        <v>434</v>
      </c>
      <c r="G1760" s="143">
        <f t="shared" si="84"/>
        <v>11960</v>
      </c>
      <c r="H1760" s="321"/>
    </row>
    <row r="1761" spans="2:8" ht="23.25" x14ac:dyDescent="0.25">
      <c r="B1761" s="328" t="s">
        <v>510</v>
      </c>
      <c r="C1761" s="329"/>
      <c r="D1761" s="140">
        <v>1300</v>
      </c>
      <c r="E1761" s="140">
        <f>IF(T1744="Осина",D1747,"0")</f>
        <v>6.5</v>
      </c>
      <c r="F1761" s="81" t="s">
        <v>434</v>
      </c>
      <c r="G1761" s="146">
        <f t="shared" si="84"/>
        <v>8450</v>
      </c>
      <c r="H1761" s="321"/>
    </row>
    <row r="1762" spans="2:8" ht="23.25" x14ac:dyDescent="0.25">
      <c r="B1762" s="328" t="s">
        <v>439</v>
      </c>
      <c r="C1762" s="329"/>
      <c r="D1762" s="141">
        <v>5165.12</v>
      </c>
      <c r="E1762" s="140" t="str">
        <f>IF(T1744="Осина","0",D1747)</f>
        <v>0</v>
      </c>
      <c r="F1762" s="81" t="s">
        <v>434</v>
      </c>
      <c r="G1762" s="146">
        <f t="shared" si="84"/>
        <v>0</v>
      </c>
      <c r="H1762" s="321"/>
    </row>
    <row r="1763" spans="2:8" ht="23.25" x14ac:dyDescent="0.25">
      <c r="B1763" s="328" t="s">
        <v>511</v>
      </c>
      <c r="C1763" s="329"/>
      <c r="D1763" s="141">
        <v>917</v>
      </c>
      <c r="E1763" s="140" t="str">
        <f>IF(T1744="Осина","0",D1747)</f>
        <v>0</v>
      </c>
      <c r="F1763" s="81" t="s">
        <v>434</v>
      </c>
      <c r="G1763" s="146">
        <f t="shared" si="84"/>
        <v>0</v>
      </c>
      <c r="H1763" s="321"/>
    </row>
    <row r="1764" spans="2:8" ht="23.25" x14ac:dyDescent="0.25">
      <c r="B1764" s="328" t="s">
        <v>441</v>
      </c>
      <c r="C1764" s="329"/>
      <c r="D1764" s="141">
        <v>461.56000000000006</v>
      </c>
      <c r="E1764" s="140" t="str">
        <f>IF(T1744="Осина","0",D1747)</f>
        <v>0</v>
      </c>
      <c r="F1764" s="81" t="s">
        <v>434</v>
      </c>
      <c r="G1764" s="146">
        <f>D1764*E1764</f>
        <v>0</v>
      </c>
      <c r="H1764" s="321"/>
    </row>
    <row r="1765" spans="2:8" ht="24" thickBot="1" x14ac:dyDescent="0.3">
      <c r="B1765" s="324" t="s">
        <v>440</v>
      </c>
      <c r="C1765" s="325"/>
      <c r="D1765" s="138">
        <v>353.15</v>
      </c>
      <c r="E1765" s="140" t="str">
        <f>IF(T1744="Осина","0",D1747*4)</f>
        <v>0</v>
      </c>
      <c r="F1765" s="79" t="s">
        <v>434</v>
      </c>
      <c r="G1765" s="147">
        <f>D1765*E1765</f>
        <v>0</v>
      </c>
      <c r="H1765" s="321"/>
    </row>
    <row r="1766" spans="2:8" ht="23.25" x14ac:dyDescent="0.25">
      <c r="B1766" s="49"/>
      <c r="C1766" s="66"/>
      <c r="D1766" s="66"/>
      <c r="E1766" s="56"/>
      <c r="F1766" s="56"/>
      <c r="G1766" s="48"/>
      <c r="H1766" s="92"/>
    </row>
    <row r="1767" spans="2:8" ht="25.5" x14ac:dyDescent="0.25">
      <c r="B1767" s="49"/>
      <c r="C1767" s="59" t="s">
        <v>512</v>
      </c>
      <c r="D1767" s="60"/>
      <c r="E1767" s="49"/>
      <c r="F1767" s="49"/>
      <c r="G1767" s="48"/>
      <c r="H1767" s="87"/>
    </row>
    <row r="1768" spans="2:8" ht="18.75" x14ac:dyDescent="0.25">
      <c r="B1768" s="49"/>
      <c r="C1768" s="306" t="s">
        <v>513</v>
      </c>
      <c r="D1768" s="107" t="s">
        <v>514</v>
      </c>
      <c r="E1768" s="68">
        <f>ROUND((G1756+D1749)/D1749,2)</f>
        <v>1.1000000000000001</v>
      </c>
      <c r="F1768" s="68"/>
      <c r="G1768" s="50"/>
      <c r="H1768" s="87"/>
    </row>
    <row r="1769" spans="2:8" ht="23.25" x14ac:dyDescent="0.25">
      <c r="B1769" s="49"/>
      <c r="C1769" s="306"/>
      <c r="D1769" s="107" t="s">
        <v>515</v>
      </c>
      <c r="E1769" s="68">
        <f>ROUND((G1757+G1758+D1749)/D1749,2)</f>
        <v>1.05</v>
      </c>
      <c r="F1769" s="68"/>
      <c r="G1769" s="57"/>
      <c r="H1769" s="93"/>
    </row>
    <row r="1770" spans="2:8" ht="23.25" x14ac:dyDescent="0.25">
      <c r="B1770" s="49"/>
      <c r="C1770" s="306"/>
      <c r="D1770" s="107" t="s">
        <v>516</v>
      </c>
      <c r="E1770" s="68">
        <f>ROUND((G1759+D1749)/D1749,2)</f>
        <v>1</v>
      </c>
      <c r="F1770" s="50"/>
      <c r="G1770" s="57"/>
      <c r="H1770" s="87"/>
    </row>
    <row r="1771" spans="2:8" ht="23.25" x14ac:dyDescent="0.25">
      <c r="B1771" s="49"/>
      <c r="C1771" s="306"/>
      <c r="D1771" s="69" t="s">
        <v>517</v>
      </c>
      <c r="E1771" s="70">
        <f>ROUND((SUM(G1760:G1765)+D1749)/D1749,2)</f>
        <v>2.64</v>
      </c>
      <c r="F1771" s="50"/>
      <c r="G1771" s="57"/>
      <c r="H1771" s="87"/>
    </row>
    <row r="1772" spans="2:8" ht="25.5" x14ac:dyDescent="0.25">
      <c r="B1772" s="49"/>
      <c r="C1772" s="49"/>
      <c r="D1772" s="71" t="s">
        <v>518</v>
      </c>
      <c r="E1772" s="72">
        <f>SUM(E1768:E1771)-IF(D1753="сплошная",3,2)</f>
        <v>2.7900000000000009</v>
      </c>
      <c r="F1772" s="73"/>
      <c r="G1772" s="48"/>
      <c r="H1772" s="87"/>
    </row>
    <row r="1773" spans="2:8" ht="23.25" x14ac:dyDescent="0.25">
      <c r="B1773" s="49"/>
      <c r="C1773" s="49"/>
      <c r="D1773" s="49"/>
      <c r="E1773" s="74"/>
      <c r="F1773" s="49"/>
      <c r="G1773" s="48"/>
      <c r="H1773" s="87"/>
    </row>
    <row r="1774" spans="2:8" ht="25.5" x14ac:dyDescent="0.35">
      <c r="B1774" s="58"/>
      <c r="C1774" s="75" t="s">
        <v>519</v>
      </c>
      <c r="D1774" s="307">
        <f>E1772*D1749</f>
        <v>34734.914100000016</v>
      </c>
      <c r="E1774" s="307"/>
      <c r="F1774" s="49"/>
      <c r="G1774" s="48"/>
      <c r="H1774" s="87"/>
    </row>
    <row r="1775" spans="2:8" ht="18.75" x14ac:dyDescent="0.3">
      <c r="B1775" s="49"/>
      <c r="C1775" s="76" t="s">
        <v>520</v>
      </c>
      <c r="D1775" s="308">
        <f>D1774/D1748</f>
        <v>29.864339045129793</v>
      </c>
      <c r="E1775" s="308"/>
      <c r="F1775" s="49"/>
      <c r="G1775" s="49"/>
      <c r="H1775" s="94"/>
    </row>
    <row r="1778" spans="2:27" ht="60.75" x14ac:dyDescent="0.8">
      <c r="B1778" s="330" t="str">
        <f>CONCATENATE("ЛОТ № ",K1781)</f>
        <v>ЛОТ № 49</v>
      </c>
      <c r="C1778" s="330"/>
      <c r="D1778" s="330"/>
      <c r="E1778" s="330"/>
      <c r="F1778" s="330"/>
      <c r="G1778" s="330"/>
      <c r="H1778" s="330"/>
    </row>
    <row r="1779" spans="2:27" ht="18.75" x14ac:dyDescent="0.25">
      <c r="B1779" s="331" t="s">
        <v>492</v>
      </c>
      <c r="C1779" s="331"/>
      <c r="D1779" s="331"/>
      <c r="E1779" s="331"/>
      <c r="F1779" s="331"/>
      <c r="G1779" s="331"/>
      <c r="H1779" s="87"/>
    </row>
    <row r="1780" spans="2:27" ht="25.5" x14ac:dyDescent="0.25">
      <c r="B1780" s="49"/>
      <c r="C1780" s="59" t="s">
        <v>493</v>
      </c>
      <c r="D1780" s="60"/>
      <c r="E1780" s="49"/>
      <c r="F1780" s="49"/>
      <c r="G1780" s="48"/>
      <c r="H1780" s="87"/>
      <c r="I1780" s="88"/>
      <c r="J1780" s="88"/>
      <c r="K1780" s="88"/>
      <c r="L1780" s="88" t="s">
        <v>454</v>
      </c>
      <c r="M1780" s="88" t="s">
        <v>444</v>
      </c>
      <c r="N1780" s="88" t="s">
        <v>445</v>
      </c>
      <c r="O1780" s="88" t="s">
        <v>453</v>
      </c>
      <c r="P1780" s="89" t="s">
        <v>446</v>
      </c>
      <c r="Q1780" s="88" t="s">
        <v>435</v>
      </c>
      <c r="R1780" s="40" t="s">
        <v>447</v>
      </c>
      <c r="S1780" s="40" t="s">
        <v>522</v>
      </c>
      <c r="T1780" s="88" t="s">
        <v>118</v>
      </c>
      <c r="U1780" s="88" t="s">
        <v>500</v>
      </c>
      <c r="V1780" s="88" t="s">
        <v>450</v>
      </c>
      <c r="W1780" s="40" t="s">
        <v>448</v>
      </c>
      <c r="X1780" s="40" t="s">
        <v>449</v>
      </c>
      <c r="Y1780" s="88" t="s">
        <v>523</v>
      </c>
      <c r="Z1780" s="88"/>
    </row>
    <row r="1781" spans="2:27" ht="19.5" x14ac:dyDescent="0.25">
      <c r="B1781" s="50"/>
      <c r="C1781" s="332" t="s">
        <v>494</v>
      </c>
      <c r="D1781" s="335" t="s">
        <v>521</v>
      </c>
      <c r="E1781" s="336"/>
      <c r="F1781" s="336"/>
      <c r="G1781" s="337"/>
      <c r="H1781" s="90"/>
      <c r="I1781" s="88" t="s">
        <v>443</v>
      </c>
      <c r="J1781" s="88"/>
      <c r="K1781" s="43">
        <f>IF(I1781="","",COUNTA(I$5:I1781))</f>
        <v>49</v>
      </c>
      <c r="L1781" s="95" t="str">
        <f>INDEX('Ведомость расчета мин. платы'!$B$10:$T$209,MATCH(ЛОТЫ!$K1781,'Ведомость расчета мин. платы'!$B$10:$B$209,0),2)</f>
        <v>Тумбинское</v>
      </c>
      <c r="M1781" s="95">
        <f>INDEX('Ведомость расчета мин. платы'!$B$10:$T$209,MATCH(ЛОТЫ!$K1781,'Ведомость расчета мин. платы'!$B$10:$B$209,0),3)</f>
        <v>57</v>
      </c>
      <c r="N1781" s="95">
        <f>INDEX('Ведомость расчета мин. платы'!$B$10:$T$209,MATCH(ЛОТЫ!$K1781,'Ведомость расчета мин. платы'!$B$10:$B$209,0),4)</f>
        <v>19</v>
      </c>
      <c r="O1781" s="95">
        <f>INDEX('Ведомость расчета мин. платы'!$B$10:$T$209,MATCH(ЛОТЫ!$K1781,'Ведомость расчета мин. платы'!$B$10:$B$209,0),5)</f>
        <v>1</v>
      </c>
      <c r="P1781" s="89">
        <f>IFERROR(INDEX(Коэффициенты!$G$4:$O$106,MATCH(CONCATENATE($L1781,"/",$M1781,"/",$N1781,"/",$O1781),Коэффициенты!$O$4:$O$106,0),1),"")</f>
        <v>3</v>
      </c>
      <c r="Q1781" s="40">
        <f>IFERROR(INDEX(Коэффициенты!$G$4:$O$106,MATCH(CONCATENATE($L1781,"/",$M1781,"/",$N1781,"/",$O1781),Коэффициенты!$O$4:$O$106,0),6),"")</f>
        <v>360.1</v>
      </c>
      <c r="R1781" s="40">
        <f>IFERROR(INDEX(Коэффициенты!$G$4:$O$106,MATCH(CONCATENATE($L1781,"/",$M1781,"/",$N1781,"/",$O1781),Коэффициенты!$O$4:$O$106,0),2),"")</f>
        <v>10934.630000000001</v>
      </c>
      <c r="S1781" s="43" t="str">
        <f>IFERROR(INDEX('Такс. опис.'!$A$5:$BW$50,MATCH(CONCATENATE($L1781,"/",$M1781,"/",$N1781),'Такс. опис.'!$C$5:$C$50,0),26),"")</f>
        <v>6Б4ОС</v>
      </c>
      <c r="T1781" s="43" t="str">
        <f>IFERROR(INDEX('Такс. опис.'!$A$5:$BW$50,MATCH(CONCATENATE($L1781,"/",$M1781,"/",$N1781),'Такс. опис.'!$C$5:$C$50,0),47),"")</f>
        <v>Береза</v>
      </c>
      <c r="U1781" s="43">
        <f>IFERROR(INDEX('Такс. опис.'!$A$5:$BW$50,MATCH(CONCATENATE($L1781,"/",$M1781,"/",$N1781),'Такс. опис.'!$C$5:$C$50,0),49),"")</f>
        <v>65</v>
      </c>
      <c r="V1781" s="103">
        <f>IFERROR(INDEX('Ведомость расчета мин. платы'!$AC$10:$AD$214,MATCH(CONCATENATE($L1781,"/",$M1781,"/",$N1781,"/",$O1781),'Ведомость расчета мин. платы'!$AC$10:$AC$214,0),2),"")</f>
        <v>0.8</v>
      </c>
      <c r="W1781" s="40">
        <f>E1809</f>
        <v>1.9400000000000004</v>
      </c>
      <c r="X1781" s="40">
        <f>D1811</f>
        <v>21213.182200000007</v>
      </c>
      <c r="Y1781" s="91">
        <f>D1812</f>
        <v>58.909142460427674</v>
      </c>
      <c r="Z1781" s="88"/>
      <c r="AA1781" s="86">
        <f t="shared" ref="AA1781" si="85">IF(M1781&gt;0,1,0)</f>
        <v>1</v>
      </c>
    </row>
    <row r="1782" spans="2:27" ht="19.5" x14ac:dyDescent="0.25">
      <c r="B1782" s="50"/>
      <c r="C1782" s="333"/>
      <c r="D1782" s="338" t="str">
        <f>CONCATENATE(L1781, " участковое лесничество")</f>
        <v>Тумбинское участковое лесничество</v>
      </c>
      <c r="E1782" s="338"/>
      <c r="F1782" s="338"/>
      <c r="G1782" s="338"/>
      <c r="H1782" s="90"/>
      <c r="I1782" s="88"/>
      <c r="J1782" s="88">
        <f>IFERROR(IF(ISBLANK(K1781),"",K1781),"")</f>
        <v>49</v>
      </c>
      <c r="K1782" s="88"/>
      <c r="L1782" s="88"/>
      <c r="M1782" s="88"/>
      <c r="N1782" s="88"/>
      <c r="O1782" s="88"/>
      <c r="P1782" s="88"/>
      <c r="Q1782" s="88"/>
      <c r="R1782" s="88"/>
      <c r="S1782" s="88"/>
      <c r="T1782" s="88"/>
      <c r="U1782" s="88"/>
      <c r="V1782" s="88"/>
      <c r="W1782" s="88"/>
      <c r="X1782" s="88"/>
      <c r="Y1782" s="88"/>
      <c r="Z1782" s="88"/>
    </row>
    <row r="1783" spans="2:27" ht="19.5" x14ac:dyDescent="0.25">
      <c r="B1783" s="50"/>
      <c r="C1783" s="334"/>
      <c r="D1783" s="338" t="str">
        <f>CONCATENATE("кв. ",M1781," ","выд."," ",N1781," ","делянка", " ",O1781)</f>
        <v>кв. 57 выд. 19 делянка 1</v>
      </c>
      <c r="E1783" s="338"/>
      <c r="F1783" s="338"/>
      <c r="G1783" s="338"/>
      <c r="H1783" s="90"/>
      <c r="I1783" s="88"/>
      <c r="J1783" s="88"/>
      <c r="K1783" s="88"/>
      <c r="L1783" s="88"/>
      <c r="M1783" s="88"/>
      <c r="N1783" s="88"/>
      <c r="O1783" s="88"/>
      <c r="P1783" s="88"/>
      <c r="Q1783" s="88"/>
      <c r="R1783" s="88"/>
      <c r="S1783" s="88"/>
      <c r="T1783" s="88"/>
      <c r="U1783" s="88"/>
      <c r="V1783" s="88"/>
      <c r="W1783" s="88"/>
      <c r="X1783" s="88"/>
      <c r="Y1783" s="88"/>
      <c r="Z1783" s="88"/>
    </row>
    <row r="1784" spans="2:27" ht="23.25" x14ac:dyDescent="0.25">
      <c r="B1784" s="49"/>
      <c r="C1784" s="61" t="s">
        <v>495</v>
      </c>
      <c r="D1784" s="51">
        <f>P1781</f>
        <v>3</v>
      </c>
      <c r="E1784" s="62"/>
      <c r="F1784" s="50"/>
      <c r="G1784" s="48"/>
      <c r="H1784" s="87"/>
    </row>
    <row r="1785" spans="2:27" ht="22.5" x14ac:dyDescent="0.25">
      <c r="B1785" s="49"/>
      <c r="C1785" s="63" t="s">
        <v>496</v>
      </c>
      <c r="D1785" s="106">
        <f>Q1781</f>
        <v>360.1</v>
      </c>
      <c r="E1785" s="309" t="s">
        <v>497</v>
      </c>
      <c r="F1785" s="310"/>
      <c r="G1785" s="313">
        <f>D1786/D1785</f>
        <v>30.365537350735906</v>
      </c>
      <c r="H1785" s="87"/>
    </row>
    <row r="1786" spans="2:27" ht="22.5" x14ac:dyDescent="0.25">
      <c r="B1786" s="49"/>
      <c r="C1786" s="63" t="s">
        <v>498</v>
      </c>
      <c r="D1786" s="52">
        <f>R1781</f>
        <v>10934.630000000001</v>
      </c>
      <c r="E1786" s="311"/>
      <c r="F1786" s="312"/>
      <c r="G1786" s="314"/>
      <c r="H1786" s="87"/>
    </row>
    <row r="1787" spans="2:27" ht="23.25" x14ac:dyDescent="0.25">
      <c r="B1787" s="49"/>
      <c r="C1787" s="64"/>
      <c r="D1787" s="53"/>
      <c r="E1787" s="65"/>
      <c r="F1787" s="49"/>
      <c r="G1787" s="48"/>
      <c r="H1787" s="87"/>
    </row>
    <row r="1788" spans="2:27" ht="23.25" x14ac:dyDescent="0.25">
      <c r="B1788" s="49"/>
      <c r="C1788" s="82" t="s">
        <v>499</v>
      </c>
      <c r="D1788" s="96" t="str">
        <f>S1781</f>
        <v>6Б4ОС</v>
      </c>
      <c r="E1788" s="49"/>
      <c r="F1788" s="49"/>
      <c r="G1788" s="48"/>
      <c r="H1788" s="87"/>
    </row>
    <row r="1789" spans="2:27" ht="23.25" x14ac:dyDescent="0.25">
      <c r="B1789" s="49"/>
      <c r="C1789" s="82" t="s">
        <v>500</v>
      </c>
      <c r="D1789" s="96">
        <f>U1781</f>
        <v>65</v>
      </c>
      <c r="E1789" s="49"/>
      <c r="F1789" s="49"/>
      <c r="G1789" s="48"/>
      <c r="H1789" s="87"/>
    </row>
    <row r="1790" spans="2:27" ht="23.25" x14ac:dyDescent="0.25">
      <c r="B1790" s="49"/>
      <c r="C1790" s="82" t="s">
        <v>501</v>
      </c>
      <c r="D1790" s="83" t="s">
        <v>502</v>
      </c>
      <c r="E1790" s="49"/>
      <c r="F1790" s="49"/>
      <c r="G1790" s="48"/>
      <c r="H1790" s="87"/>
    </row>
    <row r="1791" spans="2:27" ht="24" thickBot="1" x14ac:dyDescent="0.3">
      <c r="B1791" s="49"/>
      <c r="C1791" s="49"/>
      <c r="D1791" s="49"/>
      <c r="E1791" s="49"/>
      <c r="F1791" s="49"/>
      <c r="G1791" s="48"/>
      <c r="H1791" s="87"/>
    </row>
    <row r="1792" spans="2:27" ht="48" thickBot="1" x14ac:dyDescent="0.3">
      <c r="B1792" s="315" t="s">
        <v>436</v>
      </c>
      <c r="C1792" s="316"/>
      <c r="D1792" s="54" t="s">
        <v>503</v>
      </c>
      <c r="E1792" s="317" t="s">
        <v>504</v>
      </c>
      <c r="F1792" s="318"/>
      <c r="G1792" s="55" t="s">
        <v>505</v>
      </c>
      <c r="H1792" s="87"/>
    </row>
    <row r="1793" spans="2:8" ht="24" thickBot="1" x14ac:dyDescent="0.3">
      <c r="B1793" s="319" t="s">
        <v>506</v>
      </c>
      <c r="C1793" s="320"/>
      <c r="D1793" s="136">
        <v>197.93</v>
      </c>
      <c r="E1793" s="136">
        <f>D1784</f>
        <v>3</v>
      </c>
      <c r="F1793" s="77" t="s">
        <v>434</v>
      </c>
      <c r="G1793" s="142">
        <f t="shared" ref="G1793:G1800" si="86">D1793*E1793</f>
        <v>593.79</v>
      </c>
      <c r="H1793" s="321"/>
    </row>
    <row r="1794" spans="2:8" ht="23.25" x14ac:dyDescent="0.25">
      <c r="B1794" s="322" t="s">
        <v>507</v>
      </c>
      <c r="C1794" s="323"/>
      <c r="D1794" s="137">
        <v>159.44</v>
      </c>
      <c r="E1794" s="137">
        <f>V1781</f>
        <v>0.8</v>
      </c>
      <c r="F1794" s="78" t="s">
        <v>437</v>
      </c>
      <c r="G1794" s="143">
        <f t="shared" si="86"/>
        <v>127.55200000000001</v>
      </c>
      <c r="H1794" s="321"/>
    </row>
    <row r="1795" spans="2:8" ht="24" thickBot="1" x14ac:dyDescent="0.3">
      <c r="B1795" s="324" t="s">
        <v>508</v>
      </c>
      <c r="C1795" s="325"/>
      <c r="D1795" s="138">
        <v>276.62</v>
      </c>
      <c r="E1795" s="138">
        <f>V1781</f>
        <v>0.8</v>
      </c>
      <c r="F1795" s="79" t="s">
        <v>437</v>
      </c>
      <c r="G1795" s="144">
        <f t="shared" si="86"/>
        <v>221.29600000000002</v>
      </c>
      <c r="H1795" s="321"/>
    </row>
    <row r="1796" spans="2:8" ht="24" thickBot="1" x14ac:dyDescent="0.3">
      <c r="B1796" s="326" t="s">
        <v>438</v>
      </c>
      <c r="C1796" s="327"/>
      <c r="D1796" s="139">
        <v>519</v>
      </c>
      <c r="E1796" s="139"/>
      <c r="F1796" s="80" t="s">
        <v>434</v>
      </c>
      <c r="G1796" s="145">
        <f t="shared" si="86"/>
        <v>0</v>
      </c>
      <c r="H1796" s="321"/>
    </row>
    <row r="1797" spans="2:8" ht="23.25" x14ac:dyDescent="0.25">
      <c r="B1797" s="322" t="s">
        <v>509</v>
      </c>
      <c r="C1797" s="323"/>
      <c r="D1797" s="137">
        <v>920</v>
      </c>
      <c r="E1797" s="137">
        <f>D1784*2</f>
        <v>6</v>
      </c>
      <c r="F1797" s="78" t="s">
        <v>434</v>
      </c>
      <c r="G1797" s="143">
        <f t="shared" si="86"/>
        <v>5520</v>
      </c>
      <c r="H1797" s="321"/>
    </row>
    <row r="1798" spans="2:8" ht="23.25" x14ac:dyDescent="0.25">
      <c r="B1798" s="328" t="s">
        <v>510</v>
      </c>
      <c r="C1798" s="329"/>
      <c r="D1798" s="140">
        <v>1300</v>
      </c>
      <c r="E1798" s="140">
        <v>3</v>
      </c>
      <c r="F1798" s="81" t="s">
        <v>434</v>
      </c>
      <c r="G1798" s="146">
        <f t="shared" si="86"/>
        <v>3900</v>
      </c>
      <c r="H1798" s="321"/>
    </row>
    <row r="1799" spans="2:8" ht="23.25" x14ac:dyDescent="0.25">
      <c r="B1799" s="328" t="s">
        <v>439</v>
      </c>
      <c r="C1799" s="329"/>
      <c r="D1799" s="141">
        <v>5165.12</v>
      </c>
      <c r="E1799" s="140"/>
      <c r="F1799" s="81" t="s">
        <v>434</v>
      </c>
      <c r="G1799" s="146">
        <f t="shared" si="86"/>
        <v>0</v>
      </c>
      <c r="H1799" s="321"/>
    </row>
    <row r="1800" spans="2:8" ht="23.25" x14ac:dyDescent="0.25">
      <c r="B1800" s="328" t="s">
        <v>511</v>
      </c>
      <c r="C1800" s="329"/>
      <c r="D1800" s="141">
        <v>917</v>
      </c>
      <c r="E1800" s="140"/>
      <c r="F1800" s="81" t="s">
        <v>434</v>
      </c>
      <c r="G1800" s="146">
        <f t="shared" si="86"/>
        <v>0</v>
      </c>
      <c r="H1800" s="321"/>
    </row>
    <row r="1801" spans="2:8" ht="23.25" x14ac:dyDescent="0.25">
      <c r="B1801" s="328" t="s">
        <v>441</v>
      </c>
      <c r="C1801" s="329"/>
      <c r="D1801" s="141">
        <v>461.56000000000006</v>
      </c>
      <c r="E1801" s="140"/>
      <c r="F1801" s="81" t="s">
        <v>434</v>
      </c>
      <c r="G1801" s="146">
        <f>D1801*E1801</f>
        <v>0</v>
      </c>
      <c r="H1801" s="321"/>
    </row>
    <row r="1802" spans="2:8" ht="24" thickBot="1" x14ac:dyDescent="0.3">
      <c r="B1802" s="324" t="s">
        <v>440</v>
      </c>
      <c r="C1802" s="325"/>
      <c r="D1802" s="138">
        <v>353.15</v>
      </c>
      <c r="E1802" s="140"/>
      <c r="F1802" s="79" t="s">
        <v>434</v>
      </c>
      <c r="G1802" s="147">
        <f>D1802*E1802</f>
        <v>0</v>
      </c>
      <c r="H1802" s="321"/>
    </row>
    <row r="1803" spans="2:8" ht="23.25" x14ac:dyDescent="0.25">
      <c r="B1803" s="49"/>
      <c r="C1803" s="66"/>
      <c r="D1803" s="66"/>
      <c r="E1803" s="56"/>
      <c r="F1803" s="56"/>
      <c r="G1803" s="48"/>
      <c r="H1803" s="92"/>
    </row>
    <row r="1804" spans="2:8" ht="25.5" x14ac:dyDescent="0.25">
      <c r="B1804" s="49"/>
      <c r="C1804" s="59" t="s">
        <v>512</v>
      </c>
      <c r="D1804" s="60"/>
      <c r="E1804" s="49"/>
      <c r="F1804" s="49"/>
      <c r="G1804" s="48"/>
      <c r="H1804" s="87"/>
    </row>
    <row r="1805" spans="2:8" ht="18.75" x14ac:dyDescent="0.25">
      <c r="B1805" s="49"/>
      <c r="C1805" s="306" t="s">
        <v>513</v>
      </c>
      <c r="D1805" s="107" t="s">
        <v>514</v>
      </c>
      <c r="E1805" s="68">
        <f>ROUND((G1793+D1786)/D1786,2)</f>
        <v>1.05</v>
      </c>
      <c r="F1805" s="68"/>
      <c r="G1805" s="50"/>
      <c r="H1805" s="87"/>
    </row>
    <row r="1806" spans="2:8" ht="23.25" x14ac:dyDescent="0.25">
      <c r="B1806" s="49"/>
      <c r="C1806" s="306"/>
      <c r="D1806" s="107" t="s">
        <v>515</v>
      </c>
      <c r="E1806" s="68">
        <f>ROUND((G1794+G1795+D1786)/D1786,2)</f>
        <v>1.03</v>
      </c>
      <c r="F1806" s="68"/>
      <c r="G1806" s="57"/>
      <c r="H1806" s="93"/>
    </row>
    <row r="1807" spans="2:8" ht="23.25" x14ac:dyDescent="0.25">
      <c r="B1807" s="49"/>
      <c r="C1807" s="306"/>
      <c r="D1807" s="107" t="s">
        <v>516</v>
      </c>
      <c r="E1807" s="68">
        <f>ROUND((G1796+D1786)/D1786,2)</f>
        <v>1</v>
      </c>
      <c r="F1807" s="50"/>
      <c r="G1807" s="57"/>
      <c r="H1807" s="87"/>
    </row>
    <row r="1808" spans="2:8" ht="23.25" x14ac:dyDescent="0.25">
      <c r="B1808" s="49"/>
      <c r="C1808" s="306"/>
      <c r="D1808" s="69" t="s">
        <v>517</v>
      </c>
      <c r="E1808" s="70">
        <f>ROUND((SUM(G1797:G1802)+D1786)/D1786,2)</f>
        <v>1.86</v>
      </c>
      <c r="F1808" s="50"/>
      <c r="G1808" s="57"/>
      <c r="H1808" s="87"/>
    </row>
    <row r="1809" spans="2:27" ht="25.5" x14ac:dyDescent="0.25">
      <c r="B1809" s="49"/>
      <c r="C1809" s="49"/>
      <c r="D1809" s="71" t="s">
        <v>518</v>
      </c>
      <c r="E1809" s="72">
        <f>SUM(E1805:E1808)-IF(D1790="сплошная",3,2)</f>
        <v>1.9400000000000004</v>
      </c>
      <c r="F1809" s="73"/>
      <c r="G1809" s="48"/>
      <c r="H1809" s="87"/>
    </row>
    <row r="1810" spans="2:27" ht="23.25" x14ac:dyDescent="0.25">
      <c r="B1810" s="49"/>
      <c r="C1810" s="49"/>
      <c r="D1810" s="49"/>
      <c r="E1810" s="74"/>
      <c r="F1810" s="49"/>
      <c r="G1810" s="48"/>
      <c r="H1810" s="87"/>
    </row>
    <row r="1811" spans="2:27" ht="25.5" x14ac:dyDescent="0.35">
      <c r="B1811" s="58"/>
      <c r="C1811" s="75" t="s">
        <v>519</v>
      </c>
      <c r="D1811" s="307">
        <f>E1809*D1786</f>
        <v>21213.182200000007</v>
      </c>
      <c r="E1811" s="307"/>
      <c r="F1811" s="49"/>
      <c r="G1811" s="48"/>
      <c r="H1811" s="87"/>
    </row>
    <row r="1812" spans="2:27" ht="18.75" x14ac:dyDescent="0.3">
      <c r="B1812" s="49"/>
      <c r="C1812" s="76" t="s">
        <v>520</v>
      </c>
      <c r="D1812" s="308">
        <f>D1811/D1785</f>
        <v>58.909142460427674</v>
      </c>
      <c r="E1812" s="308"/>
      <c r="F1812" s="49"/>
      <c r="G1812" s="49"/>
      <c r="H1812" s="94"/>
    </row>
    <row r="1815" spans="2:27" ht="60.75" x14ac:dyDescent="0.8">
      <c r="B1815" s="330" t="str">
        <f>CONCATENATE("ЛОТ № ",K1818)</f>
        <v>ЛОТ № 50</v>
      </c>
      <c r="C1815" s="330"/>
      <c r="D1815" s="330"/>
      <c r="E1815" s="330"/>
      <c r="F1815" s="330"/>
      <c r="G1815" s="330"/>
      <c r="H1815" s="330"/>
    </row>
    <row r="1816" spans="2:27" ht="18.75" x14ac:dyDescent="0.25">
      <c r="B1816" s="331" t="s">
        <v>492</v>
      </c>
      <c r="C1816" s="331"/>
      <c r="D1816" s="331"/>
      <c r="E1816" s="331"/>
      <c r="F1816" s="331"/>
      <c r="G1816" s="331"/>
      <c r="H1816" s="87"/>
    </row>
    <row r="1817" spans="2:27" ht="25.5" x14ac:dyDescent="0.25">
      <c r="B1817" s="49"/>
      <c r="C1817" s="59" t="s">
        <v>493</v>
      </c>
      <c r="D1817" s="60"/>
      <c r="E1817" s="49"/>
      <c r="F1817" s="49"/>
      <c r="G1817" s="48"/>
      <c r="H1817" s="87"/>
      <c r="I1817" s="88"/>
      <c r="J1817" s="88"/>
      <c r="K1817" s="88"/>
      <c r="L1817" s="88" t="s">
        <v>454</v>
      </c>
      <c r="M1817" s="88" t="s">
        <v>444</v>
      </c>
      <c r="N1817" s="88" t="s">
        <v>445</v>
      </c>
      <c r="O1817" s="88" t="s">
        <v>453</v>
      </c>
      <c r="P1817" s="89" t="s">
        <v>446</v>
      </c>
      <c r="Q1817" s="88" t="s">
        <v>435</v>
      </c>
      <c r="R1817" s="40" t="s">
        <v>447</v>
      </c>
      <c r="S1817" s="40" t="s">
        <v>522</v>
      </c>
      <c r="T1817" s="88" t="s">
        <v>118</v>
      </c>
      <c r="U1817" s="88" t="s">
        <v>500</v>
      </c>
      <c r="V1817" s="88" t="s">
        <v>450</v>
      </c>
      <c r="W1817" s="40" t="s">
        <v>448</v>
      </c>
      <c r="X1817" s="40" t="s">
        <v>449</v>
      </c>
      <c r="Y1817" s="88" t="s">
        <v>523</v>
      </c>
      <c r="Z1817" s="88"/>
    </row>
    <row r="1818" spans="2:27" ht="19.5" x14ac:dyDescent="0.25">
      <c r="B1818" s="50"/>
      <c r="C1818" s="332" t="s">
        <v>494</v>
      </c>
      <c r="D1818" s="335" t="s">
        <v>521</v>
      </c>
      <c r="E1818" s="336"/>
      <c r="F1818" s="336"/>
      <c r="G1818" s="337"/>
      <c r="H1818" s="90"/>
      <c r="I1818" s="88" t="s">
        <v>443</v>
      </c>
      <c r="J1818" s="88"/>
      <c r="K1818" s="43">
        <f>IF(I1818="","",COUNTA(I$5:I1818))</f>
        <v>50</v>
      </c>
      <c r="L1818" s="95" t="str">
        <f>INDEX('Ведомость расчета мин. платы'!$B$10:$T$209,MATCH(ЛОТЫ!$K1818,'Ведомость расчета мин. платы'!$B$10:$B$209,0),2)</f>
        <v>Тумбинское</v>
      </c>
      <c r="M1818" s="95">
        <f>INDEX('Ведомость расчета мин. платы'!$B$10:$T$209,MATCH(ЛОТЫ!$K1818,'Ведомость расчета мин. платы'!$B$10:$B$209,0),3)</f>
        <v>68</v>
      </c>
      <c r="N1818" s="95">
        <f>INDEX('Ведомость расчета мин. платы'!$B$10:$T$209,MATCH(ЛОТЫ!$K1818,'Ведомость расчета мин. платы'!$B$10:$B$209,0),4)</f>
        <v>7</v>
      </c>
      <c r="O1818" s="95">
        <f>INDEX('Ведомость расчета мин. платы'!$B$10:$T$209,MATCH(ЛОТЫ!$K1818,'Ведомость расчета мин. платы'!$B$10:$B$209,0),5)</f>
        <v>1</v>
      </c>
      <c r="P1818" s="89">
        <f>IFERROR(INDEX(Коэффициенты!$G$4:$O$106,MATCH(CONCATENATE($L1818,"/",$M1818,"/",$N1818,"/",$O1818),Коэффициенты!$O$4:$O$106,0),1),"")</f>
        <v>10</v>
      </c>
      <c r="Q1818" s="40">
        <f>IFERROR(INDEX(Коэффициенты!$G$4:$O$106,MATCH(CONCATENATE($L1818,"/",$M1818,"/",$N1818,"/",$O1818),Коэффициенты!$O$4:$O$106,0),6),"")</f>
        <v>1279.9199999999998</v>
      </c>
      <c r="R1818" s="40">
        <f>IFERROR(INDEX(Коэффициенты!$G$4:$O$106,MATCH(CONCATENATE($L1818,"/",$M1818,"/",$N1818,"/",$O1818),Коэффициенты!$O$4:$O$106,0),2),"")</f>
        <v>12168.29</v>
      </c>
      <c r="S1818" s="43" t="str">
        <f>IFERROR(INDEX('Такс. опис.'!$A$5:$BW$50,MATCH(CONCATENATE($L1818,"/",$M1818,"/",$N1818),'Такс. опис.'!$C$5:$C$50,0),26),"")</f>
        <v>7ОС2Б1ЛП</v>
      </c>
      <c r="T1818" s="43" t="str">
        <f>IFERROR(INDEX('Такс. опис.'!$A$5:$BW$50,MATCH(CONCATENATE($L1818,"/",$M1818,"/",$N1818),'Такс. опис.'!$C$5:$C$50,0),47),"")</f>
        <v>Осина</v>
      </c>
      <c r="U1818" s="43">
        <f>IFERROR(INDEX('Такс. опис.'!$A$5:$BW$50,MATCH(CONCATENATE($L1818,"/",$M1818,"/",$N1818),'Такс. опис.'!$C$5:$C$50,0),49),"")</f>
        <v>45</v>
      </c>
      <c r="V1818" s="103">
        <f>IFERROR(INDEX('Ведомость расчета мин. платы'!$AC$10:$AD$214,MATCH(CONCATENATE($L1818,"/",$M1818,"/",$N1818,"/",$O1818),'Ведомость расчета мин. платы'!$AC$10:$AC$214,0),2),"")</f>
        <v>1.84</v>
      </c>
      <c r="W1818" s="40">
        <f>E1846</f>
        <v>3.8100000000000005</v>
      </c>
      <c r="X1818" s="40">
        <f>D1848</f>
        <v>46361.184900000007</v>
      </c>
      <c r="Y1818" s="91">
        <f>D1849</f>
        <v>36.221939574348404</v>
      </c>
      <c r="Z1818" s="88"/>
      <c r="AA1818" s="86">
        <f t="shared" ref="AA1818" si="87">IF(M1818&gt;0,1,0)</f>
        <v>1</v>
      </c>
    </row>
    <row r="1819" spans="2:27" ht="19.5" x14ac:dyDescent="0.25">
      <c r="B1819" s="50"/>
      <c r="C1819" s="333"/>
      <c r="D1819" s="338" t="str">
        <f>CONCATENATE(L1818, " участковое лесничество")</f>
        <v>Тумбинское участковое лесничество</v>
      </c>
      <c r="E1819" s="338"/>
      <c r="F1819" s="338"/>
      <c r="G1819" s="338"/>
      <c r="H1819" s="90"/>
      <c r="I1819" s="88"/>
      <c r="J1819" s="88">
        <f>IFERROR(IF(ISBLANK(K1818),"",K1818),"")</f>
        <v>50</v>
      </c>
      <c r="K1819" s="88"/>
      <c r="L1819" s="88"/>
      <c r="M1819" s="88"/>
      <c r="N1819" s="88"/>
      <c r="O1819" s="88"/>
      <c r="P1819" s="88"/>
      <c r="Q1819" s="88"/>
      <c r="R1819" s="88"/>
      <c r="S1819" s="88"/>
      <c r="T1819" s="88"/>
      <c r="U1819" s="88"/>
      <c r="V1819" s="88"/>
      <c r="W1819" s="88"/>
      <c r="X1819" s="88"/>
      <c r="Y1819" s="88"/>
      <c r="Z1819" s="88"/>
    </row>
    <row r="1820" spans="2:27" ht="19.5" x14ac:dyDescent="0.25">
      <c r="B1820" s="50"/>
      <c r="C1820" s="334"/>
      <c r="D1820" s="338" t="str">
        <f>CONCATENATE("кв. ",M1818," ","выд."," ",N1818," ","делянка", " ",O1818)</f>
        <v>кв. 68 выд. 7 делянка 1</v>
      </c>
      <c r="E1820" s="338"/>
      <c r="F1820" s="338"/>
      <c r="G1820" s="338"/>
      <c r="H1820" s="90"/>
      <c r="I1820" s="88"/>
      <c r="J1820" s="88"/>
      <c r="K1820" s="88"/>
      <c r="L1820" s="88"/>
      <c r="M1820" s="88"/>
      <c r="N1820" s="88"/>
      <c r="O1820" s="88"/>
      <c r="P1820" s="88"/>
      <c r="Q1820" s="88"/>
      <c r="R1820" s="88"/>
      <c r="S1820" s="88"/>
      <c r="T1820" s="88"/>
      <c r="U1820" s="88"/>
      <c r="V1820" s="88"/>
      <c r="W1820" s="88"/>
      <c r="X1820" s="88"/>
      <c r="Y1820" s="88"/>
      <c r="Z1820" s="88"/>
    </row>
    <row r="1821" spans="2:27" ht="23.25" x14ac:dyDescent="0.25">
      <c r="B1821" s="49"/>
      <c r="C1821" s="61" t="s">
        <v>495</v>
      </c>
      <c r="D1821" s="51">
        <f>P1818</f>
        <v>10</v>
      </c>
      <c r="E1821" s="62"/>
      <c r="F1821" s="50"/>
      <c r="G1821" s="48"/>
      <c r="H1821" s="87"/>
    </row>
    <row r="1822" spans="2:27" ht="22.5" x14ac:dyDescent="0.25">
      <c r="B1822" s="49"/>
      <c r="C1822" s="63" t="s">
        <v>496</v>
      </c>
      <c r="D1822" s="106">
        <f>Q1818</f>
        <v>1279.9199999999998</v>
      </c>
      <c r="E1822" s="309" t="s">
        <v>497</v>
      </c>
      <c r="F1822" s="310"/>
      <c r="G1822" s="313">
        <f>D1823/D1822</f>
        <v>9.5070707544221538</v>
      </c>
      <c r="H1822" s="87"/>
    </row>
    <row r="1823" spans="2:27" ht="22.5" x14ac:dyDescent="0.25">
      <c r="B1823" s="49"/>
      <c r="C1823" s="63" t="s">
        <v>498</v>
      </c>
      <c r="D1823" s="52">
        <f>R1818</f>
        <v>12168.29</v>
      </c>
      <c r="E1823" s="311"/>
      <c r="F1823" s="312"/>
      <c r="G1823" s="314"/>
      <c r="H1823" s="87"/>
    </row>
    <row r="1824" spans="2:27" ht="23.25" x14ac:dyDescent="0.25">
      <c r="B1824" s="49"/>
      <c r="C1824" s="64"/>
      <c r="D1824" s="53"/>
      <c r="E1824" s="65"/>
      <c r="F1824" s="49"/>
      <c r="G1824" s="48"/>
      <c r="H1824" s="87"/>
    </row>
    <row r="1825" spans="2:8" ht="23.25" x14ac:dyDescent="0.25">
      <c r="B1825" s="49"/>
      <c r="C1825" s="82" t="s">
        <v>499</v>
      </c>
      <c r="D1825" s="96" t="str">
        <f>S1818</f>
        <v>7ОС2Б1ЛП</v>
      </c>
      <c r="E1825" s="49"/>
      <c r="F1825" s="49"/>
      <c r="G1825" s="48"/>
      <c r="H1825" s="87"/>
    </row>
    <row r="1826" spans="2:8" ht="23.25" x14ac:dyDescent="0.25">
      <c r="B1826" s="49"/>
      <c r="C1826" s="82" t="s">
        <v>500</v>
      </c>
      <c r="D1826" s="96">
        <f>U1818</f>
        <v>45</v>
      </c>
      <c r="E1826" s="49"/>
      <c r="F1826" s="49"/>
      <c r="G1826" s="48"/>
      <c r="H1826" s="87"/>
    </row>
    <row r="1827" spans="2:8" ht="23.25" x14ac:dyDescent="0.25">
      <c r="B1827" s="49"/>
      <c r="C1827" s="82" t="s">
        <v>501</v>
      </c>
      <c r="D1827" s="83" t="s">
        <v>502</v>
      </c>
      <c r="E1827" s="49"/>
      <c r="F1827" s="49"/>
      <c r="G1827" s="48"/>
      <c r="H1827" s="87"/>
    </row>
    <row r="1828" spans="2:8" ht="24" thickBot="1" x14ac:dyDescent="0.3">
      <c r="B1828" s="49"/>
      <c r="C1828" s="49"/>
      <c r="D1828" s="49"/>
      <c r="E1828" s="49"/>
      <c r="F1828" s="49"/>
      <c r="G1828" s="48"/>
      <c r="H1828" s="87"/>
    </row>
    <row r="1829" spans="2:8" ht="48" thickBot="1" x14ac:dyDescent="0.3">
      <c r="B1829" s="315" t="s">
        <v>436</v>
      </c>
      <c r="C1829" s="316"/>
      <c r="D1829" s="54" t="s">
        <v>503</v>
      </c>
      <c r="E1829" s="317" t="s">
        <v>504</v>
      </c>
      <c r="F1829" s="318"/>
      <c r="G1829" s="55" t="s">
        <v>505</v>
      </c>
      <c r="H1829" s="87"/>
    </row>
    <row r="1830" spans="2:8" ht="24" thickBot="1" x14ac:dyDescent="0.3">
      <c r="B1830" s="319" t="s">
        <v>506</v>
      </c>
      <c r="C1830" s="320"/>
      <c r="D1830" s="136">
        <v>197.93</v>
      </c>
      <c r="E1830" s="136">
        <f>D1821</f>
        <v>10</v>
      </c>
      <c r="F1830" s="77" t="s">
        <v>434</v>
      </c>
      <c r="G1830" s="142">
        <f t="shared" ref="G1830:G1837" si="88">D1830*E1830</f>
        <v>1979.3000000000002</v>
      </c>
      <c r="H1830" s="321"/>
    </row>
    <row r="1831" spans="2:8" ht="23.25" x14ac:dyDescent="0.25">
      <c r="B1831" s="322" t="s">
        <v>507</v>
      </c>
      <c r="C1831" s="323"/>
      <c r="D1831" s="137">
        <v>159.44</v>
      </c>
      <c r="E1831" s="137">
        <f>V1818</f>
        <v>1.84</v>
      </c>
      <c r="F1831" s="78" t="s">
        <v>437</v>
      </c>
      <c r="G1831" s="143">
        <f t="shared" si="88"/>
        <v>293.36959999999999</v>
      </c>
      <c r="H1831" s="321"/>
    </row>
    <row r="1832" spans="2:8" ht="24" thickBot="1" x14ac:dyDescent="0.3">
      <c r="B1832" s="324" t="s">
        <v>508</v>
      </c>
      <c r="C1832" s="325"/>
      <c r="D1832" s="138">
        <v>276.62</v>
      </c>
      <c r="E1832" s="138">
        <f>V1818</f>
        <v>1.84</v>
      </c>
      <c r="F1832" s="79" t="s">
        <v>437</v>
      </c>
      <c r="G1832" s="144">
        <f t="shared" si="88"/>
        <v>508.98080000000004</v>
      </c>
      <c r="H1832" s="321"/>
    </row>
    <row r="1833" spans="2:8" ht="24" thickBot="1" x14ac:dyDescent="0.3">
      <c r="B1833" s="326" t="s">
        <v>438</v>
      </c>
      <c r="C1833" s="327"/>
      <c r="D1833" s="139">
        <v>519</v>
      </c>
      <c r="E1833" s="139"/>
      <c r="F1833" s="80" t="s">
        <v>434</v>
      </c>
      <c r="G1833" s="145">
        <f t="shared" si="88"/>
        <v>0</v>
      </c>
      <c r="H1833" s="321"/>
    </row>
    <row r="1834" spans="2:8" ht="23.25" x14ac:dyDescent="0.25">
      <c r="B1834" s="322" t="s">
        <v>509</v>
      </c>
      <c r="C1834" s="323"/>
      <c r="D1834" s="137">
        <v>920</v>
      </c>
      <c r="E1834" s="137">
        <f>D1821*2</f>
        <v>20</v>
      </c>
      <c r="F1834" s="78" t="s">
        <v>434</v>
      </c>
      <c r="G1834" s="143">
        <f t="shared" si="88"/>
        <v>18400</v>
      </c>
      <c r="H1834" s="321"/>
    </row>
    <row r="1835" spans="2:8" ht="23.25" x14ac:dyDescent="0.25">
      <c r="B1835" s="328" t="s">
        <v>510</v>
      </c>
      <c r="C1835" s="329"/>
      <c r="D1835" s="140">
        <v>1300</v>
      </c>
      <c r="E1835" s="140">
        <f>IF(T1818="Осина",D1821,"0")</f>
        <v>10</v>
      </c>
      <c r="F1835" s="81" t="s">
        <v>434</v>
      </c>
      <c r="G1835" s="146">
        <f t="shared" si="88"/>
        <v>13000</v>
      </c>
      <c r="H1835" s="321"/>
    </row>
    <row r="1836" spans="2:8" ht="23.25" x14ac:dyDescent="0.25">
      <c r="B1836" s="328" t="s">
        <v>439</v>
      </c>
      <c r="C1836" s="329"/>
      <c r="D1836" s="141">
        <v>5165.12</v>
      </c>
      <c r="E1836" s="140" t="str">
        <f>IF(T1818="Осина","0",D1821)</f>
        <v>0</v>
      </c>
      <c r="F1836" s="81" t="s">
        <v>434</v>
      </c>
      <c r="G1836" s="146">
        <f t="shared" si="88"/>
        <v>0</v>
      </c>
      <c r="H1836" s="321"/>
    </row>
    <row r="1837" spans="2:8" ht="23.25" x14ac:dyDescent="0.25">
      <c r="B1837" s="328" t="s">
        <v>511</v>
      </c>
      <c r="C1837" s="329"/>
      <c r="D1837" s="141">
        <v>917</v>
      </c>
      <c r="E1837" s="140" t="str">
        <f>IF(T1818="Осина","0",D1821)</f>
        <v>0</v>
      </c>
      <c r="F1837" s="81" t="s">
        <v>434</v>
      </c>
      <c r="G1837" s="146">
        <f t="shared" si="88"/>
        <v>0</v>
      </c>
      <c r="H1837" s="321"/>
    </row>
    <row r="1838" spans="2:8" ht="23.25" x14ac:dyDescent="0.25">
      <c r="B1838" s="328" t="s">
        <v>441</v>
      </c>
      <c r="C1838" s="329"/>
      <c r="D1838" s="141">
        <v>461.56000000000006</v>
      </c>
      <c r="E1838" s="140" t="str">
        <f>IF(T1818="Осина","0",D1821)</f>
        <v>0</v>
      </c>
      <c r="F1838" s="81" t="s">
        <v>434</v>
      </c>
      <c r="G1838" s="146">
        <f>D1838*E1838</f>
        <v>0</v>
      </c>
      <c r="H1838" s="321"/>
    </row>
    <row r="1839" spans="2:8" ht="24" thickBot="1" x14ac:dyDescent="0.3">
      <c r="B1839" s="324" t="s">
        <v>440</v>
      </c>
      <c r="C1839" s="325"/>
      <c r="D1839" s="138">
        <v>353.15</v>
      </c>
      <c r="E1839" s="140" t="str">
        <f>IF(T1818="Осина","0",D1821*4)</f>
        <v>0</v>
      </c>
      <c r="F1839" s="79" t="s">
        <v>434</v>
      </c>
      <c r="G1839" s="147">
        <f>D1839*E1839</f>
        <v>0</v>
      </c>
      <c r="H1839" s="321"/>
    </row>
    <row r="1840" spans="2:8" ht="23.25" x14ac:dyDescent="0.25">
      <c r="B1840" s="49"/>
      <c r="C1840" s="66"/>
      <c r="D1840" s="66"/>
      <c r="E1840" s="56"/>
      <c r="F1840" s="56"/>
      <c r="G1840" s="48"/>
      <c r="H1840" s="92"/>
    </row>
    <row r="1841" spans="2:28" ht="25.5" x14ac:dyDescent="0.25">
      <c r="B1841" s="49"/>
      <c r="C1841" s="59" t="s">
        <v>512</v>
      </c>
      <c r="D1841" s="60"/>
      <c r="E1841" s="49"/>
      <c r="F1841" s="49"/>
      <c r="G1841" s="48"/>
      <c r="H1841" s="87"/>
    </row>
    <row r="1842" spans="2:28" ht="18.75" x14ac:dyDescent="0.25">
      <c r="B1842" s="49"/>
      <c r="C1842" s="306" t="s">
        <v>513</v>
      </c>
      <c r="D1842" s="107" t="s">
        <v>514</v>
      </c>
      <c r="E1842" s="68">
        <f>ROUND((G1830+D1823)/D1823,2)</f>
        <v>1.1599999999999999</v>
      </c>
      <c r="F1842" s="68"/>
      <c r="G1842" s="50"/>
      <c r="H1842" s="87"/>
    </row>
    <row r="1843" spans="2:28" ht="23.25" x14ac:dyDescent="0.25">
      <c r="B1843" s="49"/>
      <c r="C1843" s="306"/>
      <c r="D1843" s="107" t="s">
        <v>515</v>
      </c>
      <c r="E1843" s="68">
        <f>ROUND((G1831+G1832+D1823)/D1823,2)</f>
        <v>1.07</v>
      </c>
      <c r="F1843" s="68"/>
      <c r="G1843" s="57"/>
      <c r="H1843" s="93"/>
    </row>
    <row r="1844" spans="2:28" ht="23.25" x14ac:dyDescent="0.25">
      <c r="B1844" s="49"/>
      <c r="C1844" s="306"/>
      <c r="D1844" s="107" t="s">
        <v>516</v>
      </c>
      <c r="E1844" s="68">
        <f>ROUND((G1833+D1823)/D1823,2)</f>
        <v>1</v>
      </c>
      <c r="F1844" s="50"/>
      <c r="G1844" s="57"/>
      <c r="H1844" s="87"/>
    </row>
    <row r="1845" spans="2:28" ht="23.25" x14ac:dyDescent="0.25">
      <c r="B1845" s="49"/>
      <c r="C1845" s="306"/>
      <c r="D1845" s="69" t="s">
        <v>517</v>
      </c>
      <c r="E1845" s="70">
        <f>ROUND((SUM(G1834:G1839)+D1823)/D1823,2)</f>
        <v>3.58</v>
      </c>
      <c r="F1845" s="50"/>
      <c r="G1845" s="57"/>
      <c r="H1845" s="87"/>
    </row>
    <row r="1846" spans="2:28" ht="25.5" x14ac:dyDescent="0.25">
      <c r="B1846" s="49"/>
      <c r="C1846" s="49"/>
      <c r="D1846" s="71" t="s">
        <v>518</v>
      </c>
      <c r="E1846" s="72">
        <f>SUM(E1842:E1845)-IF(D1827="сплошная",3,2)</f>
        <v>3.8100000000000005</v>
      </c>
      <c r="F1846" s="73"/>
      <c r="G1846" s="48"/>
      <c r="H1846" s="87"/>
    </row>
    <row r="1847" spans="2:28" ht="23.25" x14ac:dyDescent="0.25">
      <c r="B1847" s="49"/>
      <c r="C1847" s="49"/>
      <c r="D1847" s="49"/>
      <c r="E1847" s="74"/>
      <c r="F1847" s="49"/>
      <c r="G1847" s="48"/>
      <c r="H1847" s="87"/>
    </row>
    <row r="1848" spans="2:28" ht="25.5" x14ac:dyDescent="0.35">
      <c r="B1848" s="58"/>
      <c r="C1848" s="75" t="s">
        <v>519</v>
      </c>
      <c r="D1848" s="307">
        <f>E1846*D1823</f>
        <v>46361.184900000007</v>
      </c>
      <c r="E1848" s="307"/>
      <c r="F1848" s="49"/>
      <c r="G1848" s="48"/>
      <c r="H1848" s="87"/>
    </row>
    <row r="1849" spans="2:28" ht="18.75" x14ac:dyDescent="0.3">
      <c r="B1849" s="49"/>
      <c r="C1849" s="76" t="s">
        <v>520</v>
      </c>
      <c r="D1849" s="308">
        <f>D1848/D1822</f>
        <v>36.221939574348404</v>
      </c>
      <c r="E1849" s="308"/>
      <c r="F1849" s="49"/>
      <c r="G1849" s="49"/>
      <c r="H1849" s="94"/>
    </row>
    <row r="1852" spans="2:28" ht="60.75" x14ac:dyDescent="0.8">
      <c r="B1852" s="330" t="str">
        <f>CONCATENATE("ЛОТ № ",K1855)</f>
        <v>ЛОТ № 51</v>
      </c>
      <c r="C1852" s="330"/>
      <c r="D1852" s="330"/>
      <c r="E1852" s="330"/>
      <c r="F1852" s="330"/>
      <c r="G1852" s="330"/>
      <c r="H1852" s="330"/>
      <c r="AB1852" s="122"/>
    </row>
    <row r="1853" spans="2:28" ht="30.75" x14ac:dyDescent="0.45">
      <c r="B1853" s="331" t="s">
        <v>492</v>
      </c>
      <c r="C1853" s="331"/>
      <c r="D1853" s="331"/>
      <c r="E1853" s="331"/>
      <c r="F1853" s="331"/>
      <c r="G1853" s="331"/>
      <c r="H1853" s="87"/>
      <c r="AB1853" s="122"/>
    </row>
    <row r="1854" spans="2:28" ht="25.5" x14ac:dyDescent="0.25">
      <c r="B1854" s="49"/>
      <c r="C1854" s="59" t="s">
        <v>493</v>
      </c>
      <c r="D1854" s="60"/>
      <c r="E1854" s="49"/>
      <c r="F1854" s="49"/>
      <c r="G1854" s="48"/>
      <c r="H1854" s="87"/>
      <c r="I1854" s="88"/>
      <c r="J1854" s="88"/>
      <c r="K1854" s="88"/>
      <c r="L1854" s="88" t="s">
        <v>454</v>
      </c>
      <c r="M1854" s="88" t="s">
        <v>444</v>
      </c>
      <c r="N1854" s="88" t="s">
        <v>445</v>
      </c>
      <c r="O1854" s="88" t="s">
        <v>453</v>
      </c>
      <c r="P1854" s="89" t="s">
        <v>446</v>
      </c>
      <c r="Q1854" s="88" t="s">
        <v>435</v>
      </c>
      <c r="R1854" s="40" t="s">
        <v>447</v>
      </c>
      <c r="S1854" s="40" t="s">
        <v>522</v>
      </c>
      <c r="T1854" s="88" t="s">
        <v>118</v>
      </c>
      <c r="U1854" s="88" t="s">
        <v>500</v>
      </c>
      <c r="V1854" s="88" t="s">
        <v>450</v>
      </c>
      <c r="W1854" s="40" t="s">
        <v>448</v>
      </c>
      <c r="X1854" s="40" t="s">
        <v>449</v>
      </c>
      <c r="Y1854" s="88" t="s">
        <v>523</v>
      </c>
      <c r="Z1854" s="88"/>
    </row>
    <row r="1855" spans="2:28" ht="19.5" x14ac:dyDescent="0.25">
      <c r="B1855" s="50"/>
      <c r="C1855" s="332" t="s">
        <v>494</v>
      </c>
      <c r="D1855" s="335" t="s">
        <v>521</v>
      </c>
      <c r="E1855" s="336"/>
      <c r="F1855" s="336"/>
      <c r="G1855" s="337"/>
      <c r="H1855" s="90"/>
      <c r="I1855" s="88" t="s">
        <v>443</v>
      </c>
      <c r="J1855" s="88"/>
      <c r="K1855" s="43">
        <f>IF(I1855="","",COUNTA(I$5:I1855))</f>
        <v>51</v>
      </c>
      <c r="L1855" s="95" t="str">
        <f>INDEX('Ведомость расчета мин. платы'!$B$10:$T$209,MATCH(ЛОТЫ!$K1855,'Ведомость расчета мин. платы'!$B$10:$B$209,0),2)</f>
        <v>Тумбинское</v>
      </c>
      <c r="M1855" s="95">
        <f>INDEX('Ведомость расчета мин. платы'!$B$10:$T$209,MATCH(ЛОТЫ!$K1855,'Ведомость расчета мин. платы'!$B$10:$B$209,0),3)</f>
        <v>114</v>
      </c>
      <c r="N1855" s="95">
        <f>INDEX('Ведомость расчета мин. платы'!$B$10:$T$209,MATCH(ЛОТЫ!$K1855,'Ведомость расчета мин. платы'!$B$10:$B$209,0),4)</f>
        <v>10</v>
      </c>
      <c r="O1855" s="95">
        <f>INDEX('Ведомость расчета мин. платы'!$B$10:$T$209,MATCH(ЛОТЫ!$K1855,'Ведомость расчета мин. платы'!$B$10:$B$209,0),5)</f>
        <v>1</v>
      </c>
      <c r="P1855" s="89">
        <f>IFERROR(INDEX(Коэффициенты!$G$4:$O$106,MATCH(CONCATENATE($L1855,"/",$M1855,"/",$N1855,"/",$O1855),Коэффициенты!$O$4:$O$106,0),1),"")</f>
        <v>4.4000000000000004</v>
      </c>
      <c r="Q1855" s="40">
        <f>IFERROR(INDEX(Коэффициенты!$G$4:$O$106,MATCH(CONCATENATE($L1855,"/",$M1855,"/",$N1855,"/",$O1855),Коэффициенты!$O$4:$O$106,0),6),"")</f>
        <v>900.23</v>
      </c>
      <c r="R1855" s="40">
        <f>IFERROR(INDEX(Коэффициенты!$G$4:$O$106,MATCH(CONCATENATE($L1855,"/",$M1855,"/",$N1855,"/",$O1855),Коэффициенты!$O$4:$O$106,0),2),"")</f>
        <v>24950.27</v>
      </c>
      <c r="S1855" s="43" t="str">
        <f>IFERROR(INDEX('Такс. опис.'!$A$5:$BW$50,MATCH(CONCATENATE($L1855,"/",$M1855,"/",$N1855),'Такс. опис.'!$C$5:$C$50,0),26),"")</f>
        <v>6Б3ОС1ЛП+В</v>
      </c>
      <c r="T1855" s="43" t="str">
        <f>IFERROR(INDEX('Такс. опис.'!$A$5:$BW$50,MATCH(CONCATENATE($L1855,"/",$M1855,"/",$N1855),'Такс. опис.'!$C$5:$C$50,0),47),"")</f>
        <v>Береза</v>
      </c>
      <c r="U1855" s="43">
        <f>IFERROR(INDEX('Такс. опис.'!$A$5:$BW$50,MATCH(CONCATENATE($L1855,"/",$M1855,"/",$N1855),'Такс. опис.'!$C$5:$C$50,0),49),"")</f>
        <v>65</v>
      </c>
      <c r="V1855" s="103">
        <f>IFERROR(INDEX('Ведомость расчета мин. платы'!$AC$10:$AD$214,MATCH(CONCATENATE($L1855,"/",$M1855,"/",$N1855,"/",$O1855),'Ведомость расчета мин. платы'!$AC$10:$AC$214,0),2),"")</f>
        <v>1.26</v>
      </c>
      <c r="W1855" s="40">
        <f>E1883</f>
        <v>1.5999999999999996</v>
      </c>
      <c r="X1855" s="40">
        <f>D1885</f>
        <v>39920.431999999993</v>
      </c>
      <c r="Y1855" s="91">
        <f>D1886</f>
        <v>44.344703020339239</v>
      </c>
      <c r="Z1855" s="88"/>
      <c r="AA1855" s="86">
        <f>IF(M1855&gt;0,1,0)</f>
        <v>1</v>
      </c>
      <c r="AB1855" s="86">
        <f>IF(N1855="выд",1,0)</f>
        <v>0</v>
      </c>
    </row>
    <row r="1856" spans="2:28" ht="19.5" x14ac:dyDescent="0.25">
      <c r="B1856" s="50"/>
      <c r="C1856" s="333"/>
      <c r="D1856" s="338" t="str">
        <f>CONCATENATE(L1855, " участковое лесничество")</f>
        <v>Тумбинское участковое лесничество</v>
      </c>
      <c r="E1856" s="338"/>
      <c r="F1856" s="338"/>
      <c r="G1856" s="338"/>
      <c r="H1856" s="90"/>
      <c r="I1856" s="88"/>
      <c r="J1856" s="88">
        <f>IFERROR(IF(ISBLANK(K1855),"",K1855),"")</f>
        <v>51</v>
      </c>
      <c r="K1856" s="88"/>
      <c r="L1856" s="88"/>
      <c r="M1856" s="88"/>
      <c r="N1856" s="88"/>
      <c r="O1856" s="88"/>
      <c r="P1856" s="88"/>
      <c r="Q1856" s="88"/>
      <c r="R1856" s="88"/>
      <c r="S1856" s="88"/>
      <c r="T1856" s="88"/>
      <c r="U1856" s="88"/>
      <c r="V1856" s="88"/>
      <c r="W1856" s="88"/>
      <c r="X1856" s="88"/>
      <c r="Y1856" s="88"/>
      <c r="Z1856" s="88"/>
    </row>
    <row r="1857" spans="2:26" ht="19.5" x14ac:dyDescent="0.25">
      <c r="B1857" s="50"/>
      <c r="C1857" s="334"/>
      <c r="D1857" s="338" t="str">
        <f>CONCATENATE("кв. ",M1855," ","выд."," ",N1855," ","делянка", " ",O1855)</f>
        <v>кв. 114 выд. 10 делянка 1</v>
      </c>
      <c r="E1857" s="338"/>
      <c r="F1857" s="338"/>
      <c r="G1857" s="338"/>
      <c r="H1857" s="90"/>
      <c r="I1857" s="88"/>
      <c r="J1857" s="88"/>
      <c r="K1857" s="88"/>
      <c r="L1857" s="88"/>
      <c r="M1857" s="88"/>
      <c r="N1857" s="88"/>
      <c r="O1857" s="88"/>
      <c r="P1857" s="88"/>
      <c r="Q1857" s="88"/>
      <c r="R1857" s="88"/>
      <c r="S1857" s="88"/>
      <c r="T1857" s="88"/>
      <c r="U1857" s="88"/>
      <c r="V1857" s="88"/>
      <c r="W1857" s="88"/>
      <c r="X1857" s="88"/>
      <c r="Y1857" s="88"/>
      <c r="Z1857" s="88"/>
    </row>
    <row r="1858" spans="2:26" ht="23.25" x14ac:dyDescent="0.25">
      <c r="B1858" s="49"/>
      <c r="C1858" s="61" t="s">
        <v>495</v>
      </c>
      <c r="D1858" s="51">
        <f>P1855</f>
        <v>4.4000000000000004</v>
      </c>
      <c r="E1858" s="62"/>
      <c r="F1858" s="50"/>
      <c r="G1858" s="48"/>
      <c r="H1858" s="87"/>
    </row>
    <row r="1859" spans="2:26" ht="22.5" x14ac:dyDescent="0.25">
      <c r="B1859" s="49"/>
      <c r="C1859" s="63" t="s">
        <v>496</v>
      </c>
      <c r="D1859" s="106">
        <f>Q1855</f>
        <v>900.23</v>
      </c>
      <c r="E1859" s="309" t="s">
        <v>497</v>
      </c>
      <c r="F1859" s="310"/>
      <c r="G1859" s="313">
        <f>D1860/D1859</f>
        <v>27.715439387712028</v>
      </c>
      <c r="H1859" s="87"/>
    </row>
    <row r="1860" spans="2:26" ht="22.5" x14ac:dyDescent="0.25">
      <c r="B1860" s="49"/>
      <c r="C1860" s="63" t="s">
        <v>498</v>
      </c>
      <c r="D1860" s="52">
        <f>R1855</f>
        <v>24950.27</v>
      </c>
      <c r="E1860" s="311"/>
      <c r="F1860" s="312"/>
      <c r="G1860" s="314"/>
      <c r="H1860" s="87"/>
    </row>
    <row r="1861" spans="2:26" ht="23.25" x14ac:dyDescent="0.25">
      <c r="B1861" s="49"/>
      <c r="C1861" s="64"/>
      <c r="D1861" s="53"/>
      <c r="E1861" s="65"/>
      <c r="F1861" s="49"/>
      <c r="G1861" s="48"/>
      <c r="H1861" s="87"/>
    </row>
    <row r="1862" spans="2:26" ht="23.25" x14ac:dyDescent="0.25">
      <c r="B1862" s="49"/>
      <c r="C1862" s="82" t="s">
        <v>499</v>
      </c>
      <c r="D1862" s="96" t="str">
        <f>S1855</f>
        <v>6Б3ОС1ЛП+В</v>
      </c>
      <c r="E1862" s="49"/>
      <c r="F1862" s="49"/>
      <c r="G1862" s="48"/>
      <c r="H1862" s="87"/>
    </row>
    <row r="1863" spans="2:26" ht="23.25" x14ac:dyDescent="0.25">
      <c r="B1863" s="49"/>
      <c r="C1863" s="82" t="s">
        <v>500</v>
      </c>
      <c r="D1863" s="96">
        <f>U1855</f>
        <v>65</v>
      </c>
      <c r="E1863" s="49"/>
      <c r="F1863" s="49"/>
      <c r="G1863" s="48"/>
      <c r="H1863" s="87"/>
    </row>
    <row r="1864" spans="2:26" ht="23.25" x14ac:dyDescent="0.25">
      <c r="B1864" s="49"/>
      <c r="C1864" s="82" t="s">
        <v>501</v>
      </c>
      <c r="D1864" s="83" t="s">
        <v>502</v>
      </c>
      <c r="E1864" s="49"/>
      <c r="F1864" s="49"/>
      <c r="G1864" s="48"/>
      <c r="H1864" s="87"/>
    </row>
    <row r="1865" spans="2:26" ht="24" thickBot="1" x14ac:dyDescent="0.3">
      <c r="B1865" s="49"/>
      <c r="C1865" s="49"/>
      <c r="D1865" s="49"/>
      <c r="E1865" s="49"/>
      <c r="F1865" s="49"/>
      <c r="G1865" s="48"/>
      <c r="H1865" s="87"/>
    </row>
    <row r="1866" spans="2:26" ht="48" thickBot="1" x14ac:dyDescent="0.3">
      <c r="B1866" s="315" t="s">
        <v>436</v>
      </c>
      <c r="C1866" s="316"/>
      <c r="D1866" s="54" t="s">
        <v>503</v>
      </c>
      <c r="E1866" s="317" t="s">
        <v>504</v>
      </c>
      <c r="F1866" s="318"/>
      <c r="G1866" s="55" t="s">
        <v>505</v>
      </c>
      <c r="H1866" s="87"/>
    </row>
    <row r="1867" spans="2:26" ht="24" thickBot="1" x14ac:dyDescent="0.3">
      <c r="B1867" s="319" t="s">
        <v>506</v>
      </c>
      <c r="C1867" s="320"/>
      <c r="D1867" s="136">
        <v>197.93</v>
      </c>
      <c r="E1867" s="136">
        <f>D1858</f>
        <v>4.4000000000000004</v>
      </c>
      <c r="F1867" s="77" t="s">
        <v>434</v>
      </c>
      <c r="G1867" s="142">
        <f t="shared" ref="G1867:G1874" si="89">D1867*E1867</f>
        <v>870.89200000000005</v>
      </c>
      <c r="H1867" s="321"/>
    </row>
    <row r="1868" spans="2:26" ht="23.25" x14ac:dyDescent="0.25">
      <c r="B1868" s="322" t="s">
        <v>507</v>
      </c>
      <c r="C1868" s="323"/>
      <c r="D1868" s="137">
        <v>159.44</v>
      </c>
      <c r="E1868" s="137">
        <f>V1855</f>
        <v>1.26</v>
      </c>
      <c r="F1868" s="78" t="s">
        <v>437</v>
      </c>
      <c r="G1868" s="143">
        <f t="shared" si="89"/>
        <v>200.89439999999999</v>
      </c>
      <c r="H1868" s="321"/>
    </row>
    <row r="1869" spans="2:26" ht="24" thickBot="1" x14ac:dyDescent="0.3">
      <c r="B1869" s="324" t="s">
        <v>508</v>
      </c>
      <c r="C1869" s="325"/>
      <c r="D1869" s="138">
        <v>276.62</v>
      </c>
      <c r="E1869" s="138">
        <f>V1855</f>
        <v>1.26</v>
      </c>
      <c r="F1869" s="79" t="s">
        <v>437</v>
      </c>
      <c r="G1869" s="144">
        <f t="shared" si="89"/>
        <v>348.5412</v>
      </c>
      <c r="H1869" s="321"/>
    </row>
    <row r="1870" spans="2:26" ht="24" thickBot="1" x14ac:dyDescent="0.3">
      <c r="B1870" s="326" t="s">
        <v>438</v>
      </c>
      <c r="C1870" s="327"/>
      <c r="D1870" s="139">
        <v>519</v>
      </c>
      <c r="E1870" s="139"/>
      <c r="F1870" s="80" t="s">
        <v>434</v>
      </c>
      <c r="G1870" s="145">
        <f t="shared" si="89"/>
        <v>0</v>
      </c>
      <c r="H1870" s="321"/>
    </row>
    <row r="1871" spans="2:26" ht="23.25" x14ac:dyDescent="0.25">
      <c r="B1871" s="322" t="s">
        <v>509</v>
      </c>
      <c r="C1871" s="323"/>
      <c r="D1871" s="137">
        <v>920</v>
      </c>
      <c r="E1871" s="137">
        <f>D1858*2</f>
        <v>8.8000000000000007</v>
      </c>
      <c r="F1871" s="78" t="s">
        <v>434</v>
      </c>
      <c r="G1871" s="143">
        <f t="shared" si="89"/>
        <v>8096.0000000000009</v>
      </c>
      <c r="H1871" s="321"/>
    </row>
    <row r="1872" spans="2:26" ht="23.25" x14ac:dyDescent="0.25">
      <c r="B1872" s="328" t="s">
        <v>510</v>
      </c>
      <c r="C1872" s="329"/>
      <c r="D1872" s="140">
        <v>1300</v>
      </c>
      <c r="E1872" s="140">
        <v>4.4000000000000004</v>
      </c>
      <c r="F1872" s="81" t="s">
        <v>434</v>
      </c>
      <c r="G1872" s="146">
        <f t="shared" si="89"/>
        <v>5720.0000000000009</v>
      </c>
      <c r="H1872" s="321"/>
    </row>
    <row r="1873" spans="2:8" ht="23.25" x14ac:dyDescent="0.25">
      <c r="B1873" s="328" t="s">
        <v>439</v>
      </c>
      <c r="C1873" s="329"/>
      <c r="D1873" s="141">
        <v>5165.12</v>
      </c>
      <c r="E1873" s="140"/>
      <c r="F1873" s="81" t="s">
        <v>434</v>
      </c>
      <c r="G1873" s="146">
        <f t="shared" si="89"/>
        <v>0</v>
      </c>
      <c r="H1873" s="321"/>
    </row>
    <row r="1874" spans="2:8" ht="23.25" x14ac:dyDescent="0.25">
      <c r="B1874" s="328" t="s">
        <v>511</v>
      </c>
      <c r="C1874" s="329"/>
      <c r="D1874" s="141">
        <v>917</v>
      </c>
      <c r="E1874" s="140"/>
      <c r="F1874" s="81" t="s">
        <v>434</v>
      </c>
      <c r="G1874" s="146">
        <f t="shared" si="89"/>
        <v>0</v>
      </c>
      <c r="H1874" s="321"/>
    </row>
    <row r="1875" spans="2:8" ht="23.25" x14ac:dyDescent="0.25">
      <c r="B1875" s="328" t="s">
        <v>441</v>
      </c>
      <c r="C1875" s="329"/>
      <c r="D1875" s="141">
        <v>461.56000000000006</v>
      </c>
      <c r="E1875" s="140"/>
      <c r="F1875" s="81" t="s">
        <v>434</v>
      </c>
      <c r="G1875" s="146">
        <f>D1875*E1875</f>
        <v>0</v>
      </c>
      <c r="H1875" s="321"/>
    </row>
    <row r="1876" spans="2:8" ht="24" thickBot="1" x14ac:dyDescent="0.3">
      <c r="B1876" s="324" t="s">
        <v>440</v>
      </c>
      <c r="C1876" s="325"/>
      <c r="D1876" s="138">
        <v>353.15</v>
      </c>
      <c r="E1876" s="140"/>
      <c r="F1876" s="79" t="s">
        <v>434</v>
      </c>
      <c r="G1876" s="147">
        <f>D1876*E1876</f>
        <v>0</v>
      </c>
      <c r="H1876" s="321"/>
    </row>
    <row r="1877" spans="2:8" ht="23.25" x14ac:dyDescent="0.25">
      <c r="B1877" s="49"/>
      <c r="C1877" s="66"/>
      <c r="D1877" s="66"/>
      <c r="E1877" s="56"/>
      <c r="F1877" s="56"/>
      <c r="G1877" s="48"/>
      <c r="H1877" s="92"/>
    </row>
    <row r="1878" spans="2:8" ht="25.5" x14ac:dyDescent="0.25">
      <c r="B1878" s="49"/>
      <c r="C1878" s="59" t="s">
        <v>512</v>
      </c>
      <c r="D1878" s="60"/>
      <c r="E1878" s="49"/>
      <c r="F1878" s="49"/>
      <c r="G1878" s="48"/>
      <c r="H1878" s="87"/>
    </row>
    <row r="1879" spans="2:8" ht="18.75" x14ac:dyDescent="0.25">
      <c r="B1879" s="49"/>
      <c r="C1879" s="306" t="s">
        <v>513</v>
      </c>
      <c r="D1879" s="132" t="s">
        <v>514</v>
      </c>
      <c r="E1879" s="68">
        <f>ROUND((G1867+D1860)/D1860,2)</f>
        <v>1.03</v>
      </c>
      <c r="F1879" s="68"/>
      <c r="G1879" s="50"/>
      <c r="H1879" s="87"/>
    </row>
    <row r="1880" spans="2:8" ht="23.25" x14ac:dyDescent="0.25">
      <c r="B1880" s="49"/>
      <c r="C1880" s="306"/>
      <c r="D1880" s="132" t="s">
        <v>515</v>
      </c>
      <c r="E1880" s="68">
        <f>ROUND((G1868+G1869+D1860)/D1860,2)</f>
        <v>1.02</v>
      </c>
      <c r="F1880" s="68"/>
      <c r="G1880" s="57"/>
      <c r="H1880" s="93"/>
    </row>
    <row r="1881" spans="2:8" ht="23.25" x14ac:dyDescent="0.25">
      <c r="B1881" s="49"/>
      <c r="C1881" s="306"/>
      <c r="D1881" s="132" t="s">
        <v>516</v>
      </c>
      <c r="E1881" s="68">
        <f>ROUND((G1870+D1860)/D1860,2)</f>
        <v>1</v>
      </c>
      <c r="F1881" s="50"/>
      <c r="G1881" s="57"/>
      <c r="H1881" s="87"/>
    </row>
    <row r="1882" spans="2:8" ht="23.25" x14ac:dyDescent="0.25">
      <c r="B1882" s="49"/>
      <c r="C1882" s="306"/>
      <c r="D1882" s="69" t="s">
        <v>517</v>
      </c>
      <c r="E1882" s="70">
        <f>ROUND((SUM(G1871:G1876)+D1860)/D1860,2)</f>
        <v>1.55</v>
      </c>
      <c r="F1882" s="50"/>
      <c r="G1882" s="57"/>
      <c r="H1882" s="87"/>
    </row>
    <row r="1883" spans="2:8" ht="25.5" x14ac:dyDescent="0.25">
      <c r="B1883" s="49"/>
      <c r="C1883" s="49"/>
      <c r="D1883" s="71" t="s">
        <v>518</v>
      </c>
      <c r="E1883" s="72">
        <f>SUM(E1879:E1882)-IF(D1864="сплошная",3,2)</f>
        <v>1.5999999999999996</v>
      </c>
      <c r="F1883" s="73"/>
      <c r="G1883" s="48"/>
      <c r="H1883" s="87"/>
    </row>
    <row r="1884" spans="2:8" ht="23.25" x14ac:dyDescent="0.25">
      <c r="B1884" s="49"/>
      <c r="C1884" s="49"/>
      <c r="D1884" s="49"/>
      <c r="E1884" s="74"/>
      <c r="F1884" s="49"/>
      <c r="G1884" s="48"/>
      <c r="H1884" s="87"/>
    </row>
    <row r="1885" spans="2:8" ht="25.5" x14ac:dyDescent="0.35">
      <c r="B1885" s="58"/>
      <c r="C1885" s="75" t="s">
        <v>519</v>
      </c>
      <c r="D1885" s="307">
        <f>E1883*D1860</f>
        <v>39920.431999999993</v>
      </c>
      <c r="E1885" s="307"/>
      <c r="F1885" s="49"/>
      <c r="G1885" s="48"/>
      <c r="H1885" s="87"/>
    </row>
    <row r="1886" spans="2:8" ht="18.75" x14ac:dyDescent="0.3">
      <c r="B1886" s="49"/>
      <c r="C1886" s="76" t="s">
        <v>520</v>
      </c>
      <c r="D1886" s="308">
        <f>D1885/D1859</f>
        <v>44.344703020339239</v>
      </c>
      <c r="E1886" s="308"/>
      <c r="F1886" s="49"/>
      <c r="G1886" s="49"/>
      <c r="H1886" s="94"/>
    </row>
    <row r="1889" spans="2:27" ht="60.75" x14ac:dyDescent="0.8">
      <c r="B1889" s="330" t="str">
        <f>CONCATENATE("ЛОТ № ",K1892)</f>
        <v>ЛОТ № 52</v>
      </c>
      <c r="C1889" s="330"/>
      <c r="D1889" s="330"/>
      <c r="E1889" s="330"/>
      <c r="F1889" s="330"/>
      <c r="G1889" s="330"/>
      <c r="H1889" s="330"/>
    </row>
    <row r="1890" spans="2:27" ht="18.75" x14ac:dyDescent="0.25">
      <c r="B1890" s="331" t="s">
        <v>492</v>
      </c>
      <c r="C1890" s="331"/>
      <c r="D1890" s="331"/>
      <c r="E1890" s="331"/>
      <c r="F1890" s="331"/>
      <c r="G1890" s="331"/>
      <c r="H1890" s="87"/>
    </row>
    <row r="1891" spans="2:27" ht="25.5" x14ac:dyDescent="0.25">
      <c r="B1891" s="49"/>
      <c r="C1891" s="59" t="s">
        <v>493</v>
      </c>
      <c r="D1891" s="60"/>
      <c r="E1891" s="49"/>
      <c r="F1891" s="49"/>
      <c r="G1891" s="48"/>
      <c r="H1891" s="87"/>
      <c r="I1891" s="88"/>
      <c r="J1891" s="88"/>
      <c r="K1891" s="88"/>
      <c r="L1891" s="88" t="s">
        <v>454</v>
      </c>
      <c r="M1891" s="88" t="s">
        <v>444</v>
      </c>
      <c r="N1891" s="88" t="s">
        <v>445</v>
      </c>
      <c r="O1891" s="88" t="s">
        <v>453</v>
      </c>
      <c r="P1891" s="89" t="s">
        <v>446</v>
      </c>
      <c r="Q1891" s="88" t="s">
        <v>435</v>
      </c>
      <c r="R1891" s="40" t="s">
        <v>447</v>
      </c>
      <c r="S1891" s="40" t="s">
        <v>522</v>
      </c>
      <c r="T1891" s="88" t="s">
        <v>118</v>
      </c>
      <c r="U1891" s="88" t="s">
        <v>500</v>
      </c>
      <c r="V1891" s="88" t="s">
        <v>450</v>
      </c>
      <c r="W1891" s="40" t="s">
        <v>448</v>
      </c>
      <c r="X1891" s="40" t="s">
        <v>449</v>
      </c>
      <c r="Y1891" s="88" t="s">
        <v>523</v>
      </c>
      <c r="Z1891" s="88"/>
    </row>
    <row r="1892" spans="2:27" ht="19.5" x14ac:dyDescent="0.25">
      <c r="B1892" s="50"/>
      <c r="C1892" s="332" t="s">
        <v>494</v>
      </c>
      <c r="D1892" s="335" t="s">
        <v>521</v>
      </c>
      <c r="E1892" s="336"/>
      <c r="F1892" s="336"/>
      <c r="G1892" s="337"/>
      <c r="H1892" s="90"/>
      <c r="I1892" s="88" t="s">
        <v>443</v>
      </c>
      <c r="J1892" s="88"/>
      <c r="K1892" s="43">
        <f>IF(I1892="","",COUNTA(I$5:I1892))</f>
        <v>52</v>
      </c>
      <c r="L1892" s="95" t="str">
        <f>INDEX('Ведомость расчета мин. платы'!$B$10:$T$209,MATCH(ЛОТЫ!$K1892,'Ведомость расчета мин. платы'!$B$10:$B$209,0),2)</f>
        <v>Тумбинское</v>
      </c>
      <c r="M1892" s="95">
        <f>INDEX('Ведомость расчета мин. платы'!$B$10:$T$209,MATCH(ЛОТЫ!$K1892,'Ведомость расчета мин. платы'!$B$10:$B$209,0),3)</f>
        <v>136</v>
      </c>
      <c r="N1892" s="95">
        <f>INDEX('Ведомость расчета мин. платы'!$B$10:$T$209,MATCH(ЛОТЫ!$K1892,'Ведомость расчета мин. платы'!$B$10:$B$209,0),4)</f>
        <v>11</v>
      </c>
      <c r="O1892" s="95">
        <f>INDEX('Ведомость расчета мин. платы'!$B$10:$T$209,MATCH(ЛОТЫ!$K1892,'Ведомость расчета мин. платы'!$B$10:$B$209,0),5)</f>
        <v>1</v>
      </c>
      <c r="P1892" s="89">
        <f>IFERROR(INDEX(Коэффициенты!$G$4:$O$106,MATCH(CONCATENATE($L1892,"/",$M1892,"/",$N1892,"/",$O1892),Коэффициенты!$O$4:$O$106,0),1),"")</f>
        <v>9.5</v>
      </c>
      <c r="Q1892" s="40">
        <f>IFERROR(INDEX(Коэффициенты!$G$4:$O$106,MATCH(CONCATENATE($L1892,"/",$M1892,"/",$N1892,"/",$O1892),Коэффициенты!$O$4:$O$106,0),6),"")</f>
        <v>1200.42</v>
      </c>
      <c r="R1892" s="40">
        <f>IFERROR(INDEX(Коэффициенты!$G$4:$O$106,MATCH(CONCATENATE($L1892,"/",$M1892,"/",$N1892,"/",$O1892),Коэффициенты!$O$4:$O$106,0),2),"")</f>
        <v>20240.150000000001</v>
      </c>
      <c r="S1892" s="43" t="str">
        <f>IFERROR(INDEX('Такс. опис.'!$A$5:$BW$50,MATCH(CONCATENATE($L1892,"/",$M1892,"/",$N1892),'Такс. опис.'!$C$5:$C$50,0),26),"")</f>
        <v>5ЛП3ЛП2ОС+Б</v>
      </c>
      <c r="T1892" s="43" t="str">
        <f>IFERROR(INDEX('Такс. опис.'!$A$5:$BW$50,MATCH(CONCATENATE($L1892,"/",$M1892,"/",$N1892),'Такс. опис.'!$C$5:$C$50,0),47),"")</f>
        <v>Липа</v>
      </c>
      <c r="U1892" s="43">
        <f>IFERROR(INDEX('Такс. опис.'!$A$5:$BW$50,MATCH(CONCATENATE($L1892,"/",$M1892,"/",$N1892),'Такс. опис.'!$C$5:$C$50,0),49),"")</f>
        <v>70</v>
      </c>
      <c r="V1892" s="103">
        <f>IFERROR(INDEX('Ведомость расчета мин. платы'!$AC$10:$AD$214,MATCH(CONCATENATE($L1892,"/",$M1892,"/",$N1892,"/",$O1892),'Ведомость расчета мин. платы'!$AC$10:$AC$214,0),2),"")</f>
        <v>1.52</v>
      </c>
      <c r="W1892" s="40">
        <f>E1920</f>
        <v>2.59</v>
      </c>
      <c r="X1892" s="40">
        <f>D1922</f>
        <v>52421.988499999999</v>
      </c>
      <c r="Y1892" s="91">
        <f>D1923</f>
        <v>43.669706019559818</v>
      </c>
      <c r="Z1892" s="88"/>
      <c r="AA1892" s="86">
        <f t="shared" ref="AA1892" si="90">IF(M1892&gt;0,1,0)</f>
        <v>1</v>
      </c>
    </row>
    <row r="1893" spans="2:27" ht="19.5" x14ac:dyDescent="0.25">
      <c r="B1893" s="50"/>
      <c r="C1893" s="333"/>
      <c r="D1893" s="338" t="str">
        <f>CONCATENATE(L1892, " участковое лесничество")</f>
        <v>Тумбинское участковое лесничество</v>
      </c>
      <c r="E1893" s="338"/>
      <c r="F1893" s="338"/>
      <c r="G1893" s="338"/>
      <c r="H1893" s="90"/>
      <c r="I1893" s="88"/>
      <c r="J1893" s="88">
        <f>IFERROR(IF(ISBLANK(K1892),"",K1892),"")</f>
        <v>52</v>
      </c>
      <c r="K1893" s="88"/>
      <c r="L1893" s="88"/>
      <c r="M1893" s="88"/>
      <c r="N1893" s="88"/>
      <c r="O1893" s="88"/>
      <c r="P1893" s="88"/>
      <c r="Q1893" s="88"/>
      <c r="R1893" s="88"/>
      <c r="S1893" s="88"/>
      <c r="T1893" s="88"/>
      <c r="U1893" s="88"/>
      <c r="V1893" s="88"/>
      <c r="W1893" s="88"/>
      <c r="X1893" s="88"/>
      <c r="Y1893" s="88"/>
      <c r="Z1893" s="88"/>
    </row>
    <row r="1894" spans="2:27" ht="19.5" x14ac:dyDescent="0.25">
      <c r="B1894" s="50"/>
      <c r="C1894" s="334"/>
      <c r="D1894" s="338" t="str">
        <f>CONCATENATE("кв. ",M1892," ","выд."," ",N1892," ","делянка", " ",O1892)</f>
        <v>кв. 136 выд. 11 делянка 1</v>
      </c>
      <c r="E1894" s="338"/>
      <c r="F1894" s="338"/>
      <c r="G1894" s="338"/>
      <c r="H1894" s="90"/>
      <c r="I1894" s="88"/>
      <c r="J1894" s="88"/>
      <c r="K1894" s="88"/>
      <c r="L1894" s="88"/>
      <c r="M1894" s="88"/>
      <c r="N1894" s="88"/>
      <c r="O1894" s="88"/>
      <c r="P1894" s="88"/>
      <c r="Q1894" s="88"/>
      <c r="R1894" s="88"/>
      <c r="S1894" s="88"/>
      <c r="T1894" s="88"/>
      <c r="U1894" s="88"/>
      <c r="V1894" s="88"/>
      <c r="W1894" s="88"/>
      <c r="X1894" s="88"/>
      <c r="Y1894" s="88"/>
      <c r="Z1894" s="88"/>
    </row>
    <row r="1895" spans="2:27" ht="23.25" x14ac:dyDescent="0.25">
      <c r="B1895" s="49"/>
      <c r="C1895" s="61" t="s">
        <v>495</v>
      </c>
      <c r="D1895" s="51">
        <f>P1892</f>
        <v>9.5</v>
      </c>
      <c r="E1895" s="62"/>
      <c r="F1895" s="50"/>
      <c r="G1895" s="48"/>
      <c r="H1895" s="87"/>
    </row>
    <row r="1896" spans="2:27" ht="22.5" x14ac:dyDescent="0.25">
      <c r="B1896" s="49"/>
      <c r="C1896" s="63" t="s">
        <v>496</v>
      </c>
      <c r="D1896" s="106">
        <f>Q1892</f>
        <v>1200.42</v>
      </c>
      <c r="E1896" s="309" t="s">
        <v>497</v>
      </c>
      <c r="F1896" s="310"/>
      <c r="G1896" s="313">
        <f>D1897/D1896</f>
        <v>16.8608903550424</v>
      </c>
      <c r="H1896" s="87"/>
    </row>
    <row r="1897" spans="2:27" ht="22.5" x14ac:dyDescent="0.25">
      <c r="B1897" s="49"/>
      <c r="C1897" s="63" t="s">
        <v>498</v>
      </c>
      <c r="D1897" s="52">
        <f>R1892</f>
        <v>20240.150000000001</v>
      </c>
      <c r="E1897" s="311"/>
      <c r="F1897" s="312"/>
      <c r="G1897" s="314"/>
      <c r="H1897" s="87"/>
    </row>
    <row r="1898" spans="2:27" ht="23.25" x14ac:dyDescent="0.25">
      <c r="B1898" s="49"/>
      <c r="C1898" s="64"/>
      <c r="D1898" s="53"/>
      <c r="E1898" s="65"/>
      <c r="F1898" s="49"/>
      <c r="G1898" s="48"/>
      <c r="H1898" s="87"/>
    </row>
    <row r="1899" spans="2:27" ht="23.25" x14ac:dyDescent="0.25">
      <c r="B1899" s="49"/>
      <c r="C1899" s="82" t="s">
        <v>499</v>
      </c>
      <c r="D1899" s="96" t="str">
        <f>S1892</f>
        <v>5ЛП3ЛП2ОС+Б</v>
      </c>
      <c r="E1899" s="49"/>
      <c r="F1899" s="49"/>
      <c r="G1899" s="48"/>
      <c r="H1899" s="87"/>
    </row>
    <row r="1900" spans="2:27" ht="23.25" x14ac:dyDescent="0.25">
      <c r="B1900" s="49"/>
      <c r="C1900" s="82" t="s">
        <v>500</v>
      </c>
      <c r="D1900" s="96">
        <f>U1892</f>
        <v>70</v>
      </c>
      <c r="E1900" s="49"/>
      <c r="F1900" s="49"/>
      <c r="G1900" s="48"/>
      <c r="H1900" s="87"/>
    </row>
    <row r="1901" spans="2:27" ht="23.25" x14ac:dyDescent="0.25">
      <c r="B1901" s="49"/>
      <c r="C1901" s="82" t="s">
        <v>501</v>
      </c>
      <c r="D1901" s="83" t="s">
        <v>502</v>
      </c>
      <c r="E1901" s="49"/>
      <c r="F1901" s="49"/>
      <c r="G1901" s="48"/>
      <c r="H1901" s="87"/>
    </row>
    <row r="1902" spans="2:27" ht="24" thickBot="1" x14ac:dyDescent="0.3">
      <c r="B1902" s="49"/>
      <c r="C1902" s="49"/>
      <c r="D1902" s="49"/>
      <c r="E1902" s="49"/>
      <c r="F1902" s="49"/>
      <c r="G1902" s="48"/>
      <c r="H1902" s="87"/>
    </row>
    <row r="1903" spans="2:27" ht="48" thickBot="1" x14ac:dyDescent="0.3">
      <c r="B1903" s="315" t="s">
        <v>436</v>
      </c>
      <c r="C1903" s="316"/>
      <c r="D1903" s="54" t="s">
        <v>503</v>
      </c>
      <c r="E1903" s="317" t="s">
        <v>504</v>
      </c>
      <c r="F1903" s="318"/>
      <c r="G1903" s="55" t="s">
        <v>505</v>
      </c>
      <c r="H1903" s="87"/>
    </row>
    <row r="1904" spans="2:27" ht="24" thickBot="1" x14ac:dyDescent="0.3">
      <c r="B1904" s="319" t="s">
        <v>506</v>
      </c>
      <c r="C1904" s="320"/>
      <c r="D1904" s="136">
        <v>197.93</v>
      </c>
      <c r="E1904" s="136">
        <f>D1895</f>
        <v>9.5</v>
      </c>
      <c r="F1904" s="77" t="s">
        <v>434</v>
      </c>
      <c r="G1904" s="142">
        <f t="shared" ref="G1904:G1911" si="91">D1904*E1904</f>
        <v>1880.335</v>
      </c>
      <c r="H1904" s="321"/>
    </row>
    <row r="1905" spans="2:8" ht="23.25" x14ac:dyDescent="0.25">
      <c r="B1905" s="322" t="s">
        <v>507</v>
      </c>
      <c r="C1905" s="323"/>
      <c r="D1905" s="137">
        <v>159.44</v>
      </c>
      <c r="E1905" s="137">
        <f>V1892</f>
        <v>1.52</v>
      </c>
      <c r="F1905" s="78" t="s">
        <v>437</v>
      </c>
      <c r="G1905" s="143">
        <f t="shared" si="91"/>
        <v>242.34880000000001</v>
      </c>
      <c r="H1905" s="321"/>
    </row>
    <row r="1906" spans="2:8" ht="24" thickBot="1" x14ac:dyDescent="0.3">
      <c r="B1906" s="324" t="s">
        <v>508</v>
      </c>
      <c r="C1906" s="325"/>
      <c r="D1906" s="138">
        <v>276.62</v>
      </c>
      <c r="E1906" s="138">
        <f>V1892</f>
        <v>1.52</v>
      </c>
      <c r="F1906" s="79" t="s">
        <v>437</v>
      </c>
      <c r="G1906" s="144">
        <f t="shared" si="91"/>
        <v>420.4624</v>
      </c>
      <c r="H1906" s="321"/>
    </row>
    <row r="1907" spans="2:8" ht="24" thickBot="1" x14ac:dyDescent="0.3">
      <c r="B1907" s="326" t="s">
        <v>438</v>
      </c>
      <c r="C1907" s="327"/>
      <c r="D1907" s="139">
        <v>519</v>
      </c>
      <c r="E1907" s="139"/>
      <c r="F1907" s="80" t="s">
        <v>434</v>
      </c>
      <c r="G1907" s="145">
        <f t="shared" si="91"/>
        <v>0</v>
      </c>
      <c r="H1907" s="321"/>
    </row>
    <row r="1908" spans="2:8" ht="23.25" x14ac:dyDescent="0.25">
      <c r="B1908" s="322" t="s">
        <v>509</v>
      </c>
      <c r="C1908" s="323"/>
      <c r="D1908" s="137">
        <v>920</v>
      </c>
      <c r="E1908" s="137">
        <f>D1895*2</f>
        <v>19</v>
      </c>
      <c r="F1908" s="78" t="s">
        <v>434</v>
      </c>
      <c r="G1908" s="143">
        <f t="shared" si="91"/>
        <v>17480</v>
      </c>
      <c r="H1908" s="321"/>
    </row>
    <row r="1909" spans="2:8" ht="23.25" x14ac:dyDescent="0.25">
      <c r="B1909" s="328" t="s">
        <v>510</v>
      </c>
      <c r="C1909" s="329"/>
      <c r="D1909" s="140">
        <v>1300</v>
      </c>
      <c r="E1909" s="140">
        <v>9.5</v>
      </c>
      <c r="F1909" s="81" t="s">
        <v>434</v>
      </c>
      <c r="G1909" s="146">
        <f t="shared" si="91"/>
        <v>12350</v>
      </c>
      <c r="H1909" s="321"/>
    </row>
    <row r="1910" spans="2:8" ht="23.25" x14ac:dyDescent="0.25">
      <c r="B1910" s="328" t="s">
        <v>439</v>
      </c>
      <c r="C1910" s="329"/>
      <c r="D1910" s="141">
        <v>5165.12</v>
      </c>
      <c r="E1910" s="140"/>
      <c r="F1910" s="81" t="s">
        <v>434</v>
      </c>
      <c r="G1910" s="146">
        <f t="shared" si="91"/>
        <v>0</v>
      </c>
      <c r="H1910" s="321"/>
    </row>
    <row r="1911" spans="2:8" ht="23.25" x14ac:dyDescent="0.25">
      <c r="B1911" s="328" t="s">
        <v>511</v>
      </c>
      <c r="C1911" s="329"/>
      <c r="D1911" s="141">
        <v>917</v>
      </c>
      <c r="E1911" s="140"/>
      <c r="F1911" s="81" t="s">
        <v>434</v>
      </c>
      <c r="G1911" s="146">
        <f t="shared" si="91"/>
        <v>0</v>
      </c>
      <c r="H1911" s="321"/>
    </row>
    <row r="1912" spans="2:8" ht="23.25" x14ac:dyDescent="0.25">
      <c r="B1912" s="328" t="s">
        <v>441</v>
      </c>
      <c r="C1912" s="329"/>
      <c r="D1912" s="141">
        <v>461.56000000000006</v>
      </c>
      <c r="E1912" s="140"/>
      <c r="F1912" s="81" t="s">
        <v>434</v>
      </c>
      <c r="G1912" s="146">
        <f>D1912*E1912</f>
        <v>0</v>
      </c>
      <c r="H1912" s="321"/>
    </row>
    <row r="1913" spans="2:8" ht="24" thickBot="1" x14ac:dyDescent="0.3">
      <c r="B1913" s="324" t="s">
        <v>440</v>
      </c>
      <c r="C1913" s="325"/>
      <c r="D1913" s="138">
        <v>353.15</v>
      </c>
      <c r="E1913" s="140"/>
      <c r="F1913" s="79" t="s">
        <v>434</v>
      </c>
      <c r="G1913" s="147">
        <f>D1913*E1913</f>
        <v>0</v>
      </c>
      <c r="H1913" s="321"/>
    </row>
    <row r="1914" spans="2:8" ht="23.25" x14ac:dyDescent="0.25">
      <c r="B1914" s="49"/>
      <c r="C1914" s="66"/>
      <c r="D1914" s="66"/>
      <c r="E1914" s="56"/>
      <c r="F1914" s="56"/>
      <c r="G1914" s="48"/>
      <c r="H1914" s="92"/>
    </row>
    <row r="1915" spans="2:8" ht="25.5" x14ac:dyDescent="0.25">
      <c r="B1915" s="49"/>
      <c r="C1915" s="59" t="s">
        <v>512</v>
      </c>
      <c r="D1915" s="60"/>
      <c r="E1915" s="49"/>
      <c r="F1915" s="49"/>
      <c r="G1915" s="48"/>
      <c r="H1915" s="87"/>
    </row>
    <row r="1916" spans="2:8" ht="18.75" x14ac:dyDescent="0.25">
      <c r="B1916" s="49"/>
      <c r="C1916" s="306" t="s">
        <v>513</v>
      </c>
      <c r="D1916" s="132" t="s">
        <v>514</v>
      </c>
      <c r="E1916" s="68">
        <f>ROUND((G1904+D1897)/D1897,2)</f>
        <v>1.0900000000000001</v>
      </c>
      <c r="F1916" s="68"/>
      <c r="G1916" s="50"/>
      <c r="H1916" s="87"/>
    </row>
    <row r="1917" spans="2:8" ht="23.25" x14ac:dyDescent="0.25">
      <c r="B1917" s="49"/>
      <c r="C1917" s="306"/>
      <c r="D1917" s="132" t="s">
        <v>515</v>
      </c>
      <c r="E1917" s="68">
        <f>ROUND((G1905+G1906+D1897)/D1897,2)</f>
        <v>1.03</v>
      </c>
      <c r="F1917" s="68"/>
      <c r="G1917" s="57"/>
      <c r="H1917" s="93"/>
    </row>
    <row r="1918" spans="2:8" ht="23.25" x14ac:dyDescent="0.25">
      <c r="B1918" s="49"/>
      <c r="C1918" s="306"/>
      <c r="D1918" s="132" t="s">
        <v>516</v>
      </c>
      <c r="E1918" s="68">
        <f>ROUND((G1907+D1897)/D1897,2)</f>
        <v>1</v>
      </c>
      <c r="F1918" s="50"/>
      <c r="G1918" s="57"/>
      <c r="H1918" s="87"/>
    </row>
    <row r="1919" spans="2:8" ht="23.25" x14ac:dyDescent="0.25">
      <c r="B1919" s="49"/>
      <c r="C1919" s="306"/>
      <c r="D1919" s="69" t="s">
        <v>517</v>
      </c>
      <c r="E1919" s="70">
        <f>ROUND((SUM(G1908:G1913)+D1897)/D1897,2)</f>
        <v>2.4700000000000002</v>
      </c>
      <c r="F1919" s="50"/>
      <c r="G1919" s="57"/>
      <c r="H1919" s="87"/>
    </row>
    <row r="1920" spans="2:8" ht="25.5" x14ac:dyDescent="0.25">
      <c r="B1920" s="49"/>
      <c r="C1920" s="49"/>
      <c r="D1920" s="71" t="s">
        <v>518</v>
      </c>
      <c r="E1920" s="72">
        <f>SUM(E1916:E1919)-IF(D1901="сплошная",3,2)</f>
        <v>2.59</v>
      </c>
      <c r="F1920" s="73"/>
      <c r="G1920" s="48"/>
      <c r="H1920" s="87"/>
    </row>
    <row r="1921" spans="2:27" ht="23.25" x14ac:dyDescent="0.25">
      <c r="B1921" s="49"/>
      <c r="C1921" s="49"/>
      <c r="D1921" s="49"/>
      <c r="E1921" s="74"/>
      <c r="F1921" s="49"/>
      <c r="G1921" s="48"/>
      <c r="H1921" s="87"/>
    </row>
    <row r="1922" spans="2:27" ht="25.5" x14ac:dyDescent="0.35">
      <c r="B1922" s="58"/>
      <c r="C1922" s="75" t="s">
        <v>519</v>
      </c>
      <c r="D1922" s="307">
        <f>E1920*D1897</f>
        <v>52421.988499999999</v>
      </c>
      <c r="E1922" s="307"/>
      <c r="F1922" s="49"/>
      <c r="G1922" s="48"/>
      <c r="H1922" s="87"/>
    </row>
    <row r="1923" spans="2:27" ht="18.75" x14ac:dyDescent="0.3">
      <c r="B1923" s="49"/>
      <c r="C1923" s="76" t="s">
        <v>520</v>
      </c>
      <c r="D1923" s="308">
        <f>D1922/D1896</f>
        <v>43.669706019559818</v>
      </c>
      <c r="E1923" s="308"/>
      <c r="F1923" s="49"/>
      <c r="G1923" s="49"/>
      <c r="H1923" s="94"/>
    </row>
    <row r="1926" spans="2:27" ht="60.75" x14ac:dyDescent="0.8">
      <c r="B1926" s="330" t="str">
        <f>CONCATENATE("ЛОТ № ",K1929)</f>
        <v>ЛОТ № 53</v>
      </c>
      <c r="C1926" s="330"/>
      <c r="D1926" s="330"/>
      <c r="E1926" s="330"/>
      <c r="F1926" s="330"/>
      <c r="G1926" s="330"/>
      <c r="H1926" s="330"/>
    </row>
    <row r="1927" spans="2:27" ht="18.75" x14ac:dyDescent="0.25">
      <c r="B1927" s="331" t="s">
        <v>492</v>
      </c>
      <c r="C1927" s="331"/>
      <c r="D1927" s="331"/>
      <c r="E1927" s="331"/>
      <c r="F1927" s="331"/>
      <c r="G1927" s="331"/>
      <c r="H1927" s="87"/>
    </row>
    <row r="1928" spans="2:27" ht="25.5" x14ac:dyDescent="0.25">
      <c r="B1928" s="49"/>
      <c r="C1928" s="59" t="s">
        <v>493</v>
      </c>
      <c r="D1928" s="60"/>
      <c r="E1928" s="49"/>
      <c r="F1928" s="49"/>
      <c r="G1928" s="48"/>
      <c r="H1928" s="87"/>
      <c r="I1928" s="88"/>
      <c r="J1928" s="88"/>
      <c r="K1928" s="88"/>
      <c r="L1928" s="88" t="s">
        <v>454</v>
      </c>
      <c r="M1928" s="88" t="s">
        <v>444</v>
      </c>
      <c r="N1928" s="88" t="s">
        <v>445</v>
      </c>
      <c r="O1928" s="88" t="s">
        <v>453</v>
      </c>
      <c r="P1928" s="89" t="s">
        <v>446</v>
      </c>
      <c r="Q1928" s="88" t="s">
        <v>435</v>
      </c>
      <c r="R1928" s="40" t="s">
        <v>447</v>
      </c>
      <c r="S1928" s="40" t="s">
        <v>522</v>
      </c>
      <c r="T1928" s="88" t="s">
        <v>118</v>
      </c>
      <c r="U1928" s="88" t="s">
        <v>500</v>
      </c>
      <c r="V1928" s="88" t="s">
        <v>450</v>
      </c>
      <c r="W1928" s="40" t="s">
        <v>448</v>
      </c>
      <c r="X1928" s="40" t="s">
        <v>449</v>
      </c>
      <c r="Y1928" s="88" t="s">
        <v>523</v>
      </c>
      <c r="Z1928" s="88"/>
    </row>
    <row r="1929" spans="2:27" ht="19.5" x14ac:dyDescent="0.25">
      <c r="B1929" s="50"/>
      <c r="C1929" s="332" t="s">
        <v>494</v>
      </c>
      <c r="D1929" s="335" t="s">
        <v>521</v>
      </c>
      <c r="E1929" s="336"/>
      <c r="F1929" s="336"/>
      <c r="G1929" s="337"/>
      <c r="H1929" s="90"/>
      <c r="I1929" s="88" t="s">
        <v>443</v>
      </c>
      <c r="J1929" s="88"/>
      <c r="K1929" s="43">
        <f>IF(I1929="","",COUNTA(I$5:I1929))</f>
        <v>53</v>
      </c>
      <c r="L1929" s="95" t="str">
        <f>INDEX('Ведомость расчета мин. платы'!$B$10:$T$209,MATCH(ЛОТЫ!$K1929,'Ведомость расчета мин. платы'!$B$10:$B$209,0),2)</f>
        <v>Чулпановское</v>
      </c>
      <c r="M1929" s="95">
        <f>INDEX('Ведомость расчета мин. платы'!$B$10:$T$209,MATCH(ЛОТЫ!$K1929,'Ведомость расчета мин. платы'!$B$10:$B$209,0),3)</f>
        <v>14</v>
      </c>
      <c r="N1929" s="95">
        <f>INDEX('Ведомость расчета мин. платы'!$B$10:$T$209,MATCH(ЛОТЫ!$K1929,'Ведомость расчета мин. платы'!$B$10:$B$209,0),4)</f>
        <v>10</v>
      </c>
      <c r="O1929" s="95">
        <f>INDEX('Ведомость расчета мин. платы'!$B$10:$T$209,MATCH(ЛОТЫ!$K1929,'Ведомость расчета мин. платы'!$B$10:$B$209,0),5)</f>
        <v>1</v>
      </c>
      <c r="P1929" s="89">
        <f>IFERROR(INDEX(Коэффициенты!$G$4:$O$106,MATCH(CONCATENATE($L1929,"/",$M1929,"/",$N1929,"/",$O1929),Коэффициенты!$O$4:$O$106,0),1),"")</f>
        <v>9.3000000000000007</v>
      </c>
      <c r="Q1929" s="40">
        <f>IFERROR(INDEX(Коэффициенты!$G$4:$O$106,MATCH(CONCATENATE($L1929,"/",$M1929,"/",$N1929,"/",$O1929),Коэффициенты!$O$4:$O$106,0),6),"")</f>
        <v>1423.8</v>
      </c>
      <c r="R1929" s="40">
        <f>IFERROR(INDEX(Коэффициенты!$G$4:$O$106,MATCH(CONCATENATE($L1929,"/",$M1929,"/",$N1929,"/",$O1929),Коэффициенты!$O$4:$O$106,0),2),"")</f>
        <v>15254.689999999999</v>
      </c>
      <c r="S1929" s="43" t="str">
        <f>IFERROR(INDEX('Такс. опис.'!$A$5:$BW$50,MATCH(CONCATENATE($L1929,"/",$M1929,"/",$N1929),'Такс. опис.'!$C$5:$C$50,0),26),"")</f>
        <v>10ОС+Б</v>
      </c>
      <c r="T1929" s="43" t="str">
        <f>IFERROR(INDEX('Такс. опис.'!$A$5:$BW$50,MATCH(CONCATENATE($L1929,"/",$M1929,"/",$N1929),'Такс. опис.'!$C$5:$C$50,0),47),"")</f>
        <v>Осина</v>
      </c>
      <c r="U1929" s="43">
        <f>IFERROR(INDEX('Такс. опис.'!$A$5:$BW$50,MATCH(CONCATENATE($L1929,"/",$M1929,"/",$N1929),'Такс. опис.'!$C$5:$C$50,0),49),"")</f>
        <v>45</v>
      </c>
      <c r="V1929" s="103">
        <f>IFERROR(INDEX('Ведомость расчета мин. платы'!$AC$10:$AD$214,MATCH(CONCATENATE($L1929,"/",$M1929,"/",$N1929,"/",$O1929),'Ведомость расчета мин. платы'!$AC$10:$AC$214,0),2),"")</f>
        <v>1.17</v>
      </c>
      <c r="W1929" s="40">
        <f>E1957</f>
        <v>3.0600000000000005</v>
      </c>
      <c r="X1929" s="40">
        <f>D1959</f>
        <v>46679.351400000007</v>
      </c>
      <c r="Y1929" s="91">
        <f>D1960</f>
        <v>32.785048040455123</v>
      </c>
      <c r="Z1929" s="88"/>
      <c r="AA1929" s="86">
        <f t="shared" ref="AA1929" si="92">IF(M1929&gt;0,1,0)</f>
        <v>1</v>
      </c>
    </row>
    <row r="1930" spans="2:27" ht="19.5" x14ac:dyDescent="0.25">
      <c r="B1930" s="50"/>
      <c r="C1930" s="333"/>
      <c r="D1930" s="338" t="str">
        <f>CONCATENATE(L1929, " участковое лесничество")</f>
        <v>Чулпановское участковое лесничество</v>
      </c>
      <c r="E1930" s="338"/>
      <c r="F1930" s="338"/>
      <c r="G1930" s="338"/>
      <c r="H1930" s="90"/>
      <c r="I1930" s="88"/>
      <c r="J1930" s="88">
        <f>IFERROR(IF(ISBLANK(K1929),"",K1929),"")</f>
        <v>53</v>
      </c>
      <c r="K1930" s="88"/>
      <c r="L1930" s="88"/>
      <c r="M1930" s="88"/>
      <c r="N1930" s="88"/>
      <c r="O1930" s="88"/>
      <c r="P1930" s="88"/>
      <c r="Q1930" s="88"/>
      <c r="R1930" s="88"/>
      <c r="S1930" s="88"/>
      <c r="T1930" s="88"/>
      <c r="U1930" s="88"/>
      <c r="V1930" s="88"/>
      <c r="W1930" s="88"/>
      <c r="X1930" s="88"/>
      <c r="Y1930" s="88"/>
      <c r="Z1930" s="88"/>
    </row>
    <row r="1931" spans="2:27" ht="19.5" x14ac:dyDescent="0.25">
      <c r="B1931" s="50"/>
      <c r="C1931" s="334"/>
      <c r="D1931" s="338" t="str">
        <f>CONCATENATE("кв. ",M1929," ","выд."," ",N1929," ","делянка", " ",O1929)</f>
        <v>кв. 14 выд. 10 делянка 1</v>
      </c>
      <c r="E1931" s="338"/>
      <c r="F1931" s="338"/>
      <c r="G1931" s="338"/>
      <c r="H1931" s="90"/>
      <c r="I1931" s="88"/>
      <c r="J1931" s="88"/>
      <c r="K1931" s="88"/>
      <c r="L1931" s="88"/>
      <c r="M1931" s="88"/>
      <c r="N1931" s="88"/>
      <c r="O1931" s="88"/>
      <c r="P1931" s="88"/>
      <c r="Q1931" s="88"/>
      <c r="R1931" s="88"/>
      <c r="S1931" s="88"/>
      <c r="T1931" s="88"/>
      <c r="U1931" s="88"/>
      <c r="V1931" s="88"/>
      <c r="W1931" s="88"/>
      <c r="X1931" s="88"/>
      <c r="Y1931" s="88"/>
      <c r="Z1931" s="88"/>
    </row>
    <row r="1932" spans="2:27" ht="23.25" x14ac:dyDescent="0.25">
      <c r="B1932" s="49"/>
      <c r="C1932" s="61" t="s">
        <v>495</v>
      </c>
      <c r="D1932" s="51">
        <f>P1929</f>
        <v>9.3000000000000007</v>
      </c>
      <c r="E1932" s="62"/>
      <c r="F1932" s="50"/>
      <c r="G1932" s="48"/>
      <c r="H1932" s="87"/>
    </row>
    <row r="1933" spans="2:27" ht="22.5" x14ac:dyDescent="0.25">
      <c r="B1933" s="49"/>
      <c r="C1933" s="63" t="s">
        <v>496</v>
      </c>
      <c r="D1933" s="106">
        <f>Q1929</f>
        <v>1423.8</v>
      </c>
      <c r="E1933" s="309" t="s">
        <v>497</v>
      </c>
      <c r="F1933" s="310"/>
      <c r="G1933" s="313">
        <f>D1934/D1933</f>
        <v>10.714067987076836</v>
      </c>
      <c r="H1933" s="87"/>
    </row>
    <row r="1934" spans="2:27" ht="22.5" x14ac:dyDescent="0.25">
      <c r="B1934" s="49"/>
      <c r="C1934" s="63" t="s">
        <v>498</v>
      </c>
      <c r="D1934" s="52">
        <f>R1929</f>
        <v>15254.689999999999</v>
      </c>
      <c r="E1934" s="311"/>
      <c r="F1934" s="312"/>
      <c r="G1934" s="314"/>
      <c r="H1934" s="87"/>
    </row>
    <row r="1935" spans="2:27" ht="23.25" x14ac:dyDescent="0.25">
      <c r="B1935" s="49"/>
      <c r="C1935" s="64"/>
      <c r="D1935" s="53"/>
      <c r="E1935" s="65"/>
      <c r="F1935" s="49"/>
      <c r="G1935" s="48"/>
      <c r="H1935" s="87"/>
    </row>
    <row r="1936" spans="2:27" ht="23.25" x14ac:dyDescent="0.25">
      <c r="B1936" s="49"/>
      <c r="C1936" s="82" t="s">
        <v>499</v>
      </c>
      <c r="D1936" s="96" t="str">
        <f>S1929</f>
        <v>10ОС+Б</v>
      </c>
      <c r="E1936" s="49"/>
      <c r="F1936" s="49"/>
      <c r="G1936" s="48"/>
      <c r="H1936" s="87"/>
    </row>
    <row r="1937" spans="2:8" ht="23.25" x14ac:dyDescent="0.25">
      <c r="B1937" s="49"/>
      <c r="C1937" s="82" t="s">
        <v>500</v>
      </c>
      <c r="D1937" s="96">
        <f>U1929</f>
        <v>45</v>
      </c>
      <c r="E1937" s="49"/>
      <c r="F1937" s="49"/>
      <c r="G1937" s="48"/>
      <c r="H1937" s="87"/>
    </row>
    <row r="1938" spans="2:8" ht="23.25" x14ac:dyDescent="0.25">
      <c r="B1938" s="49"/>
      <c r="C1938" s="82" t="s">
        <v>501</v>
      </c>
      <c r="D1938" s="83" t="s">
        <v>502</v>
      </c>
      <c r="E1938" s="49"/>
      <c r="F1938" s="49"/>
      <c r="G1938" s="48"/>
      <c r="H1938" s="87"/>
    </row>
    <row r="1939" spans="2:8" ht="24" thickBot="1" x14ac:dyDescent="0.3">
      <c r="B1939" s="49"/>
      <c r="C1939" s="49"/>
      <c r="D1939" s="49"/>
      <c r="E1939" s="49"/>
      <c r="F1939" s="49"/>
      <c r="G1939" s="48"/>
      <c r="H1939" s="87"/>
    </row>
    <row r="1940" spans="2:8" ht="48" thickBot="1" x14ac:dyDescent="0.3">
      <c r="B1940" s="315" t="s">
        <v>436</v>
      </c>
      <c r="C1940" s="316"/>
      <c r="D1940" s="54" t="s">
        <v>503</v>
      </c>
      <c r="E1940" s="317" t="s">
        <v>504</v>
      </c>
      <c r="F1940" s="318"/>
      <c r="G1940" s="55" t="s">
        <v>505</v>
      </c>
      <c r="H1940" s="87"/>
    </row>
    <row r="1941" spans="2:8" ht="24" thickBot="1" x14ac:dyDescent="0.3">
      <c r="B1941" s="319" t="s">
        <v>506</v>
      </c>
      <c r="C1941" s="320"/>
      <c r="D1941" s="136">
        <v>197.93</v>
      </c>
      <c r="E1941" s="136">
        <f>D1932</f>
        <v>9.3000000000000007</v>
      </c>
      <c r="F1941" s="77" t="s">
        <v>434</v>
      </c>
      <c r="G1941" s="142">
        <f t="shared" ref="G1941:G1948" si="93">D1941*E1941</f>
        <v>1840.7490000000003</v>
      </c>
      <c r="H1941" s="321"/>
    </row>
    <row r="1942" spans="2:8" ht="23.25" x14ac:dyDescent="0.25">
      <c r="B1942" s="322" t="s">
        <v>507</v>
      </c>
      <c r="C1942" s="323"/>
      <c r="D1942" s="137">
        <v>159.44</v>
      </c>
      <c r="E1942" s="137">
        <f>V1929</f>
        <v>1.17</v>
      </c>
      <c r="F1942" s="78" t="s">
        <v>437</v>
      </c>
      <c r="G1942" s="143">
        <f t="shared" si="93"/>
        <v>186.54479999999998</v>
      </c>
      <c r="H1942" s="321"/>
    </row>
    <row r="1943" spans="2:8" ht="24" thickBot="1" x14ac:dyDescent="0.3">
      <c r="B1943" s="324" t="s">
        <v>508</v>
      </c>
      <c r="C1943" s="325"/>
      <c r="D1943" s="138">
        <v>276.62</v>
      </c>
      <c r="E1943" s="138">
        <f>V1929</f>
        <v>1.17</v>
      </c>
      <c r="F1943" s="79" t="s">
        <v>437</v>
      </c>
      <c r="G1943" s="144">
        <f t="shared" si="93"/>
        <v>323.6454</v>
      </c>
      <c r="H1943" s="321"/>
    </row>
    <row r="1944" spans="2:8" ht="24" thickBot="1" x14ac:dyDescent="0.3">
      <c r="B1944" s="326" t="s">
        <v>438</v>
      </c>
      <c r="C1944" s="327"/>
      <c r="D1944" s="139">
        <v>519</v>
      </c>
      <c r="E1944" s="139"/>
      <c r="F1944" s="80" t="s">
        <v>434</v>
      </c>
      <c r="G1944" s="145">
        <f t="shared" si="93"/>
        <v>0</v>
      </c>
      <c r="H1944" s="321"/>
    </row>
    <row r="1945" spans="2:8" ht="23.25" x14ac:dyDescent="0.25">
      <c r="B1945" s="322" t="s">
        <v>509</v>
      </c>
      <c r="C1945" s="323"/>
      <c r="D1945" s="137">
        <v>920</v>
      </c>
      <c r="E1945" s="137">
        <f>D1932*2</f>
        <v>18.600000000000001</v>
      </c>
      <c r="F1945" s="78" t="s">
        <v>434</v>
      </c>
      <c r="G1945" s="143">
        <f t="shared" si="93"/>
        <v>17112</v>
      </c>
      <c r="H1945" s="321"/>
    </row>
    <row r="1946" spans="2:8" ht="23.25" x14ac:dyDescent="0.25">
      <c r="B1946" s="328" t="s">
        <v>510</v>
      </c>
      <c r="C1946" s="329"/>
      <c r="D1946" s="140">
        <v>1300</v>
      </c>
      <c r="E1946" s="140">
        <f>IF(T1929="Осина",D1932,"0")</f>
        <v>9.3000000000000007</v>
      </c>
      <c r="F1946" s="81" t="s">
        <v>434</v>
      </c>
      <c r="G1946" s="146">
        <f t="shared" si="93"/>
        <v>12090.000000000002</v>
      </c>
      <c r="H1946" s="321"/>
    </row>
    <row r="1947" spans="2:8" ht="23.25" x14ac:dyDescent="0.25">
      <c r="B1947" s="328" t="s">
        <v>439</v>
      </c>
      <c r="C1947" s="329"/>
      <c r="D1947" s="141">
        <v>5165.12</v>
      </c>
      <c r="E1947" s="140" t="str">
        <f>IF(T1929="Осина","0",D1932)</f>
        <v>0</v>
      </c>
      <c r="F1947" s="81" t="s">
        <v>434</v>
      </c>
      <c r="G1947" s="146">
        <f t="shared" si="93"/>
        <v>0</v>
      </c>
      <c r="H1947" s="321"/>
    </row>
    <row r="1948" spans="2:8" ht="23.25" x14ac:dyDescent="0.25">
      <c r="B1948" s="328" t="s">
        <v>511</v>
      </c>
      <c r="C1948" s="329"/>
      <c r="D1948" s="141">
        <v>917</v>
      </c>
      <c r="E1948" s="140" t="str">
        <f>IF(T1929="Осина","0",D1932)</f>
        <v>0</v>
      </c>
      <c r="F1948" s="81" t="s">
        <v>434</v>
      </c>
      <c r="G1948" s="146">
        <f t="shared" si="93"/>
        <v>0</v>
      </c>
      <c r="H1948" s="321"/>
    </row>
    <row r="1949" spans="2:8" ht="23.25" x14ac:dyDescent="0.25">
      <c r="B1949" s="328" t="s">
        <v>441</v>
      </c>
      <c r="C1949" s="329"/>
      <c r="D1949" s="141">
        <v>461.56000000000006</v>
      </c>
      <c r="E1949" s="140" t="str">
        <f>IF(T1929="Осина","0",D1932)</f>
        <v>0</v>
      </c>
      <c r="F1949" s="81" t="s">
        <v>434</v>
      </c>
      <c r="G1949" s="146">
        <f>D1949*E1949</f>
        <v>0</v>
      </c>
      <c r="H1949" s="321"/>
    </row>
    <row r="1950" spans="2:8" ht="24" thickBot="1" x14ac:dyDescent="0.3">
      <c r="B1950" s="324" t="s">
        <v>440</v>
      </c>
      <c r="C1950" s="325"/>
      <c r="D1950" s="138">
        <v>353.15</v>
      </c>
      <c r="E1950" s="140" t="str">
        <f>IF(T1929="Осина","0",D1932*4)</f>
        <v>0</v>
      </c>
      <c r="F1950" s="79" t="s">
        <v>434</v>
      </c>
      <c r="G1950" s="147">
        <f>D1950*E1950</f>
        <v>0</v>
      </c>
      <c r="H1950" s="321"/>
    </row>
    <row r="1951" spans="2:8" ht="23.25" x14ac:dyDescent="0.25">
      <c r="B1951" s="49"/>
      <c r="C1951" s="66"/>
      <c r="D1951" s="66"/>
      <c r="E1951" s="56"/>
      <c r="F1951" s="56"/>
      <c r="G1951" s="48"/>
      <c r="H1951" s="92"/>
    </row>
    <row r="1952" spans="2:8" ht="25.5" x14ac:dyDescent="0.25">
      <c r="B1952" s="49"/>
      <c r="C1952" s="59" t="s">
        <v>512</v>
      </c>
      <c r="D1952" s="60"/>
      <c r="E1952" s="49"/>
      <c r="F1952" s="49"/>
      <c r="G1952" s="48"/>
      <c r="H1952" s="87"/>
    </row>
    <row r="1953" spans="2:27" ht="18.75" x14ac:dyDescent="0.25">
      <c r="B1953" s="49"/>
      <c r="C1953" s="306" t="s">
        <v>513</v>
      </c>
      <c r="D1953" s="132" t="s">
        <v>514</v>
      </c>
      <c r="E1953" s="68">
        <f>ROUND((G1941+D1934)/D1934,2)</f>
        <v>1.1200000000000001</v>
      </c>
      <c r="F1953" s="68"/>
      <c r="G1953" s="50"/>
      <c r="H1953" s="87"/>
    </row>
    <row r="1954" spans="2:27" ht="23.25" x14ac:dyDescent="0.25">
      <c r="B1954" s="49"/>
      <c r="C1954" s="306"/>
      <c r="D1954" s="132" t="s">
        <v>515</v>
      </c>
      <c r="E1954" s="68">
        <f>ROUND((G1942+G1943+D1934)/D1934,2)</f>
        <v>1.03</v>
      </c>
      <c r="F1954" s="68"/>
      <c r="G1954" s="57"/>
      <c r="H1954" s="93"/>
    </row>
    <row r="1955" spans="2:27" ht="23.25" x14ac:dyDescent="0.25">
      <c r="B1955" s="49"/>
      <c r="C1955" s="306"/>
      <c r="D1955" s="132" t="s">
        <v>516</v>
      </c>
      <c r="E1955" s="68">
        <f>ROUND((G1944+D1934)/D1934,2)</f>
        <v>1</v>
      </c>
      <c r="F1955" s="50"/>
      <c r="G1955" s="57"/>
      <c r="H1955" s="87"/>
    </row>
    <row r="1956" spans="2:27" ht="23.25" x14ac:dyDescent="0.25">
      <c r="B1956" s="49"/>
      <c r="C1956" s="306"/>
      <c r="D1956" s="69" t="s">
        <v>517</v>
      </c>
      <c r="E1956" s="70">
        <f>ROUND((SUM(G1945:G1950)+D1934)/D1934,2)</f>
        <v>2.91</v>
      </c>
      <c r="F1956" s="50"/>
      <c r="G1956" s="57"/>
      <c r="H1956" s="87"/>
    </row>
    <row r="1957" spans="2:27" ht="25.5" x14ac:dyDescent="0.25">
      <c r="B1957" s="49"/>
      <c r="C1957" s="49"/>
      <c r="D1957" s="71" t="s">
        <v>518</v>
      </c>
      <c r="E1957" s="72">
        <f>SUM(E1953:E1956)-IF(D1938="сплошная",3,2)</f>
        <v>3.0600000000000005</v>
      </c>
      <c r="F1957" s="73"/>
      <c r="G1957" s="48"/>
      <c r="H1957" s="87"/>
    </row>
    <row r="1958" spans="2:27" ht="23.25" x14ac:dyDescent="0.25">
      <c r="B1958" s="49"/>
      <c r="C1958" s="49"/>
      <c r="D1958" s="49"/>
      <c r="E1958" s="74"/>
      <c r="F1958" s="49"/>
      <c r="G1958" s="48"/>
      <c r="H1958" s="87"/>
    </row>
    <row r="1959" spans="2:27" ht="25.5" x14ac:dyDescent="0.35">
      <c r="B1959" s="58"/>
      <c r="C1959" s="75" t="s">
        <v>519</v>
      </c>
      <c r="D1959" s="307">
        <f>E1957*D1934</f>
        <v>46679.351400000007</v>
      </c>
      <c r="E1959" s="307"/>
      <c r="F1959" s="49"/>
      <c r="G1959" s="48"/>
      <c r="H1959" s="87"/>
    </row>
    <row r="1960" spans="2:27" ht="18.75" x14ac:dyDescent="0.3">
      <c r="B1960" s="49"/>
      <c r="C1960" s="76" t="s">
        <v>520</v>
      </c>
      <c r="D1960" s="308">
        <f>D1959/D1933</f>
        <v>32.785048040455123</v>
      </c>
      <c r="E1960" s="308"/>
      <c r="F1960" s="49"/>
      <c r="G1960" s="49"/>
      <c r="H1960" s="94"/>
    </row>
    <row r="1963" spans="2:27" ht="60.75" x14ac:dyDescent="0.8">
      <c r="B1963" s="330" t="str">
        <f>CONCATENATE("ЛОТ № ",K1966)</f>
        <v>ЛОТ № 54</v>
      </c>
      <c r="C1963" s="330"/>
      <c r="D1963" s="330"/>
      <c r="E1963" s="330"/>
      <c r="F1963" s="330"/>
      <c r="G1963" s="330"/>
      <c r="H1963" s="330"/>
    </row>
    <row r="1964" spans="2:27" ht="18.75" x14ac:dyDescent="0.25">
      <c r="B1964" s="331" t="s">
        <v>492</v>
      </c>
      <c r="C1964" s="331"/>
      <c r="D1964" s="331"/>
      <c r="E1964" s="331"/>
      <c r="F1964" s="331"/>
      <c r="G1964" s="331"/>
      <c r="H1964" s="87"/>
    </row>
    <row r="1965" spans="2:27" ht="25.5" x14ac:dyDescent="0.25">
      <c r="B1965" s="49"/>
      <c r="C1965" s="59" t="s">
        <v>493</v>
      </c>
      <c r="D1965" s="60"/>
      <c r="E1965" s="49"/>
      <c r="F1965" s="49"/>
      <c r="G1965" s="48"/>
      <c r="H1965" s="87"/>
      <c r="I1965" s="88"/>
      <c r="J1965" s="88"/>
      <c r="K1965" s="88"/>
      <c r="L1965" s="88" t="s">
        <v>454</v>
      </c>
      <c r="M1965" s="88" t="s">
        <v>444</v>
      </c>
      <c r="N1965" s="88" t="s">
        <v>445</v>
      </c>
      <c r="O1965" s="88" t="s">
        <v>453</v>
      </c>
      <c r="P1965" s="89" t="s">
        <v>446</v>
      </c>
      <c r="Q1965" s="88" t="s">
        <v>435</v>
      </c>
      <c r="R1965" s="40" t="s">
        <v>447</v>
      </c>
      <c r="S1965" s="40" t="s">
        <v>522</v>
      </c>
      <c r="T1965" s="88" t="s">
        <v>118</v>
      </c>
      <c r="U1965" s="88" t="s">
        <v>500</v>
      </c>
      <c r="V1965" s="88" t="s">
        <v>450</v>
      </c>
      <c r="W1965" s="40" t="s">
        <v>448</v>
      </c>
      <c r="X1965" s="40" t="s">
        <v>449</v>
      </c>
      <c r="Y1965" s="88" t="s">
        <v>523</v>
      </c>
      <c r="Z1965" s="88"/>
    </row>
    <row r="1966" spans="2:27" ht="19.5" x14ac:dyDescent="0.25">
      <c r="B1966" s="50"/>
      <c r="C1966" s="332" t="s">
        <v>494</v>
      </c>
      <c r="D1966" s="335" t="s">
        <v>521</v>
      </c>
      <c r="E1966" s="336"/>
      <c r="F1966" s="336"/>
      <c r="G1966" s="337"/>
      <c r="H1966" s="90"/>
      <c r="I1966" s="88" t="s">
        <v>443</v>
      </c>
      <c r="J1966" s="88"/>
      <c r="K1966" s="43">
        <f>IF(I1966="","",COUNTA(I$5:I1966))</f>
        <v>54</v>
      </c>
      <c r="L1966" s="95" t="str">
        <f>INDEX('Ведомость расчета мин. платы'!$B$10:$T$209,MATCH(ЛОТЫ!$K1966,'Ведомость расчета мин. платы'!$B$10:$B$209,0),2)</f>
        <v>Чулпановское</v>
      </c>
      <c r="M1966" s="95">
        <f>INDEX('Ведомость расчета мин. платы'!$B$10:$T$209,MATCH(ЛОТЫ!$K1966,'Ведомость расчета мин. платы'!$B$10:$B$209,0),3)</f>
        <v>18</v>
      </c>
      <c r="N1966" s="95">
        <f>INDEX('Ведомость расчета мин. платы'!$B$10:$T$209,MATCH(ЛОТЫ!$K1966,'Ведомость расчета мин. платы'!$B$10:$B$209,0),4)</f>
        <v>69</v>
      </c>
      <c r="O1966" s="95">
        <f>INDEX('Ведомость расчета мин. платы'!$B$10:$T$209,MATCH(ЛОТЫ!$K1966,'Ведомость расчета мин. платы'!$B$10:$B$209,0),5)</f>
        <v>1</v>
      </c>
      <c r="P1966" s="89">
        <f>IFERROR(INDEX(Коэффициенты!$G$4:$O$106,MATCH(CONCATENATE($L1966,"/",$M1966,"/",$N1966,"/",$O1966),Коэффициенты!$O$4:$O$106,0),1),"")</f>
        <v>3</v>
      </c>
      <c r="Q1966" s="40">
        <f>IFERROR(INDEX(Коэффициенты!$G$4:$O$106,MATCH(CONCATENATE($L1966,"/",$M1966,"/",$N1966,"/",$O1966),Коэффициенты!$O$4:$O$106,0),6),"")</f>
        <v>518.64</v>
      </c>
      <c r="R1966" s="40">
        <f>IFERROR(INDEX(Коэффициенты!$G$4:$O$106,MATCH(CONCATENATE($L1966,"/",$M1966,"/",$N1966,"/",$O1966),Коэффициенты!$O$4:$O$106,0),2),"")</f>
        <v>3489.77</v>
      </c>
      <c r="S1966" s="43" t="str">
        <f>IFERROR(INDEX('Такс. опис.'!$A$5:$BW$50,MATCH(CONCATENATE($L1966,"/",$M1966,"/",$N1966),'Такс. опис.'!$C$5:$C$50,0),26),"")</f>
        <v>10ОС</v>
      </c>
      <c r="T1966" s="43" t="str">
        <f>IFERROR(INDEX('Такс. опис.'!$A$5:$BW$50,MATCH(CONCATENATE($L1966,"/",$M1966,"/",$N1966),'Такс. опис.'!$C$5:$C$50,0),47),"")</f>
        <v>Осина</v>
      </c>
      <c r="U1966" s="43">
        <f>IFERROR(INDEX('Такс. опис.'!$A$5:$BW$50,MATCH(CONCATENATE($L1966,"/",$M1966,"/",$N1966),'Такс. опис.'!$C$5:$C$50,0),49),"")</f>
        <v>50</v>
      </c>
      <c r="V1966" s="103">
        <f>IFERROR(INDEX('Ведомость расчета мин. платы'!$AC$10:$AD$214,MATCH(CONCATENATE($L1966,"/",$M1966,"/",$N1966,"/",$O1966),'Ведомость расчета мин. платы'!$AC$10:$AC$214,0),2),"")</f>
        <v>0.8</v>
      </c>
      <c r="W1966" s="40">
        <f>E1994</f>
        <v>3.9700000000000006</v>
      </c>
      <c r="X1966" s="40">
        <f>D1996</f>
        <v>13854.386900000001</v>
      </c>
      <c r="Y1966" s="91">
        <f>D1997</f>
        <v>26.71291628104273</v>
      </c>
      <c r="Z1966" s="88"/>
      <c r="AA1966" s="86">
        <f t="shared" ref="AA1966" si="94">IF(M1966&gt;0,1,0)</f>
        <v>1</v>
      </c>
    </row>
    <row r="1967" spans="2:27" ht="19.5" x14ac:dyDescent="0.25">
      <c r="B1967" s="50"/>
      <c r="C1967" s="333"/>
      <c r="D1967" s="338" t="str">
        <f>CONCATENATE(L1966, " участковое лесничество")</f>
        <v>Чулпановское участковое лесничество</v>
      </c>
      <c r="E1967" s="338"/>
      <c r="F1967" s="338"/>
      <c r="G1967" s="338"/>
      <c r="H1967" s="90"/>
      <c r="I1967" s="88"/>
      <c r="J1967" s="88">
        <f>IFERROR(IF(ISBLANK(K1966),"",K1966),"")</f>
        <v>54</v>
      </c>
      <c r="K1967" s="88"/>
      <c r="L1967" s="88"/>
      <c r="M1967" s="88"/>
      <c r="N1967" s="88"/>
      <c r="O1967" s="88"/>
      <c r="P1967" s="88"/>
      <c r="Q1967" s="88"/>
      <c r="R1967" s="88"/>
      <c r="S1967" s="88"/>
      <c r="T1967" s="88"/>
      <c r="U1967" s="88"/>
      <c r="V1967" s="88"/>
      <c r="W1967" s="88"/>
      <c r="X1967" s="88"/>
      <c r="Y1967" s="88"/>
      <c r="Z1967" s="88"/>
    </row>
    <row r="1968" spans="2:27" ht="19.5" x14ac:dyDescent="0.25">
      <c r="B1968" s="50"/>
      <c r="C1968" s="334"/>
      <c r="D1968" s="338" t="str">
        <f>CONCATENATE("кв. ",M1966," ","выд."," ",N1966," ","делянка", " ",O1966)</f>
        <v>кв. 18 выд. 69 делянка 1</v>
      </c>
      <c r="E1968" s="338"/>
      <c r="F1968" s="338"/>
      <c r="G1968" s="338"/>
      <c r="H1968" s="90"/>
      <c r="I1968" s="88"/>
      <c r="J1968" s="88"/>
      <c r="K1968" s="88"/>
      <c r="L1968" s="88"/>
      <c r="M1968" s="88"/>
      <c r="N1968" s="88"/>
      <c r="O1968" s="88"/>
      <c r="P1968" s="88"/>
      <c r="Q1968" s="88"/>
      <c r="R1968" s="88"/>
      <c r="S1968" s="88"/>
      <c r="T1968" s="88"/>
      <c r="U1968" s="88"/>
      <c r="V1968" s="88"/>
      <c r="W1968" s="88"/>
      <c r="X1968" s="88"/>
      <c r="Y1968" s="88"/>
      <c r="Z1968" s="88"/>
    </row>
    <row r="1969" spans="2:8" ht="23.25" x14ac:dyDescent="0.25">
      <c r="B1969" s="49"/>
      <c r="C1969" s="61" t="s">
        <v>495</v>
      </c>
      <c r="D1969" s="51">
        <f>P1966</f>
        <v>3</v>
      </c>
      <c r="E1969" s="62"/>
      <c r="F1969" s="50"/>
      <c r="G1969" s="48"/>
      <c r="H1969" s="87"/>
    </row>
    <row r="1970" spans="2:8" ht="22.5" x14ac:dyDescent="0.25">
      <c r="B1970" s="49"/>
      <c r="C1970" s="63" t="s">
        <v>496</v>
      </c>
      <c r="D1970" s="106">
        <f>Q1966</f>
        <v>518.64</v>
      </c>
      <c r="E1970" s="309" t="s">
        <v>497</v>
      </c>
      <c r="F1970" s="310"/>
      <c r="G1970" s="313">
        <f>D1971/D1970</f>
        <v>6.7286942773407379</v>
      </c>
      <c r="H1970" s="87"/>
    </row>
    <row r="1971" spans="2:8" ht="22.5" x14ac:dyDescent="0.25">
      <c r="B1971" s="49"/>
      <c r="C1971" s="63" t="s">
        <v>498</v>
      </c>
      <c r="D1971" s="52">
        <f>R1966</f>
        <v>3489.77</v>
      </c>
      <c r="E1971" s="311"/>
      <c r="F1971" s="312"/>
      <c r="G1971" s="314"/>
      <c r="H1971" s="87"/>
    </row>
    <row r="1972" spans="2:8" ht="23.25" x14ac:dyDescent="0.25">
      <c r="B1972" s="49"/>
      <c r="C1972" s="64"/>
      <c r="D1972" s="53"/>
      <c r="E1972" s="65"/>
      <c r="F1972" s="49"/>
      <c r="G1972" s="48"/>
      <c r="H1972" s="87"/>
    </row>
    <row r="1973" spans="2:8" ht="23.25" x14ac:dyDescent="0.25">
      <c r="B1973" s="49"/>
      <c r="C1973" s="82" t="s">
        <v>499</v>
      </c>
      <c r="D1973" s="96" t="str">
        <f>S1966</f>
        <v>10ОС</v>
      </c>
      <c r="E1973" s="49"/>
      <c r="F1973" s="49"/>
      <c r="G1973" s="48"/>
      <c r="H1973" s="87"/>
    </row>
    <row r="1974" spans="2:8" ht="23.25" x14ac:dyDescent="0.25">
      <c r="B1974" s="49"/>
      <c r="C1974" s="82" t="s">
        <v>500</v>
      </c>
      <c r="D1974" s="96">
        <f>U1966</f>
        <v>50</v>
      </c>
      <c r="E1974" s="49"/>
      <c r="F1974" s="49"/>
      <c r="G1974" s="48"/>
      <c r="H1974" s="87"/>
    </row>
    <row r="1975" spans="2:8" ht="23.25" x14ac:dyDescent="0.25">
      <c r="B1975" s="49"/>
      <c r="C1975" s="82" t="s">
        <v>501</v>
      </c>
      <c r="D1975" s="83" t="s">
        <v>502</v>
      </c>
      <c r="E1975" s="49"/>
      <c r="F1975" s="49"/>
      <c r="G1975" s="48"/>
      <c r="H1975" s="87"/>
    </row>
    <row r="1976" spans="2:8" ht="24" thickBot="1" x14ac:dyDescent="0.3">
      <c r="B1976" s="49"/>
      <c r="C1976" s="49"/>
      <c r="D1976" s="49"/>
      <c r="E1976" s="49"/>
      <c r="F1976" s="49"/>
      <c r="G1976" s="48"/>
      <c r="H1976" s="87"/>
    </row>
    <row r="1977" spans="2:8" ht="48" thickBot="1" x14ac:dyDescent="0.3">
      <c r="B1977" s="315" t="s">
        <v>436</v>
      </c>
      <c r="C1977" s="316"/>
      <c r="D1977" s="54" t="s">
        <v>503</v>
      </c>
      <c r="E1977" s="317" t="s">
        <v>504</v>
      </c>
      <c r="F1977" s="318"/>
      <c r="G1977" s="55" t="s">
        <v>505</v>
      </c>
      <c r="H1977" s="87"/>
    </row>
    <row r="1978" spans="2:8" ht="24" thickBot="1" x14ac:dyDescent="0.3">
      <c r="B1978" s="319" t="s">
        <v>506</v>
      </c>
      <c r="C1978" s="320"/>
      <c r="D1978" s="136">
        <v>197.93</v>
      </c>
      <c r="E1978" s="136">
        <f>D1969</f>
        <v>3</v>
      </c>
      <c r="F1978" s="77" t="s">
        <v>434</v>
      </c>
      <c r="G1978" s="142">
        <f t="shared" ref="G1978:G1985" si="95">D1978*E1978</f>
        <v>593.79</v>
      </c>
      <c r="H1978" s="321"/>
    </row>
    <row r="1979" spans="2:8" ht="23.25" x14ac:dyDescent="0.25">
      <c r="B1979" s="322" t="s">
        <v>507</v>
      </c>
      <c r="C1979" s="323"/>
      <c r="D1979" s="137">
        <v>159.44</v>
      </c>
      <c r="E1979" s="137">
        <f>V1966</f>
        <v>0.8</v>
      </c>
      <c r="F1979" s="78" t="s">
        <v>437</v>
      </c>
      <c r="G1979" s="143">
        <f t="shared" si="95"/>
        <v>127.55200000000001</v>
      </c>
      <c r="H1979" s="321"/>
    </row>
    <row r="1980" spans="2:8" ht="24" thickBot="1" x14ac:dyDescent="0.3">
      <c r="B1980" s="324" t="s">
        <v>508</v>
      </c>
      <c r="C1980" s="325"/>
      <c r="D1980" s="138">
        <v>276.62</v>
      </c>
      <c r="E1980" s="138">
        <f>V1966</f>
        <v>0.8</v>
      </c>
      <c r="F1980" s="79" t="s">
        <v>437</v>
      </c>
      <c r="G1980" s="144">
        <f t="shared" si="95"/>
        <v>221.29600000000002</v>
      </c>
      <c r="H1980" s="321"/>
    </row>
    <row r="1981" spans="2:8" ht="24" thickBot="1" x14ac:dyDescent="0.3">
      <c r="B1981" s="326" t="s">
        <v>438</v>
      </c>
      <c r="C1981" s="327"/>
      <c r="D1981" s="139">
        <v>519</v>
      </c>
      <c r="E1981" s="139"/>
      <c r="F1981" s="80" t="s">
        <v>434</v>
      </c>
      <c r="G1981" s="145">
        <f t="shared" si="95"/>
        <v>0</v>
      </c>
      <c r="H1981" s="321"/>
    </row>
    <row r="1982" spans="2:8" ht="23.25" x14ac:dyDescent="0.25">
      <c r="B1982" s="322" t="s">
        <v>509</v>
      </c>
      <c r="C1982" s="323"/>
      <c r="D1982" s="137">
        <v>920</v>
      </c>
      <c r="E1982" s="137">
        <f>D1969*2</f>
        <v>6</v>
      </c>
      <c r="F1982" s="78" t="s">
        <v>434</v>
      </c>
      <c r="G1982" s="143">
        <f t="shared" si="95"/>
        <v>5520</v>
      </c>
      <c r="H1982" s="321"/>
    </row>
    <row r="1983" spans="2:8" ht="23.25" x14ac:dyDescent="0.25">
      <c r="B1983" s="328" t="s">
        <v>510</v>
      </c>
      <c r="C1983" s="329"/>
      <c r="D1983" s="140">
        <v>1300</v>
      </c>
      <c r="E1983" s="140">
        <f>IF(T1966="Осина",D1969,"0")</f>
        <v>3</v>
      </c>
      <c r="F1983" s="81" t="s">
        <v>434</v>
      </c>
      <c r="G1983" s="146">
        <f t="shared" si="95"/>
        <v>3900</v>
      </c>
      <c r="H1983" s="321"/>
    </row>
    <row r="1984" spans="2:8" ht="23.25" x14ac:dyDescent="0.25">
      <c r="B1984" s="328" t="s">
        <v>439</v>
      </c>
      <c r="C1984" s="329"/>
      <c r="D1984" s="141">
        <v>5165.12</v>
      </c>
      <c r="E1984" s="140" t="str">
        <f>IF(T1966="Осина","0",D1969)</f>
        <v>0</v>
      </c>
      <c r="F1984" s="81" t="s">
        <v>434</v>
      </c>
      <c r="G1984" s="146">
        <f t="shared" si="95"/>
        <v>0</v>
      </c>
      <c r="H1984" s="321"/>
    </row>
    <row r="1985" spans="2:8" ht="23.25" x14ac:dyDescent="0.25">
      <c r="B1985" s="328" t="s">
        <v>511</v>
      </c>
      <c r="C1985" s="329"/>
      <c r="D1985" s="141">
        <v>917</v>
      </c>
      <c r="E1985" s="140" t="str">
        <f>IF(T1966="Осина","0",D1969)</f>
        <v>0</v>
      </c>
      <c r="F1985" s="81" t="s">
        <v>434</v>
      </c>
      <c r="G1985" s="146">
        <f t="shared" si="95"/>
        <v>0</v>
      </c>
      <c r="H1985" s="321"/>
    </row>
    <row r="1986" spans="2:8" ht="23.25" x14ac:dyDescent="0.25">
      <c r="B1986" s="328" t="s">
        <v>441</v>
      </c>
      <c r="C1986" s="329"/>
      <c r="D1986" s="141">
        <v>461.56000000000006</v>
      </c>
      <c r="E1986" s="140" t="str">
        <f>IF(T1966="Осина","0",D1969)</f>
        <v>0</v>
      </c>
      <c r="F1986" s="81" t="s">
        <v>434</v>
      </c>
      <c r="G1986" s="146">
        <f>D1986*E1986</f>
        <v>0</v>
      </c>
      <c r="H1986" s="321"/>
    </row>
    <row r="1987" spans="2:8" ht="24" thickBot="1" x14ac:dyDescent="0.3">
      <c r="B1987" s="324" t="s">
        <v>440</v>
      </c>
      <c r="C1987" s="325"/>
      <c r="D1987" s="138">
        <v>353.15</v>
      </c>
      <c r="E1987" s="140" t="str">
        <f>IF(T1966="Осина","0",D1969*4)</f>
        <v>0</v>
      </c>
      <c r="F1987" s="79" t="s">
        <v>434</v>
      </c>
      <c r="G1987" s="147">
        <f>D1987*E1987</f>
        <v>0</v>
      </c>
      <c r="H1987" s="321"/>
    </row>
    <row r="1988" spans="2:8" ht="23.25" x14ac:dyDescent="0.25">
      <c r="B1988" s="49"/>
      <c r="C1988" s="66"/>
      <c r="D1988" s="66"/>
      <c r="E1988" s="56"/>
      <c r="F1988" s="56"/>
      <c r="G1988" s="48"/>
      <c r="H1988" s="92"/>
    </row>
    <row r="1989" spans="2:8" ht="25.5" x14ac:dyDescent="0.25">
      <c r="B1989" s="49"/>
      <c r="C1989" s="59" t="s">
        <v>512</v>
      </c>
      <c r="D1989" s="60"/>
      <c r="E1989" s="49"/>
      <c r="F1989" s="49"/>
      <c r="G1989" s="48"/>
      <c r="H1989" s="87"/>
    </row>
    <row r="1990" spans="2:8" ht="18.75" x14ac:dyDescent="0.25">
      <c r="B1990" s="49"/>
      <c r="C1990" s="306" t="s">
        <v>513</v>
      </c>
      <c r="D1990" s="132" t="s">
        <v>514</v>
      </c>
      <c r="E1990" s="68">
        <f>ROUND((G1978+D1971)/D1971,2)</f>
        <v>1.17</v>
      </c>
      <c r="F1990" s="68"/>
      <c r="G1990" s="50"/>
      <c r="H1990" s="87"/>
    </row>
    <row r="1991" spans="2:8" ht="23.25" x14ac:dyDescent="0.25">
      <c r="B1991" s="49"/>
      <c r="C1991" s="306"/>
      <c r="D1991" s="132" t="s">
        <v>515</v>
      </c>
      <c r="E1991" s="68">
        <f>ROUND((G1979+G1980+D1971)/D1971,2)</f>
        <v>1.1000000000000001</v>
      </c>
      <c r="F1991" s="68"/>
      <c r="G1991" s="57"/>
      <c r="H1991" s="93"/>
    </row>
    <row r="1992" spans="2:8" ht="23.25" x14ac:dyDescent="0.25">
      <c r="B1992" s="49"/>
      <c r="C1992" s="306"/>
      <c r="D1992" s="132" t="s">
        <v>516</v>
      </c>
      <c r="E1992" s="68">
        <f>ROUND((G1981+D1971)/D1971,2)</f>
        <v>1</v>
      </c>
      <c r="F1992" s="50"/>
      <c r="G1992" s="57"/>
      <c r="H1992" s="87"/>
    </row>
    <row r="1993" spans="2:8" ht="23.25" x14ac:dyDescent="0.25">
      <c r="B1993" s="49"/>
      <c r="C1993" s="306"/>
      <c r="D1993" s="69" t="s">
        <v>517</v>
      </c>
      <c r="E1993" s="70">
        <f>ROUND((SUM(G1982:G1987)+D1971)/D1971,2)</f>
        <v>3.7</v>
      </c>
      <c r="F1993" s="50"/>
      <c r="G1993" s="57"/>
      <c r="H1993" s="87"/>
    </row>
    <row r="1994" spans="2:8" ht="25.5" x14ac:dyDescent="0.25">
      <c r="B1994" s="49"/>
      <c r="C1994" s="49"/>
      <c r="D1994" s="71" t="s">
        <v>518</v>
      </c>
      <c r="E1994" s="72">
        <f>SUM(E1990:E1993)-IF(D1975="сплошная",3,2)</f>
        <v>3.9700000000000006</v>
      </c>
      <c r="F1994" s="73"/>
      <c r="G1994" s="48"/>
      <c r="H1994" s="87"/>
    </row>
    <row r="1995" spans="2:8" ht="23.25" x14ac:dyDescent="0.25">
      <c r="B1995" s="49"/>
      <c r="C1995" s="49"/>
      <c r="D1995" s="49"/>
      <c r="E1995" s="74"/>
      <c r="F1995" s="49"/>
      <c r="G1995" s="48"/>
      <c r="H1995" s="87"/>
    </row>
    <row r="1996" spans="2:8" ht="25.5" x14ac:dyDescent="0.35">
      <c r="B1996" s="58"/>
      <c r="C1996" s="75" t="s">
        <v>519</v>
      </c>
      <c r="D1996" s="307">
        <f>E1994*D1971</f>
        <v>13854.386900000001</v>
      </c>
      <c r="E1996" s="307"/>
      <c r="F1996" s="49"/>
      <c r="G1996" s="48"/>
      <c r="H1996" s="87"/>
    </row>
    <row r="1997" spans="2:8" ht="18.75" x14ac:dyDescent="0.3">
      <c r="B1997" s="49"/>
      <c r="C1997" s="76" t="s">
        <v>520</v>
      </c>
      <c r="D1997" s="308">
        <f>D1996/D1970</f>
        <v>26.71291628104273</v>
      </c>
      <c r="E1997" s="308"/>
      <c r="F1997" s="49"/>
      <c r="G1997" s="49"/>
      <c r="H1997" s="94"/>
    </row>
    <row r="2000" spans="2:8" ht="60.75" x14ac:dyDescent="0.8">
      <c r="B2000" s="330" t="str">
        <f>CONCATENATE("ЛОТ № ",K2003)</f>
        <v>ЛОТ № 55</v>
      </c>
      <c r="C2000" s="330"/>
      <c r="D2000" s="330"/>
      <c r="E2000" s="330"/>
      <c r="F2000" s="330"/>
      <c r="G2000" s="330"/>
      <c r="H2000" s="330"/>
    </row>
    <row r="2001" spans="2:27" ht="18.75" x14ac:dyDescent="0.25">
      <c r="B2001" s="331" t="s">
        <v>492</v>
      </c>
      <c r="C2001" s="331"/>
      <c r="D2001" s="331"/>
      <c r="E2001" s="331"/>
      <c r="F2001" s="331"/>
      <c r="G2001" s="331"/>
      <c r="H2001" s="87"/>
    </row>
    <row r="2002" spans="2:27" ht="25.5" x14ac:dyDescent="0.25">
      <c r="B2002" s="49"/>
      <c r="C2002" s="59" t="s">
        <v>493</v>
      </c>
      <c r="D2002" s="60"/>
      <c r="E2002" s="49"/>
      <c r="F2002" s="49"/>
      <c r="G2002" s="48"/>
      <c r="H2002" s="87"/>
      <c r="I2002" s="88"/>
      <c r="J2002" s="88"/>
      <c r="K2002" s="88"/>
      <c r="L2002" s="88" t="s">
        <v>454</v>
      </c>
      <c r="M2002" s="88" t="s">
        <v>444</v>
      </c>
      <c r="N2002" s="88" t="s">
        <v>445</v>
      </c>
      <c r="O2002" s="88" t="s">
        <v>453</v>
      </c>
      <c r="P2002" s="89" t="s">
        <v>446</v>
      </c>
      <c r="Q2002" s="88" t="s">
        <v>435</v>
      </c>
      <c r="R2002" s="40" t="s">
        <v>447</v>
      </c>
      <c r="S2002" s="40" t="s">
        <v>522</v>
      </c>
      <c r="T2002" s="88" t="s">
        <v>118</v>
      </c>
      <c r="U2002" s="88" t="s">
        <v>500</v>
      </c>
      <c r="V2002" s="88" t="s">
        <v>450</v>
      </c>
      <c r="W2002" s="40" t="s">
        <v>448</v>
      </c>
      <c r="X2002" s="40" t="s">
        <v>449</v>
      </c>
      <c r="Y2002" s="88" t="s">
        <v>523</v>
      </c>
      <c r="Z2002" s="88"/>
    </row>
    <row r="2003" spans="2:27" ht="19.5" x14ac:dyDescent="0.25">
      <c r="B2003" s="50"/>
      <c r="C2003" s="332" t="s">
        <v>494</v>
      </c>
      <c r="D2003" s="335" t="s">
        <v>521</v>
      </c>
      <c r="E2003" s="336"/>
      <c r="F2003" s="336"/>
      <c r="G2003" s="337"/>
      <c r="H2003" s="90"/>
      <c r="I2003" s="88" t="s">
        <v>443</v>
      </c>
      <c r="J2003" s="88"/>
      <c r="K2003" s="43">
        <f>IF(I2003="","",COUNTA(I$5:I2003))</f>
        <v>55</v>
      </c>
      <c r="L2003" s="95" t="str">
        <f>INDEX('Ведомость расчета мин. платы'!$B$10:$T$209,MATCH(ЛОТЫ!$K2003,'Ведомость расчета мин. платы'!$B$10:$B$209,0),2)</f>
        <v>Чулпановское</v>
      </c>
      <c r="M2003" s="95">
        <f>INDEX('Ведомость расчета мин. платы'!$B$10:$T$209,MATCH(ЛОТЫ!$K2003,'Ведомость расчета мин. платы'!$B$10:$B$209,0),3)</f>
        <v>59</v>
      </c>
      <c r="N2003" s="95">
        <f>INDEX('Ведомость расчета мин. платы'!$B$10:$T$209,MATCH(ЛОТЫ!$K2003,'Ведомость расчета мин. платы'!$B$10:$B$209,0),4)</f>
        <v>57</v>
      </c>
      <c r="O2003" s="95">
        <f>INDEX('Ведомость расчета мин. платы'!$B$10:$T$209,MATCH(ЛОТЫ!$K2003,'Ведомость расчета мин. платы'!$B$10:$B$209,0),5)</f>
        <v>3</v>
      </c>
      <c r="P2003" s="89">
        <f>IFERROR(INDEX(Коэффициенты!$G$4:$O$106,MATCH(CONCATENATE($L2003,"/",$M2003,"/",$N2003,"/",$O2003),Коэффициенты!$O$4:$O$106,0),1),"")</f>
        <v>0.9</v>
      </c>
      <c r="Q2003" s="40">
        <f>IFERROR(INDEX(Коэффициенты!$G$4:$O$106,MATCH(CONCATENATE($L2003,"/",$M2003,"/",$N2003,"/",$O2003),Коэффициенты!$O$4:$O$106,0),6),"")</f>
        <v>179.47</v>
      </c>
      <c r="R2003" s="40">
        <f>IFERROR(INDEX(Коэффициенты!$G$4:$O$106,MATCH(CONCATENATE($L2003,"/",$M2003,"/",$N2003,"/",$O2003),Коэффициенты!$O$4:$O$106,0),2),"")</f>
        <v>1467.01</v>
      </c>
      <c r="S2003" s="43" t="str">
        <f>IFERROR(INDEX('Такс. опис.'!$A$5:$BW$50,MATCH(CONCATENATE($L2003,"/",$M2003,"/",$N2003),'Такс. опис.'!$C$5:$C$50,0),26),"")</f>
        <v>10ОС+ЛП</v>
      </c>
      <c r="T2003" s="43" t="str">
        <f>IFERROR(INDEX('Такс. опис.'!$A$5:$BW$50,MATCH(CONCATENATE($L2003,"/",$M2003,"/",$N2003),'Такс. опис.'!$C$5:$C$50,0),47),"")</f>
        <v>Осина</v>
      </c>
      <c r="U2003" s="43">
        <f>IFERROR(INDEX('Такс. опис.'!$A$5:$BW$50,MATCH(CONCATENATE($L2003,"/",$M2003,"/",$N2003),'Такс. опис.'!$C$5:$C$50,0),49),"")</f>
        <v>45</v>
      </c>
      <c r="V2003" s="103">
        <f>IFERROR(INDEX('Ведомость расчета мин. платы'!$AC$10:$AD$214,MATCH(CONCATENATE($L2003,"/",$M2003,"/",$N2003,"/",$O2003),'Ведомость расчета мин. платы'!$AC$10:$AC$214,0),2),"")</f>
        <v>0.4</v>
      </c>
      <c r="W2003" s="40">
        <f>E2031</f>
        <v>3.17</v>
      </c>
      <c r="X2003" s="40">
        <f>D2033</f>
        <v>4650.4216999999999</v>
      </c>
      <c r="Y2003" s="91">
        <f>D2034</f>
        <v>25.911972474508275</v>
      </c>
      <c r="Z2003" s="88"/>
      <c r="AA2003" s="86">
        <f t="shared" ref="AA2003" si="96">IF(M2003&gt;0,1,0)</f>
        <v>1</v>
      </c>
    </row>
    <row r="2004" spans="2:27" ht="19.5" x14ac:dyDescent="0.25">
      <c r="B2004" s="50"/>
      <c r="C2004" s="333"/>
      <c r="D2004" s="338" t="str">
        <f>CONCATENATE(L2003, " участковое лесничество")</f>
        <v>Чулпановское участковое лесничество</v>
      </c>
      <c r="E2004" s="338"/>
      <c r="F2004" s="338"/>
      <c r="G2004" s="338"/>
      <c r="H2004" s="90"/>
      <c r="I2004" s="88"/>
      <c r="J2004" s="88">
        <f>IFERROR(IF(ISBLANK(K2003),"",K2003),"")</f>
        <v>55</v>
      </c>
      <c r="K2004" s="88"/>
      <c r="L2004" s="88"/>
      <c r="M2004" s="88"/>
      <c r="N2004" s="88"/>
      <c r="O2004" s="88"/>
      <c r="P2004" s="88"/>
      <c r="Q2004" s="88"/>
      <c r="R2004" s="88"/>
      <c r="S2004" s="88"/>
      <c r="T2004" s="88"/>
      <c r="U2004" s="88"/>
      <c r="V2004" s="88"/>
      <c r="W2004" s="88"/>
      <c r="X2004" s="88"/>
      <c r="Y2004" s="88"/>
      <c r="Z2004" s="88"/>
    </row>
    <row r="2005" spans="2:27" ht="19.5" x14ac:dyDescent="0.25">
      <c r="B2005" s="50"/>
      <c r="C2005" s="334"/>
      <c r="D2005" s="338" t="str">
        <f>CONCATENATE("кв. ",M2003," ","выд."," ",N2003," ","делянка", " ",O2003)</f>
        <v>кв. 59 выд. 57 делянка 3</v>
      </c>
      <c r="E2005" s="338"/>
      <c r="F2005" s="338"/>
      <c r="G2005" s="338"/>
      <c r="H2005" s="90"/>
      <c r="I2005" s="88"/>
      <c r="J2005" s="88"/>
      <c r="K2005" s="88"/>
      <c r="L2005" s="88"/>
      <c r="M2005" s="88"/>
      <c r="N2005" s="88"/>
      <c r="O2005" s="88"/>
      <c r="P2005" s="88"/>
      <c r="Q2005" s="88"/>
      <c r="R2005" s="88"/>
      <c r="S2005" s="88"/>
      <c r="T2005" s="88"/>
      <c r="U2005" s="88"/>
      <c r="V2005" s="88"/>
      <c r="W2005" s="88"/>
      <c r="X2005" s="88"/>
      <c r="Y2005" s="88"/>
      <c r="Z2005" s="88"/>
    </row>
    <row r="2006" spans="2:27" ht="23.25" x14ac:dyDescent="0.25">
      <c r="B2006" s="49"/>
      <c r="C2006" s="61" t="s">
        <v>495</v>
      </c>
      <c r="D2006" s="51">
        <f>P2003</f>
        <v>0.9</v>
      </c>
      <c r="E2006" s="62"/>
      <c r="F2006" s="50"/>
      <c r="G2006" s="48"/>
      <c r="H2006" s="87"/>
    </row>
    <row r="2007" spans="2:27" ht="22.5" x14ac:dyDescent="0.25">
      <c r="B2007" s="49"/>
      <c r="C2007" s="63" t="s">
        <v>496</v>
      </c>
      <c r="D2007" s="106">
        <f>Q2003</f>
        <v>179.47</v>
      </c>
      <c r="E2007" s="309" t="s">
        <v>497</v>
      </c>
      <c r="F2007" s="310"/>
      <c r="G2007" s="313">
        <f>D2008/D2007</f>
        <v>8.1741238089931461</v>
      </c>
      <c r="H2007" s="87"/>
    </row>
    <row r="2008" spans="2:27" ht="22.5" x14ac:dyDescent="0.25">
      <c r="B2008" s="49"/>
      <c r="C2008" s="63" t="s">
        <v>498</v>
      </c>
      <c r="D2008" s="52">
        <f>R2003</f>
        <v>1467.01</v>
      </c>
      <c r="E2008" s="311"/>
      <c r="F2008" s="312"/>
      <c r="G2008" s="314"/>
      <c r="H2008" s="87"/>
    </row>
    <row r="2009" spans="2:27" ht="23.25" x14ac:dyDescent="0.25">
      <c r="B2009" s="49"/>
      <c r="C2009" s="64"/>
      <c r="D2009" s="53"/>
      <c r="E2009" s="65"/>
      <c r="F2009" s="49"/>
      <c r="G2009" s="48"/>
      <c r="H2009" s="87"/>
    </row>
    <row r="2010" spans="2:27" ht="23.25" x14ac:dyDescent="0.25">
      <c r="B2010" s="49"/>
      <c r="C2010" s="82" t="s">
        <v>499</v>
      </c>
      <c r="D2010" s="96" t="str">
        <f>S2003</f>
        <v>10ОС+ЛП</v>
      </c>
      <c r="E2010" s="49"/>
      <c r="F2010" s="49"/>
      <c r="G2010" s="48"/>
      <c r="H2010" s="87"/>
    </row>
    <row r="2011" spans="2:27" ht="23.25" x14ac:dyDescent="0.25">
      <c r="B2011" s="49"/>
      <c r="C2011" s="82" t="s">
        <v>500</v>
      </c>
      <c r="D2011" s="96">
        <f>U2003</f>
        <v>45</v>
      </c>
      <c r="E2011" s="49"/>
      <c r="F2011" s="49"/>
      <c r="G2011" s="48"/>
      <c r="H2011" s="87"/>
    </row>
    <row r="2012" spans="2:27" ht="23.25" x14ac:dyDescent="0.25">
      <c r="B2012" s="49"/>
      <c r="C2012" s="82" t="s">
        <v>501</v>
      </c>
      <c r="D2012" s="83" t="s">
        <v>502</v>
      </c>
      <c r="E2012" s="49"/>
      <c r="F2012" s="49"/>
      <c r="G2012" s="48"/>
      <c r="H2012" s="87"/>
    </row>
    <row r="2013" spans="2:27" ht="24" thickBot="1" x14ac:dyDescent="0.3">
      <c r="B2013" s="49"/>
      <c r="C2013" s="49"/>
      <c r="D2013" s="49"/>
      <c r="E2013" s="49"/>
      <c r="F2013" s="49"/>
      <c r="G2013" s="48"/>
      <c r="H2013" s="87"/>
    </row>
    <row r="2014" spans="2:27" ht="48" thickBot="1" x14ac:dyDescent="0.3">
      <c r="B2014" s="315" t="s">
        <v>436</v>
      </c>
      <c r="C2014" s="316"/>
      <c r="D2014" s="54" t="s">
        <v>503</v>
      </c>
      <c r="E2014" s="317" t="s">
        <v>504</v>
      </c>
      <c r="F2014" s="318"/>
      <c r="G2014" s="55" t="s">
        <v>505</v>
      </c>
      <c r="H2014" s="87"/>
    </row>
    <row r="2015" spans="2:27" ht="24" thickBot="1" x14ac:dyDescent="0.3">
      <c r="B2015" s="319" t="s">
        <v>506</v>
      </c>
      <c r="C2015" s="320"/>
      <c r="D2015" s="136">
        <v>197.93</v>
      </c>
      <c r="E2015" s="136">
        <f>D2006</f>
        <v>0.9</v>
      </c>
      <c r="F2015" s="77" t="s">
        <v>434</v>
      </c>
      <c r="G2015" s="142">
        <f t="shared" ref="G2015:G2022" si="97">D2015*E2015</f>
        <v>178.137</v>
      </c>
      <c r="H2015" s="321"/>
    </row>
    <row r="2016" spans="2:27" ht="23.25" x14ac:dyDescent="0.25">
      <c r="B2016" s="322" t="s">
        <v>507</v>
      </c>
      <c r="C2016" s="323"/>
      <c r="D2016" s="137">
        <v>159.44</v>
      </c>
      <c r="E2016" s="137">
        <f>V2003</f>
        <v>0.4</v>
      </c>
      <c r="F2016" s="78" t="s">
        <v>437</v>
      </c>
      <c r="G2016" s="143">
        <f t="shared" si="97"/>
        <v>63.776000000000003</v>
      </c>
      <c r="H2016" s="321"/>
    </row>
    <row r="2017" spans="2:8" ht="24" thickBot="1" x14ac:dyDescent="0.3">
      <c r="B2017" s="324" t="s">
        <v>508</v>
      </c>
      <c r="C2017" s="325"/>
      <c r="D2017" s="138">
        <v>276.62</v>
      </c>
      <c r="E2017" s="138">
        <f>V2003</f>
        <v>0.4</v>
      </c>
      <c r="F2017" s="79" t="s">
        <v>437</v>
      </c>
      <c r="G2017" s="144">
        <f t="shared" si="97"/>
        <v>110.64800000000001</v>
      </c>
      <c r="H2017" s="321"/>
    </row>
    <row r="2018" spans="2:8" ht="24" thickBot="1" x14ac:dyDescent="0.3">
      <c r="B2018" s="326" t="s">
        <v>438</v>
      </c>
      <c r="C2018" s="327"/>
      <c r="D2018" s="139">
        <v>519</v>
      </c>
      <c r="E2018" s="139"/>
      <c r="F2018" s="80" t="s">
        <v>434</v>
      </c>
      <c r="G2018" s="145">
        <f t="shared" si="97"/>
        <v>0</v>
      </c>
      <c r="H2018" s="321"/>
    </row>
    <row r="2019" spans="2:8" ht="23.25" x14ac:dyDescent="0.25">
      <c r="B2019" s="322" t="s">
        <v>509</v>
      </c>
      <c r="C2019" s="323"/>
      <c r="D2019" s="137">
        <v>920</v>
      </c>
      <c r="E2019" s="137">
        <f>D2006*2</f>
        <v>1.8</v>
      </c>
      <c r="F2019" s="78" t="s">
        <v>434</v>
      </c>
      <c r="G2019" s="143">
        <f t="shared" si="97"/>
        <v>1656</v>
      </c>
      <c r="H2019" s="321"/>
    </row>
    <row r="2020" spans="2:8" ht="23.25" x14ac:dyDescent="0.25">
      <c r="B2020" s="328" t="s">
        <v>510</v>
      </c>
      <c r="C2020" s="329"/>
      <c r="D2020" s="140">
        <v>1300</v>
      </c>
      <c r="E2020" s="140">
        <f>IF(T2003="Осина",D2006,"0")</f>
        <v>0.9</v>
      </c>
      <c r="F2020" s="81" t="s">
        <v>434</v>
      </c>
      <c r="G2020" s="146">
        <f t="shared" si="97"/>
        <v>1170</v>
      </c>
      <c r="H2020" s="321"/>
    </row>
    <row r="2021" spans="2:8" ht="23.25" x14ac:dyDescent="0.25">
      <c r="B2021" s="328" t="s">
        <v>439</v>
      </c>
      <c r="C2021" s="329"/>
      <c r="D2021" s="141">
        <v>5165.12</v>
      </c>
      <c r="E2021" s="140" t="str">
        <f>IF(T2003="Осина","0",D2006)</f>
        <v>0</v>
      </c>
      <c r="F2021" s="81" t="s">
        <v>434</v>
      </c>
      <c r="G2021" s="146">
        <f t="shared" si="97"/>
        <v>0</v>
      </c>
      <c r="H2021" s="321"/>
    </row>
    <row r="2022" spans="2:8" ht="23.25" x14ac:dyDescent="0.25">
      <c r="B2022" s="328" t="s">
        <v>511</v>
      </c>
      <c r="C2022" s="329"/>
      <c r="D2022" s="141">
        <v>917</v>
      </c>
      <c r="E2022" s="140" t="str">
        <f>IF(T2003="Осина","0",D2006)</f>
        <v>0</v>
      </c>
      <c r="F2022" s="81" t="s">
        <v>434</v>
      </c>
      <c r="G2022" s="146">
        <f t="shared" si="97"/>
        <v>0</v>
      </c>
      <c r="H2022" s="321"/>
    </row>
    <row r="2023" spans="2:8" ht="23.25" x14ac:dyDescent="0.25">
      <c r="B2023" s="328" t="s">
        <v>441</v>
      </c>
      <c r="C2023" s="329"/>
      <c r="D2023" s="141">
        <v>461.56000000000006</v>
      </c>
      <c r="E2023" s="140" t="str">
        <f>IF(T2003="Осина","0",D2006)</f>
        <v>0</v>
      </c>
      <c r="F2023" s="81" t="s">
        <v>434</v>
      </c>
      <c r="G2023" s="146">
        <f>D2023*E2023</f>
        <v>0</v>
      </c>
      <c r="H2023" s="321"/>
    </row>
    <row r="2024" spans="2:8" ht="24" thickBot="1" x14ac:dyDescent="0.3">
      <c r="B2024" s="324" t="s">
        <v>440</v>
      </c>
      <c r="C2024" s="325"/>
      <c r="D2024" s="138">
        <v>353.15</v>
      </c>
      <c r="E2024" s="140" t="str">
        <f>IF(T2003="Осина","0",D2006*4)</f>
        <v>0</v>
      </c>
      <c r="F2024" s="79" t="s">
        <v>434</v>
      </c>
      <c r="G2024" s="147">
        <f>D2024*E2024</f>
        <v>0</v>
      </c>
      <c r="H2024" s="321"/>
    </row>
    <row r="2025" spans="2:8" ht="23.25" x14ac:dyDescent="0.25">
      <c r="B2025" s="49"/>
      <c r="C2025" s="66"/>
      <c r="D2025" s="66"/>
      <c r="E2025" s="56"/>
      <c r="F2025" s="56"/>
      <c r="G2025" s="48"/>
      <c r="H2025" s="92"/>
    </row>
    <row r="2026" spans="2:8" ht="25.5" x14ac:dyDescent="0.25">
      <c r="B2026" s="49"/>
      <c r="C2026" s="59" t="s">
        <v>512</v>
      </c>
      <c r="D2026" s="60"/>
      <c r="E2026" s="49"/>
      <c r="F2026" s="49"/>
      <c r="G2026" s="48"/>
      <c r="H2026" s="87"/>
    </row>
    <row r="2027" spans="2:8" ht="18.75" x14ac:dyDescent="0.25">
      <c r="B2027" s="49"/>
      <c r="C2027" s="306" t="s">
        <v>513</v>
      </c>
      <c r="D2027" s="132" t="s">
        <v>514</v>
      </c>
      <c r="E2027" s="68">
        <f>ROUND((G2015+D2008)/D2008,2)</f>
        <v>1.1200000000000001</v>
      </c>
      <c r="F2027" s="68"/>
      <c r="G2027" s="50"/>
      <c r="H2027" s="87"/>
    </row>
    <row r="2028" spans="2:8" ht="23.25" x14ac:dyDescent="0.25">
      <c r="B2028" s="49"/>
      <c r="C2028" s="306"/>
      <c r="D2028" s="132" t="s">
        <v>515</v>
      </c>
      <c r="E2028" s="68">
        <f>ROUND((G2016+G2017+D2008)/D2008,2)</f>
        <v>1.1200000000000001</v>
      </c>
      <c r="F2028" s="68"/>
      <c r="G2028" s="57"/>
      <c r="H2028" s="93"/>
    </row>
    <row r="2029" spans="2:8" ht="23.25" x14ac:dyDescent="0.25">
      <c r="B2029" s="49"/>
      <c r="C2029" s="306"/>
      <c r="D2029" s="132" t="s">
        <v>516</v>
      </c>
      <c r="E2029" s="68">
        <f>ROUND((G2018+D2008)/D2008,2)</f>
        <v>1</v>
      </c>
      <c r="F2029" s="50"/>
      <c r="G2029" s="57"/>
      <c r="H2029" s="87"/>
    </row>
    <row r="2030" spans="2:8" ht="23.25" x14ac:dyDescent="0.25">
      <c r="B2030" s="49"/>
      <c r="C2030" s="306"/>
      <c r="D2030" s="69" t="s">
        <v>517</v>
      </c>
      <c r="E2030" s="70">
        <f>ROUND((SUM(G2019:G2024)+D2008)/D2008,2)</f>
        <v>2.93</v>
      </c>
      <c r="F2030" s="50"/>
      <c r="G2030" s="57"/>
      <c r="H2030" s="87"/>
    </row>
    <row r="2031" spans="2:8" ht="25.5" x14ac:dyDescent="0.25">
      <c r="B2031" s="49"/>
      <c r="C2031" s="49"/>
      <c r="D2031" s="71" t="s">
        <v>518</v>
      </c>
      <c r="E2031" s="72">
        <f>SUM(E2027:E2030)-IF(D2012="сплошная",3,2)</f>
        <v>3.17</v>
      </c>
      <c r="F2031" s="73"/>
      <c r="G2031" s="48"/>
      <c r="H2031" s="87"/>
    </row>
    <row r="2032" spans="2:8" ht="23.25" x14ac:dyDescent="0.25">
      <c r="B2032" s="49"/>
      <c r="C2032" s="49"/>
      <c r="D2032" s="49"/>
      <c r="E2032" s="74"/>
      <c r="F2032" s="49"/>
      <c r="G2032" s="48"/>
      <c r="H2032" s="87"/>
    </row>
    <row r="2033" spans="2:27" ht="25.5" x14ac:dyDescent="0.35">
      <c r="B2033" s="58"/>
      <c r="C2033" s="75" t="s">
        <v>519</v>
      </c>
      <c r="D2033" s="307">
        <f>E2031*D2008</f>
        <v>4650.4216999999999</v>
      </c>
      <c r="E2033" s="307"/>
      <c r="F2033" s="49"/>
      <c r="G2033" s="48"/>
      <c r="H2033" s="87"/>
    </row>
    <row r="2034" spans="2:27" ht="18.75" x14ac:dyDescent="0.3">
      <c r="B2034" s="49"/>
      <c r="C2034" s="76" t="s">
        <v>520</v>
      </c>
      <c r="D2034" s="308">
        <f>D2033/D2007</f>
        <v>25.911972474508275</v>
      </c>
      <c r="E2034" s="308"/>
      <c r="F2034" s="49"/>
      <c r="G2034" s="49"/>
      <c r="H2034" s="94"/>
    </row>
    <row r="2037" spans="2:27" ht="60.75" x14ac:dyDescent="0.8">
      <c r="B2037" s="330" t="str">
        <f>CONCATENATE("ЛОТ № ",K2040)</f>
        <v>ЛОТ № 56</v>
      </c>
      <c r="C2037" s="330"/>
      <c r="D2037" s="330"/>
      <c r="E2037" s="330"/>
      <c r="F2037" s="330"/>
      <c r="G2037" s="330"/>
      <c r="H2037" s="330"/>
    </row>
    <row r="2038" spans="2:27" ht="18.75" x14ac:dyDescent="0.25">
      <c r="B2038" s="331" t="s">
        <v>492</v>
      </c>
      <c r="C2038" s="331"/>
      <c r="D2038" s="331"/>
      <c r="E2038" s="331"/>
      <c r="F2038" s="331"/>
      <c r="G2038" s="331"/>
      <c r="H2038" s="87"/>
    </row>
    <row r="2039" spans="2:27" ht="25.5" x14ac:dyDescent="0.25">
      <c r="B2039" s="49"/>
      <c r="C2039" s="59" t="s">
        <v>493</v>
      </c>
      <c r="D2039" s="60"/>
      <c r="E2039" s="49"/>
      <c r="F2039" s="49"/>
      <c r="G2039" s="48"/>
      <c r="H2039" s="87"/>
      <c r="I2039" s="88"/>
      <c r="J2039" s="88"/>
      <c r="K2039" s="88"/>
      <c r="L2039" s="88" t="s">
        <v>454</v>
      </c>
      <c r="M2039" s="88" t="s">
        <v>444</v>
      </c>
      <c r="N2039" s="88" t="s">
        <v>445</v>
      </c>
      <c r="O2039" s="88" t="s">
        <v>453</v>
      </c>
      <c r="P2039" s="89" t="s">
        <v>446</v>
      </c>
      <c r="Q2039" s="88" t="s">
        <v>435</v>
      </c>
      <c r="R2039" s="40" t="s">
        <v>447</v>
      </c>
      <c r="S2039" s="40" t="s">
        <v>522</v>
      </c>
      <c r="T2039" s="88" t="s">
        <v>118</v>
      </c>
      <c r="U2039" s="88" t="s">
        <v>500</v>
      </c>
      <c r="V2039" s="88" t="s">
        <v>450</v>
      </c>
      <c r="W2039" s="40" t="s">
        <v>448</v>
      </c>
      <c r="X2039" s="40" t="s">
        <v>449</v>
      </c>
      <c r="Y2039" s="88" t="s">
        <v>523</v>
      </c>
      <c r="Z2039" s="88"/>
    </row>
    <row r="2040" spans="2:27" ht="19.5" x14ac:dyDescent="0.25">
      <c r="B2040" s="50"/>
      <c r="C2040" s="332" t="s">
        <v>494</v>
      </c>
      <c r="D2040" s="335" t="s">
        <v>521</v>
      </c>
      <c r="E2040" s="336"/>
      <c r="F2040" s="336"/>
      <c r="G2040" s="337"/>
      <c r="H2040" s="90"/>
      <c r="I2040" s="88" t="s">
        <v>443</v>
      </c>
      <c r="J2040" s="88"/>
      <c r="K2040" s="43">
        <f>IF(I2040="","",COUNTA(I$5:I2040))</f>
        <v>56</v>
      </c>
      <c r="L2040" s="95" t="str">
        <f>INDEX('Ведомость расчета мин. платы'!$B$10:$T$209,MATCH(ЛОТЫ!$K2040,'Ведомость расчета мин. платы'!$B$10:$B$209,0),2)</f>
        <v>Чулпановское</v>
      </c>
      <c r="M2040" s="95">
        <f>INDEX('Ведомость расчета мин. платы'!$B$10:$T$209,MATCH(ЛОТЫ!$K2040,'Ведомость расчета мин. платы'!$B$10:$B$209,0),3)</f>
        <v>67</v>
      </c>
      <c r="N2040" s="95">
        <f>INDEX('Ведомость расчета мин. платы'!$B$10:$T$209,MATCH(ЛОТЫ!$K2040,'Ведомость расчета мин. платы'!$B$10:$B$209,0),4)</f>
        <v>34</v>
      </c>
      <c r="O2040" s="95">
        <f>INDEX('Ведомость расчета мин. платы'!$B$10:$T$209,MATCH(ЛОТЫ!$K2040,'Ведомость расчета мин. платы'!$B$10:$B$209,0),5)</f>
        <v>2</v>
      </c>
      <c r="P2040" s="89">
        <f>IFERROR(INDEX(Коэффициенты!$G$4:$O$106,MATCH(CONCATENATE($L2040,"/",$M2040,"/",$N2040,"/",$O2040),Коэффициенты!$O$4:$O$106,0),1),"")</f>
        <v>2.4</v>
      </c>
      <c r="Q2040" s="40">
        <f>IFERROR(INDEX(Коэффициенты!$G$4:$O$106,MATCH(CONCATENATE($L2040,"/",$M2040,"/",$N2040,"/",$O2040),Коэффициенты!$O$4:$O$106,0),6),"")</f>
        <v>271.8</v>
      </c>
      <c r="R2040" s="40">
        <f>IFERROR(INDEX(Коэффициенты!$G$4:$O$106,MATCH(CONCATENATE($L2040,"/",$M2040,"/",$N2040,"/",$O2040),Коэффициенты!$O$4:$O$106,0),2),"")</f>
        <v>9774.89</v>
      </c>
      <c r="S2040" s="43" t="str">
        <f>IFERROR(INDEX('Такс. опис.'!$A$5:$BW$50,MATCH(CONCATENATE($L2040,"/",$M2040,"/",$N2040),'Такс. опис.'!$C$5:$C$50,0),26),"")</f>
        <v>8Б2ОЛЧ</v>
      </c>
      <c r="T2040" s="43" t="str">
        <f>IFERROR(INDEX('Такс. опис.'!$A$5:$BW$50,MATCH(CONCATENATE($L2040,"/",$M2040,"/",$N2040),'Такс. опис.'!$C$5:$C$50,0),47),"")</f>
        <v>Береза</v>
      </c>
      <c r="U2040" s="43">
        <f>IFERROR(INDEX('Такс. опис.'!$A$5:$BW$50,MATCH(CONCATENATE($L2040,"/",$M2040,"/",$N2040),'Такс. опис.'!$C$5:$C$50,0),49),"")</f>
        <v>70</v>
      </c>
      <c r="V2040" s="103">
        <f>IFERROR(INDEX('Ведомость расчета мин. платы'!$AC$10:$AD$214,MATCH(CONCATENATE($L2040,"/",$M2040,"/",$N2040,"/",$O2040),'Ведомость расчета мин. платы'!$AC$10:$AC$214,0),2),"")</f>
        <v>0.67</v>
      </c>
      <c r="W2040" s="40">
        <f>E2068</f>
        <v>1.8499999999999996</v>
      </c>
      <c r="X2040" s="40">
        <f>D2070</f>
        <v>18083.546499999997</v>
      </c>
      <c r="Y2040" s="91">
        <f>D2071</f>
        <v>66.53254782928623</v>
      </c>
      <c r="Z2040" s="88"/>
      <c r="AA2040" s="86">
        <f t="shared" ref="AA2040" si="98">IF(M2040&gt;0,1,0)</f>
        <v>1</v>
      </c>
    </row>
    <row r="2041" spans="2:27" ht="19.5" x14ac:dyDescent="0.25">
      <c r="B2041" s="50"/>
      <c r="C2041" s="333"/>
      <c r="D2041" s="338" t="str">
        <f>CONCATENATE(L2040, " участковое лесничество")</f>
        <v>Чулпановское участковое лесничество</v>
      </c>
      <c r="E2041" s="338"/>
      <c r="F2041" s="338"/>
      <c r="G2041" s="338"/>
      <c r="H2041" s="90"/>
      <c r="I2041" s="88"/>
      <c r="J2041" s="88">
        <f>IFERROR(IF(ISBLANK(K2040),"",K2040),"")</f>
        <v>56</v>
      </c>
      <c r="K2041" s="88"/>
      <c r="L2041" s="88"/>
      <c r="M2041" s="88"/>
      <c r="N2041" s="88"/>
      <c r="O2041" s="88"/>
      <c r="P2041" s="88"/>
      <c r="Q2041" s="88"/>
      <c r="R2041" s="88"/>
      <c r="S2041" s="88"/>
      <c r="T2041" s="88"/>
      <c r="U2041" s="88"/>
      <c r="V2041" s="88"/>
      <c r="W2041" s="88"/>
      <c r="X2041" s="88"/>
      <c r="Y2041" s="88"/>
      <c r="Z2041" s="88"/>
    </row>
    <row r="2042" spans="2:27" ht="19.5" x14ac:dyDescent="0.25">
      <c r="B2042" s="50"/>
      <c r="C2042" s="334"/>
      <c r="D2042" s="338" t="str">
        <f>CONCATENATE("кв. ",M2040," ","выд."," ",N2040," ","делянка", " ",O2040)</f>
        <v>кв. 67 выд. 34 делянка 2</v>
      </c>
      <c r="E2042" s="338"/>
      <c r="F2042" s="338"/>
      <c r="G2042" s="338"/>
      <c r="H2042" s="90"/>
      <c r="I2042" s="88"/>
      <c r="J2042" s="88"/>
      <c r="K2042" s="88"/>
      <c r="L2042" s="88"/>
      <c r="M2042" s="88"/>
      <c r="N2042" s="88"/>
      <c r="O2042" s="88"/>
      <c r="P2042" s="88"/>
      <c r="Q2042" s="88"/>
      <c r="R2042" s="88"/>
      <c r="S2042" s="88"/>
      <c r="T2042" s="88"/>
      <c r="U2042" s="88"/>
      <c r="V2042" s="88"/>
      <c r="W2042" s="88"/>
      <c r="X2042" s="88"/>
      <c r="Y2042" s="88"/>
      <c r="Z2042" s="88"/>
    </row>
    <row r="2043" spans="2:27" ht="23.25" x14ac:dyDescent="0.25">
      <c r="B2043" s="49"/>
      <c r="C2043" s="61" t="s">
        <v>495</v>
      </c>
      <c r="D2043" s="51">
        <f>P2040</f>
        <v>2.4</v>
      </c>
      <c r="E2043" s="62"/>
      <c r="F2043" s="50"/>
      <c r="G2043" s="48"/>
      <c r="H2043" s="87"/>
    </row>
    <row r="2044" spans="2:27" ht="22.5" x14ac:dyDescent="0.25">
      <c r="B2044" s="49"/>
      <c r="C2044" s="63" t="s">
        <v>496</v>
      </c>
      <c r="D2044" s="106">
        <f>Q2040</f>
        <v>271.8</v>
      </c>
      <c r="E2044" s="309" t="s">
        <v>497</v>
      </c>
      <c r="F2044" s="310"/>
      <c r="G2044" s="313">
        <f>D2045/D2044</f>
        <v>35.963539367181745</v>
      </c>
      <c r="H2044" s="87"/>
    </row>
    <row r="2045" spans="2:27" ht="22.5" x14ac:dyDescent="0.25">
      <c r="B2045" s="49"/>
      <c r="C2045" s="63" t="s">
        <v>498</v>
      </c>
      <c r="D2045" s="52">
        <f>R2040</f>
        <v>9774.89</v>
      </c>
      <c r="E2045" s="311"/>
      <c r="F2045" s="312"/>
      <c r="G2045" s="314"/>
      <c r="H2045" s="87"/>
    </row>
    <row r="2046" spans="2:27" ht="23.25" x14ac:dyDescent="0.25">
      <c r="B2046" s="49"/>
      <c r="C2046" s="64"/>
      <c r="D2046" s="53"/>
      <c r="E2046" s="65"/>
      <c r="F2046" s="49"/>
      <c r="G2046" s="48"/>
      <c r="H2046" s="87"/>
    </row>
    <row r="2047" spans="2:27" ht="23.25" x14ac:dyDescent="0.25">
      <c r="B2047" s="49"/>
      <c r="C2047" s="82" t="s">
        <v>499</v>
      </c>
      <c r="D2047" s="96" t="str">
        <f>S2040</f>
        <v>8Б2ОЛЧ</v>
      </c>
      <c r="E2047" s="49"/>
      <c r="F2047" s="49"/>
      <c r="G2047" s="48"/>
      <c r="H2047" s="87"/>
    </row>
    <row r="2048" spans="2:27" ht="23.25" x14ac:dyDescent="0.25">
      <c r="B2048" s="49"/>
      <c r="C2048" s="82" t="s">
        <v>500</v>
      </c>
      <c r="D2048" s="96">
        <f>U2040</f>
        <v>70</v>
      </c>
      <c r="E2048" s="49"/>
      <c r="F2048" s="49"/>
      <c r="G2048" s="48"/>
      <c r="H2048" s="87"/>
    </row>
    <row r="2049" spans="2:8" ht="23.25" x14ac:dyDescent="0.25">
      <c r="B2049" s="49"/>
      <c r="C2049" s="82" t="s">
        <v>501</v>
      </c>
      <c r="D2049" s="83" t="s">
        <v>502</v>
      </c>
      <c r="E2049" s="49"/>
      <c r="F2049" s="49"/>
      <c r="G2049" s="48"/>
      <c r="H2049" s="87"/>
    </row>
    <row r="2050" spans="2:8" ht="24" thickBot="1" x14ac:dyDescent="0.3">
      <c r="B2050" s="49"/>
      <c r="C2050" s="49"/>
      <c r="D2050" s="49"/>
      <c r="E2050" s="49"/>
      <c r="F2050" s="49"/>
      <c r="G2050" s="48"/>
      <c r="H2050" s="87"/>
    </row>
    <row r="2051" spans="2:8" ht="48" thickBot="1" x14ac:dyDescent="0.3">
      <c r="B2051" s="315" t="s">
        <v>436</v>
      </c>
      <c r="C2051" s="316"/>
      <c r="D2051" s="54" t="s">
        <v>503</v>
      </c>
      <c r="E2051" s="317" t="s">
        <v>504</v>
      </c>
      <c r="F2051" s="318"/>
      <c r="G2051" s="55" t="s">
        <v>505</v>
      </c>
      <c r="H2051" s="87"/>
    </row>
    <row r="2052" spans="2:8" ht="24" thickBot="1" x14ac:dyDescent="0.3">
      <c r="B2052" s="319" t="s">
        <v>506</v>
      </c>
      <c r="C2052" s="320"/>
      <c r="D2052" s="136">
        <v>197.93</v>
      </c>
      <c r="E2052" s="136">
        <f>D2043</f>
        <v>2.4</v>
      </c>
      <c r="F2052" s="77" t="s">
        <v>434</v>
      </c>
      <c r="G2052" s="142">
        <f t="shared" ref="G2052:G2059" si="99">D2052*E2052</f>
        <v>475.03199999999998</v>
      </c>
      <c r="H2052" s="321"/>
    </row>
    <row r="2053" spans="2:8" ht="23.25" x14ac:dyDescent="0.25">
      <c r="B2053" s="322" t="s">
        <v>507</v>
      </c>
      <c r="C2053" s="323"/>
      <c r="D2053" s="137">
        <v>159.44</v>
      </c>
      <c r="E2053" s="137">
        <f>V2040</f>
        <v>0.67</v>
      </c>
      <c r="F2053" s="78" t="s">
        <v>437</v>
      </c>
      <c r="G2053" s="143">
        <f t="shared" si="99"/>
        <v>106.82480000000001</v>
      </c>
      <c r="H2053" s="321"/>
    </row>
    <row r="2054" spans="2:8" ht="24" thickBot="1" x14ac:dyDescent="0.3">
      <c r="B2054" s="324" t="s">
        <v>508</v>
      </c>
      <c r="C2054" s="325"/>
      <c r="D2054" s="138">
        <v>276.62</v>
      </c>
      <c r="E2054" s="138">
        <f>V2040</f>
        <v>0.67</v>
      </c>
      <c r="F2054" s="79" t="s">
        <v>437</v>
      </c>
      <c r="G2054" s="144">
        <f t="shared" si="99"/>
        <v>185.33540000000002</v>
      </c>
      <c r="H2054" s="321"/>
    </row>
    <row r="2055" spans="2:8" ht="24" thickBot="1" x14ac:dyDescent="0.3">
      <c r="B2055" s="326" t="s">
        <v>438</v>
      </c>
      <c r="C2055" s="327"/>
      <c r="D2055" s="139">
        <v>519</v>
      </c>
      <c r="E2055" s="139"/>
      <c r="F2055" s="80" t="s">
        <v>434</v>
      </c>
      <c r="G2055" s="145">
        <f t="shared" si="99"/>
        <v>0</v>
      </c>
      <c r="H2055" s="321"/>
    </row>
    <row r="2056" spans="2:8" ht="23.25" x14ac:dyDescent="0.25">
      <c r="B2056" s="322" t="s">
        <v>509</v>
      </c>
      <c r="C2056" s="323"/>
      <c r="D2056" s="137">
        <v>920</v>
      </c>
      <c r="E2056" s="137">
        <f>D2043*2</f>
        <v>4.8</v>
      </c>
      <c r="F2056" s="78" t="s">
        <v>434</v>
      </c>
      <c r="G2056" s="143">
        <f t="shared" si="99"/>
        <v>4416</v>
      </c>
      <c r="H2056" s="321"/>
    </row>
    <row r="2057" spans="2:8" ht="23.25" x14ac:dyDescent="0.25">
      <c r="B2057" s="328" t="s">
        <v>510</v>
      </c>
      <c r="C2057" s="329"/>
      <c r="D2057" s="140">
        <v>1300</v>
      </c>
      <c r="E2057" s="140">
        <v>2.4</v>
      </c>
      <c r="F2057" s="81" t="s">
        <v>434</v>
      </c>
      <c r="G2057" s="146">
        <f t="shared" si="99"/>
        <v>3120</v>
      </c>
      <c r="H2057" s="321"/>
    </row>
    <row r="2058" spans="2:8" ht="23.25" x14ac:dyDescent="0.25">
      <c r="B2058" s="328" t="s">
        <v>439</v>
      </c>
      <c r="C2058" s="329"/>
      <c r="D2058" s="141">
        <v>5165.12</v>
      </c>
      <c r="E2058" s="140"/>
      <c r="F2058" s="81" t="s">
        <v>434</v>
      </c>
      <c r="G2058" s="146">
        <f t="shared" si="99"/>
        <v>0</v>
      </c>
      <c r="H2058" s="321"/>
    </row>
    <row r="2059" spans="2:8" ht="23.25" x14ac:dyDescent="0.25">
      <c r="B2059" s="328" t="s">
        <v>511</v>
      </c>
      <c r="C2059" s="329"/>
      <c r="D2059" s="141">
        <v>917</v>
      </c>
      <c r="E2059" s="140"/>
      <c r="F2059" s="81" t="s">
        <v>434</v>
      </c>
      <c r="G2059" s="146">
        <f t="shared" si="99"/>
        <v>0</v>
      </c>
      <c r="H2059" s="321"/>
    </row>
    <row r="2060" spans="2:8" ht="23.25" x14ac:dyDescent="0.25">
      <c r="B2060" s="328" t="s">
        <v>441</v>
      </c>
      <c r="C2060" s="329"/>
      <c r="D2060" s="141">
        <v>461.56000000000006</v>
      </c>
      <c r="E2060" s="140"/>
      <c r="F2060" s="81" t="s">
        <v>434</v>
      </c>
      <c r="G2060" s="146">
        <f>D2060*E2060</f>
        <v>0</v>
      </c>
      <c r="H2060" s="321"/>
    </row>
    <row r="2061" spans="2:8" ht="24" thickBot="1" x14ac:dyDescent="0.3">
      <c r="B2061" s="324" t="s">
        <v>440</v>
      </c>
      <c r="C2061" s="325"/>
      <c r="D2061" s="138">
        <v>353.15</v>
      </c>
      <c r="E2061" s="140"/>
      <c r="F2061" s="79" t="s">
        <v>434</v>
      </c>
      <c r="G2061" s="147">
        <f>D2061*E2061</f>
        <v>0</v>
      </c>
      <c r="H2061" s="321"/>
    </row>
    <row r="2062" spans="2:8" ht="23.25" x14ac:dyDescent="0.25">
      <c r="B2062" s="49"/>
      <c r="C2062" s="66"/>
      <c r="D2062" s="66"/>
      <c r="E2062" s="56"/>
      <c r="F2062" s="56"/>
      <c r="G2062" s="48"/>
      <c r="H2062" s="92"/>
    </row>
    <row r="2063" spans="2:8" ht="25.5" x14ac:dyDescent="0.25">
      <c r="B2063" s="49"/>
      <c r="C2063" s="59" t="s">
        <v>512</v>
      </c>
      <c r="D2063" s="60"/>
      <c r="E2063" s="49"/>
      <c r="F2063" s="49"/>
      <c r="G2063" s="48"/>
      <c r="H2063" s="87"/>
    </row>
    <row r="2064" spans="2:8" ht="18.75" x14ac:dyDescent="0.25">
      <c r="B2064" s="49"/>
      <c r="C2064" s="306" t="s">
        <v>513</v>
      </c>
      <c r="D2064" s="132" t="s">
        <v>514</v>
      </c>
      <c r="E2064" s="68">
        <f>ROUND((G2052+D2045)/D2045,2)</f>
        <v>1.05</v>
      </c>
      <c r="F2064" s="68"/>
      <c r="G2064" s="50"/>
      <c r="H2064" s="87"/>
    </row>
    <row r="2065" spans="2:8" ht="23.25" x14ac:dyDescent="0.25">
      <c r="B2065" s="49"/>
      <c r="C2065" s="306"/>
      <c r="D2065" s="132" t="s">
        <v>515</v>
      </c>
      <c r="E2065" s="68">
        <f>ROUND((G2053+G2054+D2045)/D2045,2)</f>
        <v>1.03</v>
      </c>
      <c r="F2065" s="68"/>
      <c r="G2065" s="57"/>
      <c r="H2065" s="93"/>
    </row>
    <row r="2066" spans="2:8" ht="23.25" x14ac:dyDescent="0.25">
      <c r="B2066" s="49"/>
      <c r="C2066" s="306"/>
      <c r="D2066" s="132" t="s">
        <v>516</v>
      </c>
      <c r="E2066" s="68">
        <f>ROUND((G2055+D2045)/D2045,2)</f>
        <v>1</v>
      </c>
      <c r="F2066" s="50"/>
      <c r="G2066" s="57"/>
      <c r="H2066" s="87"/>
    </row>
    <row r="2067" spans="2:8" ht="23.25" x14ac:dyDescent="0.25">
      <c r="B2067" s="49"/>
      <c r="C2067" s="306"/>
      <c r="D2067" s="69" t="s">
        <v>517</v>
      </c>
      <c r="E2067" s="70">
        <f>ROUND((SUM(G2056:G2061)+D2045)/D2045,2)</f>
        <v>1.77</v>
      </c>
      <c r="F2067" s="50"/>
      <c r="G2067" s="57"/>
      <c r="H2067" s="87"/>
    </row>
    <row r="2068" spans="2:8" ht="25.5" x14ac:dyDescent="0.25">
      <c r="B2068" s="49"/>
      <c r="C2068" s="49"/>
      <c r="D2068" s="71" t="s">
        <v>518</v>
      </c>
      <c r="E2068" s="72">
        <f>SUM(E2064:E2067)-IF(D2049="сплошная",3,2)</f>
        <v>1.8499999999999996</v>
      </c>
      <c r="F2068" s="73"/>
      <c r="G2068" s="48"/>
      <c r="H2068" s="87"/>
    </row>
    <row r="2069" spans="2:8" ht="23.25" x14ac:dyDescent="0.25">
      <c r="B2069" s="49"/>
      <c r="C2069" s="49"/>
      <c r="D2069" s="49"/>
      <c r="E2069" s="74"/>
      <c r="F2069" s="49"/>
      <c r="G2069" s="48"/>
      <c r="H2069" s="87"/>
    </row>
    <row r="2070" spans="2:8" ht="25.5" x14ac:dyDescent="0.35">
      <c r="B2070" s="58"/>
      <c r="C2070" s="75" t="s">
        <v>519</v>
      </c>
      <c r="D2070" s="307">
        <f>E2068*D2045</f>
        <v>18083.546499999997</v>
      </c>
      <c r="E2070" s="307"/>
      <c r="F2070" s="49"/>
      <c r="G2070" s="48"/>
      <c r="H2070" s="87"/>
    </row>
    <row r="2071" spans="2:8" ht="18.75" x14ac:dyDescent="0.3">
      <c r="B2071" s="49"/>
      <c r="C2071" s="76" t="s">
        <v>520</v>
      </c>
      <c r="D2071" s="308">
        <f>D2070/D2044</f>
        <v>66.53254782928623</v>
      </c>
      <c r="E2071" s="308"/>
      <c r="F2071" s="49"/>
      <c r="G2071" s="49"/>
      <c r="H2071" s="94"/>
    </row>
  </sheetData>
  <sheetProtection password="876A" sheet="1" objects="1" scenarios="1"/>
  <autoFilter ref="AA5:AB963"/>
  <mergeCells count="1344">
    <mergeCell ref="C2064:C2067"/>
    <mergeCell ref="D2070:E2070"/>
    <mergeCell ref="D2071:E2071"/>
    <mergeCell ref="C2027:C2030"/>
    <mergeCell ref="D2033:E2033"/>
    <mergeCell ref="D2034:E2034"/>
    <mergeCell ref="B2037:H2037"/>
    <mergeCell ref="B2038:G2038"/>
    <mergeCell ref="C2040:C2042"/>
    <mergeCell ref="D2040:G2040"/>
    <mergeCell ref="D2041:G2041"/>
    <mergeCell ref="D2042:G2042"/>
    <mergeCell ref="E2044:F2045"/>
    <mergeCell ref="G2044:G2045"/>
    <mergeCell ref="B2051:C2051"/>
    <mergeCell ref="E2051:F2051"/>
    <mergeCell ref="B2052:C2052"/>
    <mergeCell ref="H2052:H2061"/>
    <mergeCell ref="B2053:C2053"/>
    <mergeCell ref="B2054:C2054"/>
    <mergeCell ref="B2055:C2055"/>
    <mergeCell ref="B2056:C2056"/>
    <mergeCell ref="B2057:C2057"/>
    <mergeCell ref="B2058:C2058"/>
    <mergeCell ref="B2059:C2059"/>
    <mergeCell ref="B2060:C2060"/>
    <mergeCell ref="B2061:C2061"/>
    <mergeCell ref="C1990:C1993"/>
    <mergeCell ref="D1996:E1996"/>
    <mergeCell ref="D1997:E1997"/>
    <mergeCell ref="B2000:H2000"/>
    <mergeCell ref="B2001:G2001"/>
    <mergeCell ref="C2003:C2005"/>
    <mergeCell ref="D2003:G2003"/>
    <mergeCell ref="D2004:G2004"/>
    <mergeCell ref="D2005:G2005"/>
    <mergeCell ref="E2007:F2008"/>
    <mergeCell ref="G2007:G2008"/>
    <mergeCell ref="B2014:C2014"/>
    <mergeCell ref="E2014:F2014"/>
    <mergeCell ref="B2015:C2015"/>
    <mergeCell ref="H2015:H2024"/>
    <mergeCell ref="B2016:C2016"/>
    <mergeCell ref="B2017:C2017"/>
    <mergeCell ref="B2018:C2018"/>
    <mergeCell ref="B2019:C2019"/>
    <mergeCell ref="B2020:C2020"/>
    <mergeCell ref="B2021:C2021"/>
    <mergeCell ref="B2022:C2022"/>
    <mergeCell ref="B2023:C2023"/>
    <mergeCell ref="B2024:C2024"/>
    <mergeCell ref="C1953:C1956"/>
    <mergeCell ref="D1959:E1959"/>
    <mergeCell ref="D1960:E1960"/>
    <mergeCell ref="B1963:H1963"/>
    <mergeCell ref="B1964:G1964"/>
    <mergeCell ref="C1966:C1968"/>
    <mergeCell ref="D1966:G1966"/>
    <mergeCell ref="D1967:G1967"/>
    <mergeCell ref="D1968:G1968"/>
    <mergeCell ref="E1970:F1971"/>
    <mergeCell ref="G1970:G1971"/>
    <mergeCell ref="B1977:C1977"/>
    <mergeCell ref="E1977:F1977"/>
    <mergeCell ref="B1978:C1978"/>
    <mergeCell ref="H1978:H1987"/>
    <mergeCell ref="B1979:C1979"/>
    <mergeCell ref="B1980:C1980"/>
    <mergeCell ref="B1981:C1981"/>
    <mergeCell ref="B1982:C1982"/>
    <mergeCell ref="B1983:C1983"/>
    <mergeCell ref="B1984:C1984"/>
    <mergeCell ref="B1985:C1985"/>
    <mergeCell ref="B1986:C1986"/>
    <mergeCell ref="B1987:C1987"/>
    <mergeCell ref="C1916:C1919"/>
    <mergeCell ref="D1922:E1922"/>
    <mergeCell ref="D1923:E1923"/>
    <mergeCell ref="B1926:H1926"/>
    <mergeCell ref="B1927:G1927"/>
    <mergeCell ref="C1929:C1931"/>
    <mergeCell ref="D1929:G1929"/>
    <mergeCell ref="D1930:G1930"/>
    <mergeCell ref="D1931:G1931"/>
    <mergeCell ref="E1933:F1934"/>
    <mergeCell ref="G1933:G1934"/>
    <mergeCell ref="B1940:C1940"/>
    <mergeCell ref="E1940:F1940"/>
    <mergeCell ref="B1941:C1941"/>
    <mergeCell ref="H1941:H1950"/>
    <mergeCell ref="B1942:C1942"/>
    <mergeCell ref="B1943:C1943"/>
    <mergeCell ref="B1944:C1944"/>
    <mergeCell ref="B1945:C1945"/>
    <mergeCell ref="B1946:C1946"/>
    <mergeCell ref="B1947:C1947"/>
    <mergeCell ref="B1948:C1948"/>
    <mergeCell ref="B1949:C1949"/>
    <mergeCell ref="B1950:C1950"/>
    <mergeCell ref="C1879:C1882"/>
    <mergeCell ref="D1885:E1885"/>
    <mergeCell ref="D1886:E1886"/>
    <mergeCell ref="B1889:H1889"/>
    <mergeCell ref="B1890:G1890"/>
    <mergeCell ref="C1892:C1894"/>
    <mergeCell ref="D1892:G1892"/>
    <mergeCell ref="D1893:G1893"/>
    <mergeCell ref="D1894:G1894"/>
    <mergeCell ref="E1896:F1897"/>
    <mergeCell ref="G1896:G1897"/>
    <mergeCell ref="B1903:C1903"/>
    <mergeCell ref="E1903:F1903"/>
    <mergeCell ref="B1904:C1904"/>
    <mergeCell ref="H1904:H1913"/>
    <mergeCell ref="B1905:C1905"/>
    <mergeCell ref="B1906:C1906"/>
    <mergeCell ref="B1907:C1907"/>
    <mergeCell ref="B1908:C1908"/>
    <mergeCell ref="B1909:C1909"/>
    <mergeCell ref="B1910:C1910"/>
    <mergeCell ref="B1911:C1911"/>
    <mergeCell ref="B1912:C1912"/>
    <mergeCell ref="B1913:C1913"/>
    <mergeCell ref="B1852:H1852"/>
    <mergeCell ref="B1853:G1853"/>
    <mergeCell ref="C1855:C1857"/>
    <mergeCell ref="D1855:G1855"/>
    <mergeCell ref="D1856:G1856"/>
    <mergeCell ref="D1857:G1857"/>
    <mergeCell ref="E1859:F1860"/>
    <mergeCell ref="G1859:G1860"/>
    <mergeCell ref="B1866:C1866"/>
    <mergeCell ref="E1866:F1866"/>
    <mergeCell ref="B1867:C1867"/>
    <mergeCell ref="H1867:H1876"/>
    <mergeCell ref="B1868:C1868"/>
    <mergeCell ref="B1869:C1869"/>
    <mergeCell ref="B1870:C1870"/>
    <mergeCell ref="B1871:C1871"/>
    <mergeCell ref="B1872:C1872"/>
    <mergeCell ref="B1873:C1873"/>
    <mergeCell ref="B1874:C1874"/>
    <mergeCell ref="B1875:C1875"/>
    <mergeCell ref="B1876:C1876"/>
    <mergeCell ref="H942:H951"/>
    <mergeCell ref="B943:C943"/>
    <mergeCell ref="B944:C944"/>
    <mergeCell ref="B945:C945"/>
    <mergeCell ref="B946:C946"/>
    <mergeCell ref="B947:C947"/>
    <mergeCell ref="B948:C948"/>
    <mergeCell ref="B949:C949"/>
    <mergeCell ref="B950:C950"/>
    <mergeCell ref="B951:C951"/>
    <mergeCell ref="C917:C920"/>
    <mergeCell ref="D923:E923"/>
    <mergeCell ref="D924:E924"/>
    <mergeCell ref="B927:H927"/>
    <mergeCell ref="B928:G928"/>
    <mergeCell ref="C930:C932"/>
    <mergeCell ref="D930:G930"/>
    <mergeCell ref="D931:G931"/>
    <mergeCell ref="D932:G932"/>
    <mergeCell ref="E897:F898"/>
    <mergeCell ref="G897:G898"/>
    <mergeCell ref="B904:C904"/>
    <mergeCell ref="E904:F904"/>
    <mergeCell ref="B905:C905"/>
    <mergeCell ref="C954:C957"/>
    <mergeCell ref="D960:E960"/>
    <mergeCell ref="D961:E961"/>
    <mergeCell ref="E934:F935"/>
    <mergeCell ref="G934:G935"/>
    <mergeCell ref="B941:C941"/>
    <mergeCell ref="E941:F941"/>
    <mergeCell ref="B942:C942"/>
    <mergeCell ref="C880:C883"/>
    <mergeCell ref="D886:E886"/>
    <mergeCell ref="D887:E887"/>
    <mergeCell ref="B890:H890"/>
    <mergeCell ref="B891:G891"/>
    <mergeCell ref="C893:C895"/>
    <mergeCell ref="D893:G893"/>
    <mergeCell ref="D894:G894"/>
    <mergeCell ref="D895:G895"/>
    <mergeCell ref="H905:H914"/>
    <mergeCell ref="B906:C906"/>
    <mergeCell ref="B907:C907"/>
    <mergeCell ref="B908:C908"/>
    <mergeCell ref="B909:C909"/>
    <mergeCell ref="B910:C910"/>
    <mergeCell ref="B911:C911"/>
    <mergeCell ref="B912:C912"/>
    <mergeCell ref="B913:C913"/>
    <mergeCell ref="B914:C914"/>
    <mergeCell ref="C843:C846"/>
    <mergeCell ref="D849:E849"/>
    <mergeCell ref="D850:E850"/>
    <mergeCell ref="B853:H853"/>
    <mergeCell ref="B854:G854"/>
    <mergeCell ref="C856:C858"/>
    <mergeCell ref="D856:G856"/>
    <mergeCell ref="D857:G857"/>
    <mergeCell ref="D858:G858"/>
    <mergeCell ref="E860:F861"/>
    <mergeCell ref="G860:G861"/>
    <mergeCell ref="B867:C867"/>
    <mergeCell ref="E867:F867"/>
    <mergeCell ref="B868:C868"/>
    <mergeCell ref="H868:H877"/>
    <mergeCell ref="B869:C869"/>
    <mergeCell ref="B870:C870"/>
    <mergeCell ref="B871:C871"/>
    <mergeCell ref="B872:C872"/>
    <mergeCell ref="B873:C873"/>
    <mergeCell ref="B874:C874"/>
    <mergeCell ref="B875:C875"/>
    <mergeCell ref="B876:C876"/>
    <mergeCell ref="B877:C877"/>
    <mergeCell ref="C806:C809"/>
    <mergeCell ref="D812:E812"/>
    <mergeCell ref="D813:E813"/>
    <mergeCell ref="B816:H816"/>
    <mergeCell ref="B817:G817"/>
    <mergeCell ref="C819:C821"/>
    <mergeCell ref="D819:G819"/>
    <mergeCell ref="D820:G820"/>
    <mergeCell ref="D821:G821"/>
    <mergeCell ref="E823:F824"/>
    <mergeCell ref="G823:G824"/>
    <mergeCell ref="B830:C830"/>
    <mergeCell ref="E830:F830"/>
    <mergeCell ref="B831:C831"/>
    <mergeCell ref="H831:H840"/>
    <mergeCell ref="B832:C832"/>
    <mergeCell ref="B833:C833"/>
    <mergeCell ref="B834:C834"/>
    <mergeCell ref="B835:C835"/>
    <mergeCell ref="B836:C836"/>
    <mergeCell ref="B837:C837"/>
    <mergeCell ref="B838:C838"/>
    <mergeCell ref="B839:C839"/>
    <mergeCell ref="B840:C840"/>
    <mergeCell ref="C769:C772"/>
    <mergeCell ref="D775:E775"/>
    <mergeCell ref="D776:E776"/>
    <mergeCell ref="B779:H779"/>
    <mergeCell ref="B780:G780"/>
    <mergeCell ref="C782:C784"/>
    <mergeCell ref="D782:G782"/>
    <mergeCell ref="D783:G783"/>
    <mergeCell ref="D784:G784"/>
    <mergeCell ref="E786:F787"/>
    <mergeCell ref="G786:G787"/>
    <mergeCell ref="B793:C793"/>
    <mergeCell ref="E793:F793"/>
    <mergeCell ref="B794:C794"/>
    <mergeCell ref="H794:H803"/>
    <mergeCell ref="B795:C795"/>
    <mergeCell ref="B796:C796"/>
    <mergeCell ref="B797:C797"/>
    <mergeCell ref="B798:C798"/>
    <mergeCell ref="B799:C799"/>
    <mergeCell ref="B800:C800"/>
    <mergeCell ref="B801:C801"/>
    <mergeCell ref="B802:C802"/>
    <mergeCell ref="B803:C803"/>
    <mergeCell ref="C732:C735"/>
    <mergeCell ref="D738:E738"/>
    <mergeCell ref="D739:E739"/>
    <mergeCell ref="B742:H742"/>
    <mergeCell ref="B743:G743"/>
    <mergeCell ref="C745:C747"/>
    <mergeCell ref="D745:G745"/>
    <mergeCell ref="D746:G746"/>
    <mergeCell ref="D747:G747"/>
    <mergeCell ref="E749:F750"/>
    <mergeCell ref="G749:G750"/>
    <mergeCell ref="B756:C756"/>
    <mergeCell ref="E756:F756"/>
    <mergeCell ref="B757:C757"/>
    <mergeCell ref="H757:H766"/>
    <mergeCell ref="B758:C758"/>
    <mergeCell ref="B759:C759"/>
    <mergeCell ref="B760:C760"/>
    <mergeCell ref="B761:C761"/>
    <mergeCell ref="B762:C762"/>
    <mergeCell ref="B763:C763"/>
    <mergeCell ref="B764:C764"/>
    <mergeCell ref="B765:C765"/>
    <mergeCell ref="B766:C766"/>
    <mergeCell ref="C695:C698"/>
    <mergeCell ref="D701:E701"/>
    <mergeCell ref="D702:E702"/>
    <mergeCell ref="B705:H705"/>
    <mergeCell ref="B706:G706"/>
    <mergeCell ref="C708:C710"/>
    <mergeCell ref="D708:G708"/>
    <mergeCell ref="D709:G709"/>
    <mergeCell ref="D710:G710"/>
    <mergeCell ref="E712:F713"/>
    <mergeCell ref="G712:G713"/>
    <mergeCell ref="B719:C719"/>
    <mergeCell ref="E719:F719"/>
    <mergeCell ref="B720:C720"/>
    <mergeCell ref="H720:H729"/>
    <mergeCell ref="B721:C721"/>
    <mergeCell ref="B722:C722"/>
    <mergeCell ref="B723:C723"/>
    <mergeCell ref="B724:C724"/>
    <mergeCell ref="B725:C725"/>
    <mergeCell ref="B726:C726"/>
    <mergeCell ref="B727:C727"/>
    <mergeCell ref="B728:C728"/>
    <mergeCell ref="B729:C729"/>
    <mergeCell ref="C658:C661"/>
    <mergeCell ref="D664:E664"/>
    <mergeCell ref="D665:E665"/>
    <mergeCell ref="B668:H668"/>
    <mergeCell ref="B669:G669"/>
    <mergeCell ref="C671:C673"/>
    <mergeCell ref="D671:G671"/>
    <mergeCell ref="D672:G672"/>
    <mergeCell ref="D673:G673"/>
    <mergeCell ref="E675:F676"/>
    <mergeCell ref="G675:G676"/>
    <mergeCell ref="B682:C682"/>
    <mergeCell ref="E682:F682"/>
    <mergeCell ref="B683:C683"/>
    <mergeCell ref="H683:H692"/>
    <mergeCell ref="B684:C684"/>
    <mergeCell ref="B685:C685"/>
    <mergeCell ref="B686:C686"/>
    <mergeCell ref="B687:C687"/>
    <mergeCell ref="B688:C688"/>
    <mergeCell ref="B689:C689"/>
    <mergeCell ref="B690:C690"/>
    <mergeCell ref="B691:C691"/>
    <mergeCell ref="B692:C692"/>
    <mergeCell ref="C621:C624"/>
    <mergeCell ref="D627:E627"/>
    <mergeCell ref="D628:E628"/>
    <mergeCell ref="B631:H631"/>
    <mergeCell ref="B632:G632"/>
    <mergeCell ref="C634:C636"/>
    <mergeCell ref="D634:G634"/>
    <mergeCell ref="D635:G635"/>
    <mergeCell ref="D636:G636"/>
    <mergeCell ref="E638:F639"/>
    <mergeCell ref="G638:G639"/>
    <mergeCell ref="B645:C645"/>
    <mergeCell ref="E645:F645"/>
    <mergeCell ref="B646:C646"/>
    <mergeCell ref="H646:H655"/>
    <mergeCell ref="B647:C647"/>
    <mergeCell ref="B648:C648"/>
    <mergeCell ref="B649:C649"/>
    <mergeCell ref="B650:C650"/>
    <mergeCell ref="B651:C651"/>
    <mergeCell ref="B652:C652"/>
    <mergeCell ref="B653:C653"/>
    <mergeCell ref="B654:C654"/>
    <mergeCell ref="B655:C655"/>
    <mergeCell ref="C584:C587"/>
    <mergeCell ref="D590:E590"/>
    <mergeCell ref="D591:E591"/>
    <mergeCell ref="B594:H594"/>
    <mergeCell ref="B595:G595"/>
    <mergeCell ref="C597:C599"/>
    <mergeCell ref="D597:G597"/>
    <mergeCell ref="D598:G598"/>
    <mergeCell ref="D599:G599"/>
    <mergeCell ref="E601:F602"/>
    <mergeCell ref="G601:G602"/>
    <mergeCell ref="B608:C608"/>
    <mergeCell ref="E608:F608"/>
    <mergeCell ref="B609:C609"/>
    <mergeCell ref="H609:H618"/>
    <mergeCell ref="B610:C610"/>
    <mergeCell ref="B611:C611"/>
    <mergeCell ref="B612:C612"/>
    <mergeCell ref="B613:C613"/>
    <mergeCell ref="B614:C614"/>
    <mergeCell ref="B615:C615"/>
    <mergeCell ref="B616:C616"/>
    <mergeCell ref="B617:C617"/>
    <mergeCell ref="B618:C618"/>
    <mergeCell ref="C547:C550"/>
    <mergeCell ref="D553:E553"/>
    <mergeCell ref="D554:E554"/>
    <mergeCell ref="B557:H557"/>
    <mergeCell ref="B558:G558"/>
    <mergeCell ref="C560:C562"/>
    <mergeCell ref="D560:G560"/>
    <mergeCell ref="D561:G561"/>
    <mergeCell ref="D562:G562"/>
    <mergeCell ref="E564:F565"/>
    <mergeCell ref="G564:G565"/>
    <mergeCell ref="B571:C571"/>
    <mergeCell ref="E571:F571"/>
    <mergeCell ref="B572:C572"/>
    <mergeCell ref="H572:H581"/>
    <mergeCell ref="B573:C573"/>
    <mergeCell ref="B574:C574"/>
    <mergeCell ref="B575:C575"/>
    <mergeCell ref="B576:C576"/>
    <mergeCell ref="B577:C577"/>
    <mergeCell ref="B578:C578"/>
    <mergeCell ref="B579:C579"/>
    <mergeCell ref="B580:C580"/>
    <mergeCell ref="B581:C581"/>
    <mergeCell ref="C510:C513"/>
    <mergeCell ref="D516:E516"/>
    <mergeCell ref="D517:E517"/>
    <mergeCell ref="B520:H520"/>
    <mergeCell ref="B521:G521"/>
    <mergeCell ref="C523:C525"/>
    <mergeCell ref="D523:G523"/>
    <mergeCell ref="D524:G524"/>
    <mergeCell ref="D525:G525"/>
    <mergeCell ref="E527:F528"/>
    <mergeCell ref="G527:G528"/>
    <mergeCell ref="B534:C534"/>
    <mergeCell ref="E534:F534"/>
    <mergeCell ref="B535:C535"/>
    <mergeCell ref="H535:H544"/>
    <mergeCell ref="B536:C536"/>
    <mergeCell ref="B537:C537"/>
    <mergeCell ref="B538:C538"/>
    <mergeCell ref="B539:C539"/>
    <mergeCell ref="B540:C540"/>
    <mergeCell ref="B541:C541"/>
    <mergeCell ref="B542:C542"/>
    <mergeCell ref="B543:C543"/>
    <mergeCell ref="B544:C544"/>
    <mergeCell ref="C473:C476"/>
    <mergeCell ref="D479:E479"/>
    <mergeCell ref="D480:E480"/>
    <mergeCell ref="B483:H483"/>
    <mergeCell ref="B484:G484"/>
    <mergeCell ref="C486:C488"/>
    <mergeCell ref="D486:G486"/>
    <mergeCell ref="D487:G487"/>
    <mergeCell ref="D488:G488"/>
    <mergeCell ref="E490:F491"/>
    <mergeCell ref="G490:G491"/>
    <mergeCell ref="B497:C497"/>
    <mergeCell ref="E497:F497"/>
    <mergeCell ref="B498:C498"/>
    <mergeCell ref="H498:H507"/>
    <mergeCell ref="B499:C499"/>
    <mergeCell ref="B500:C500"/>
    <mergeCell ref="B501:C501"/>
    <mergeCell ref="B502:C502"/>
    <mergeCell ref="B503:C503"/>
    <mergeCell ref="B504:C504"/>
    <mergeCell ref="B505:C505"/>
    <mergeCell ref="B506:C506"/>
    <mergeCell ref="B507:C507"/>
    <mergeCell ref="C436:C439"/>
    <mergeCell ref="D442:E442"/>
    <mergeCell ref="D443:E443"/>
    <mergeCell ref="B446:H446"/>
    <mergeCell ref="B447:G447"/>
    <mergeCell ref="C449:C451"/>
    <mergeCell ref="D449:G449"/>
    <mergeCell ref="D450:G450"/>
    <mergeCell ref="D451:G451"/>
    <mergeCell ref="E453:F454"/>
    <mergeCell ref="G453:G454"/>
    <mergeCell ref="B460:C460"/>
    <mergeCell ref="E460:F460"/>
    <mergeCell ref="B461:C461"/>
    <mergeCell ref="H461:H470"/>
    <mergeCell ref="B462:C462"/>
    <mergeCell ref="B463:C463"/>
    <mergeCell ref="B464:C464"/>
    <mergeCell ref="B465:C465"/>
    <mergeCell ref="B466:C466"/>
    <mergeCell ref="B467:C467"/>
    <mergeCell ref="B468:C468"/>
    <mergeCell ref="B469:C469"/>
    <mergeCell ref="B470:C470"/>
    <mergeCell ref="C399:C402"/>
    <mergeCell ref="D405:E405"/>
    <mergeCell ref="D406:E406"/>
    <mergeCell ref="B409:H409"/>
    <mergeCell ref="B410:G410"/>
    <mergeCell ref="C412:C414"/>
    <mergeCell ref="D412:G412"/>
    <mergeCell ref="D413:G413"/>
    <mergeCell ref="D414:G414"/>
    <mergeCell ref="E416:F417"/>
    <mergeCell ref="G416:G417"/>
    <mergeCell ref="B423:C423"/>
    <mergeCell ref="E423:F423"/>
    <mergeCell ref="B424:C424"/>
    <mergeCell ref="H424:H433"/>
    <mergeCell ref="B425:C425"/>
    <mergeCell ref="B426:C426"/>
    <mergeCell ref="B427:C427"/>
    <mergeCell ref="B428:C428"/>
    <mergeCell ref="B429:C429"/>
    <mergeCell ref="B430:C430"/>
    <mergeCell ref="B431:C431"/>
    <mergeCell ref="B432:C432"/>
    <mergeCell ref="B433:C433"/>
    <mergeCell ref="C362:C365"/>
    <mergeCell ref="D368:E368"/>
    <mergeCell ref="D369:E369"/>
    <mergeCell ref="B372:H372"/>
    <mergeCell ref="B373:G373"/>
    <mergeCell ref="C375:C377"/>
    <mergeCell ref="D375:G375"/>
    <mergeCell ref="D376:G376"/>
    <mergeCell ref="D377:G377"/>
    <mergeCell ref="E379:F380"/>
    <mergeCell ref="G379:G380"/>
    <mergeCell ref="B386:C386"/>
    <mergeCell ref="E386:F386"/>
    <mergeCell ref="B387:C387"/>
    <mergeCell ref="H387:H396"/>
    <mergeCell ref="B388:C388"/>
    <mergeCell ref="B389:C389"/>
    <mergeCell ref="B390:C390"/>
    <mergeCell ref="B391:C391"/>
    <mergeCell ref="B392:C392"/>
    <mergeCell ref="B393:C393"/>
    <mergeCell ref="B394:C394"/>
    <mergeCell ref="B395:C395"/>
    <mergeCell ref="B396:C396"/>
    <mergeCell ref="C325:C328"/>
    <mergeCell ref="D331:E331"/>
    <mergeCell ref="D332:E332"/>
    <mergeCell ref="B335:H335"/>
    <mergeCell ref="B336:G336"/>
    <mergeCell ref="C338:C340"/>
    <mergeCell ref="D338:G338"/>
    <mergeCell ref="D339:G339"/>
    <mergeCell ref="D340:G340"/>
    <mergeCell ref="E342:F343"/>
    <mergeCell ref="G342:G343"/>
    <mergeCell ref="B349:C349"/>
    <mergeCell ref="E349:F349"/>
    <mergeCell ref="B350:C350"/>
    <mergeCell ref="H350:H359"/>
    <mergeCell ref="B351:C351"/>
    <mergeCell ref="B352:C352"/>
    <mergeCell ref="B353:C353"/>
    <mergeCell ref="B354:C354"/>
    <mergeCell ref="B355:C355"/>
    <mergeCell ref="B356:C356"/>
    <mergeCell ref="B357:C357"/>
    <mergeCell ref="B358:C358"/>
    <mergeCell ref="B359:C359"/>
    <mergeCell ref="C288:C291"/>
    <mergeCell ref="D294:E294"/>
    <mergeCell ref="D295:E295"/>
    <mergeCell ref="B298:H298"/>
    <mergeCell ref="B299:G299"/>
    <mergeCell ref="C301:C303"/>
    <mergeCell ref="D301:G301"/>
    <mergeCell ref="D302:G302"/>
    <mergeCell ref="D303:G303"/>
    <mergeCell ref="E305:F306"/>
    <mergeCell ref="G305:G306"/>
    <mergeCell ref="B312:C312"/>
    <mergeCell ref="E312:F312"/>
    <mergeCell ref="B313:C313"/>
    <mergeCell ref="H313:H322"/>
    <mergeCell ref="B314:C314"/>
    <mergeCell ref="B315:C315"/>
    <mergeCell ref="B316:C316"/>
    <mergeCell ref="B317:C317"/>
    <mergeCell ref="B318:C318"/>
    <mergeCell ref="B319:C319"/>
    <mergeCell ref="B320:C320"/>
    <mergeCell ref="B321:C321"/>
    <mergeCell ref="B322:C322"/>
    <mergeCell ref="C251:C254"/>
    <mergeCell ref="D257:E257"/>
    <mergeCell ref="D258:E258"/>
    <mergeCell ref="B261:H261"/>
    <mergeCell ref="B262:G262"/>
    <mergeCell ref="C264:C266"/>
    <mergeCell ref="D264:G264"/>
    <mergeCell ref="D265:G265"/>
    <mergeCell ref="D266:G266"/>
    <mergeCell ref="E268:F269"/>
    <mergeCell ref="G268:G269"/>
    <mergeCell ref="B275:C275"/>
    <mergeCell ref="E275:F275"/>
    <mergeCell ref="B276:C276"/>
    <mergeCell ref="H276:H285"/>
    <mergeCell ref="B277:C277"/>
    <mergeCell ref="B278:C278"/>
    <mergeCell ref="B279:C279"/>
    <mergeCell ref="B280:C280"/>
    <mergeCell ref="B281:C281"/>
    <mergeCell ref="B282:C282"/>
    <mergeCell ref="B283:C283"/>
    <mergeCell ref="B284:C284"/>
    <mergeCell ref="B285:C285"/>
    <mergeCell ref="B224:H224"/>
    <mergeCell ref="B225:G225"/>
    <mergeCell ref="C227:C229"/>
    <mergeCell ref="D227:G227"/>
    <mergeCell ref="D228:G228"/>
    <mergeCell ref="D229:G229"/>
    <mergeCell ref="E231:F232"/>
    <mergeCell ref="G231:G232"/>
    <mergeCell ref="B238:C238"/>
    <mergeCell ref="E238:F238"/>
    <mergeCell ref="B239:C239"/>
    <mergeCell ref="H239:H248"/>
    <mergeCell ref="B240:C240"/>
    <mergeCell ref="B241:C241"/>
    <mergeCell ref="B242:C242"/>
    <mergeCell ref="B243:C243"/>
    <mergeCell ref="B244:C244"/>
    <mergeCell ref="B245:C245"/>
    <mergeCell ref="B246:C246"/>
    <mergeCell ref="B247:C247"/>
    <mergeCell ref="B248:C248"/>
    <mergeCell ref="G194:G195"/>
    <mergeCell ref="B201:C201"/>
    <mergeCell ref="E201:F201"/>
    <mergeCell ref="B202:C202"/>
    <mergeCell ref="H202:H211"/>
    <mergeCell ref="B203:C203"/>
    <mergeCell ref="B204:C204"/>
    <mergeCell ref="B205:C205"/>
    <mergeCell ref="B206:C206"/>
    <mergeCell ref="B207:C207"/>
    <mergeCell ref="B208:C208"/>
    <mergeCell ref="B209:C209"/>
    <mergeCell ref="B210:C210"/>
    <mergeCell ref="B211:C211"/>
    <mergeCell ref="C214:C217"/>
    <mergeCell ref="D220:E220"/>
    <mergeCell ref="D221:E221"/>
    <mergeCell ref="D36:E36"/>
    <mergeCell ref="B22:C22"/>
    <mergeCell ref="B23:C23"/>
    <mergeCell ref="B24:C24"/>
    <mergeCell ref="B25:C25"/>
    <mergeCell ref="B26:C26"/>
    <mergeCell ref="C29:C32"/>
    <mergeCell ref="B187:H187"/>
    <mergeCell ref="E46:F47"/>
    <mergeCell ref="G46:G47"/>
    <mergeCell ref="B53:C53"/>
    <mergeCell ref="E53:F53"/>
    <mergeCell ref="B54:C54"/>
    <mergeCell ref="B39:H39"/>
    <mergeCell ref="B40:G40"/>
    <mergeCell ref="C42:C44"/>
    <mergeCell ref="D42:G42"/>
    <mergeCell ref="D43:G43"/>
    <mergeCell ref="D44:G44"/>
    <mergeCell ref="H54:H63"/>
    <mergeCell ref="B55:C55"/>
    <mergeCell ref="B56:C56"/>
    <mergeCell ref="B57:C57"/>
    <mergeCell ref="E83:F84"/>
    <mergeCell ref="G83:G84"/>
    <mergeCell ref="C66:C69"/>
    <mergeCell ref="D72:E72"/>
    <mergeCell ref="D73:E73"/>
    <mergeCell ref="B76:H76"/>
    <mergeCell ref="B77:G77"/>
    <mergeCell ref="B90:C90"/>
    <mergeCell ref="E90:F90"/>
    <mergeCell ref="B2:H2"/>
    <mergeCell ref="B3:G3"/>
    <mergeCell ref="C5:C7"/>
    <mergeCell ref="D5:G5"/>
    <mergeCell ref="D6:G6"/>
    <mergeCell ref="D7:G7"/>
    <mergeCell ref="H17:H26"/>
    <mergeCell ref="B18:C18"/>
    <mergeCell ref="B19:C19"/>
    <mergeCell ref="B20:C20"/>
    <mergeCell ref="B21:C21"/>
    <mergeCell ref="E9:F10"/>
    <mergeCell ref="G9:G10"/>
    <mergeCell ref="B16:C16"/>
    <mergeCell ref="E16:F16"/>
    <mergeCell ref="B17:C17"/>
    <mergeCell ref="D35:E35"/>
    <mergeCell ref="B58:C58"/>
    <mergeCell ref="B59:C59"/>
    <mergeCell ref="B60:C60"/>
    <mergeCell ref="B61:C61"/>
    <mergeCell ref="B62:C62"/>
    <mergeCell ref="B63:C63"/>
    <mergeCell ref="C79:C81"/>
    <mergeCell ref="D79:G79"/>
    <mergeCell ref="D80:G80"/>
    <mergeCell ref="D81:G81"/>
    <mergeCell ref="C116:C118"/>
    <mergeCell ref="D116:G116"/>
    <mergeCell ref="D117:G117"/>
    <mergeCell ref="D118:G118"/>
    <mergeCell ref="E120:F121"/>
    <mergeCell ref="G120:G121"/>
    <mergeCell ref="C103:C106"/>
    <mergeCell ref="D109:E109"/>
    <mergeCell ref="D110:E110"/>
    <mergeCell ref="B113:H113"/>
    <mergeCell ref="B114:G114"/>
    <mergeCell ref="B91:C91"/>
    <mergeCell ref="H91:H100"/>
    <mergeCell ref="B92:C92"/>
    <mergeCell ref="B93:C93"/>
    <mergeCell ref="B94:C94"/>
    <mergeCell ref="B95:C95"/>
    <mergeCell ref="B96:C96"/>
    <mergeCell ref="B97:C97"/>
    <mergeCell ref="B98:C98"/>
    <mergeCell ref="B99:C99"/>
    <mergeCell ref="B100:C100"/>
    <mergeCell ref="C153:C155"/>
    <mergeCell ref="D153:G153"/>
    <mergeCell ref="D154:G154"/>
    <mergeCell ref="D155:G155"/>
    <mergeCell ref="E157:F158"/>
    <mergeCell ref="G157:G158"/>
    <mergeCell ref="C140:C143"/>
    <mergeCell ref="D146:E146"/>
    <mergeCell ref="D147:E147"/>
    <mergeCell ref="B150:H150"/>
    <mergeCell ref="B151:G151"/>
    <mergeCell ref="B127:C127"/>
    <mergeCell ref="E127:F127"/>
    <mergeCell ref="B128:C128"/>
    <mergeCell ref="H128:H137"/>
    <mergeCell ref="B129:C129"/>
    <mergeCell ref="B130:C130"/>
    <mergeCell ref="B131:C131"/>
    <mergeCell ref="B132:C132"/>
    <mergeCell ref="B133:C133"/>
    <mergeCell ref="B134:C134"/>
    <mergeCell ref="B135:C135"/>
    <mergeCell ref="B136:C136"/>
    <mergeCell ref="B137:C137"/>
    <mergeCell ref="B964:H964"/>
    <mergeCell ref="B965:G965"/>
    <mergeCell ref="C967:C969"/>
    <mergeCell ref="D967:G967"/>
    <mergeCell ref="D968:G968"/>
    <mergeCell ref="D969:G969"/>
    <mergeCell ref="E971:F972"/>
    <mergeCell ref="G971:G972"/>
    <mergeCell ref="B978:C978"/>
    <mergeCell ref="E978:F978"/>
    <mergeCell ref="C177:C180"/>
    <mergeCell ref="D183:E183"/>
    <mergeCell ref="D184:E184"/>
    <mergeCell ref="B164:C164"/>
    <mergeCell ref="E164:F164"/>
    <mergeCell ref="B165:C165"/>
    <mergeCell ref="H165:H174"/>
    <mergeCell ref="B166:C166"/>
    <mergeCell ref="B167:C167"/>
    <mergeCell ref="B168:C168"/>
    <mergeCell ref="B169:C169"/>
    <mergeCell ref="B170:C170"/>
    <mergeCell ref="B171:C171"/>
    <mergeCell ref="B172:C172"/>
    <mergeCell ref="B173:C173"/>
    <mergeCell ref="B174:C174"/>
    <mergeCell ref="B188:G188"/>
    <mergeCell ref="C190:C192"/>
    <mergeCell ref="D190:G190"/>
    <mergeCell ref="D191:G191"/>
    <mergeCell ref="D192:G192"/>
    <mergeCell ref="E194:F195"/>
    <mergeCell ref="C991:C994"/>
    <mergeCell ref="D997:E997"/>
    <mergeCell ref="D998:E998"/>
    <mergeCell ref="B1001:H1001"/>
    <mergeCell ref="B1002:G1002"/>
    <mergeCell ref="C1004:C1006"/>
    <mergeCell ref="D1004:G1004"/>
    <mergeCell ref="D1005:G1005"/>
    <mergeCell ref="D1006:G1006"/>
    <mergeCell ref="B979:C979"/>
    <mergeCell ref="H979:H988"/>
    <mergeCell ref="B980:C980"/>
    <mergeCell ref="B981:C981"/>
    <mergeCell ref="B982:C982"/>
    <mergeCell ref="B983:C983"/>
    <mergeCell ref="B984:C984"/>
    <mergeCell ref="B985:C985"/>
    <mergeCell ref="B986:C986"/>
    <mergeCell ref="B987:C987"/>
    <mergeCell ref="B988:C988"/>
    <mergeCell ref="C1028:C1031"/>
    <mergeCell ref="D1034:E1034"/>
    <mergeCell ref="D1035:E1035"/>
    <mergeCell ref="B1038:H1038"/>
    <mergeCell ref="B1039:G1039"/>
    <mergeCell ref="C1041:C1043"/>
    <mergeCell ref="D1041:G1041"/>
    <mergeCell ref="D1042:G1042"/>
    <mergeCell ref="D1043:G1043"/>
    <mergeCell ref="E1008:F1009"/>
    <mergeCell ref="G1008:G1009"/>
    <mergeCell ref="B1015:C1015"/>
    <mergeCell ref="E1015:F1015"/>
    <mergeCell ref="B1016:C1016"/>
    <mergeCell ref="H1016:H1025"/>
    <mergeCell ref="B1017:C1017"/>
    <mergeCell ref="B1018:C1018"/>
    <mergeCell ref="B1019:C1019"/>
    <mergeCell ref="B1020:C1020"/>
    <mergeCell ref="B1021:C1021"/>
    <mergeCell ref="B1022:C1022"/>
    <mergeCell ref="B1023:C1023"/>
    <mergeCell ref="B1024:C1024"/>
    <mergeCell ref="B1025:C1025"/>
    <mergeCell ref="C1065:C1068"/>
    <mergeCell ref="D1071:E1071"/>
    <mergeCell ref="D1072:E1072"/>
    <mergeCell ref="B1075:H1075"/>
    <mergeCell ref="B1076:G1076"/>
    <mergeCell ref="C1078:C1080"/>
    <mergeCell ref="D1078:G1078"/>
    <mergeCell ref="D1079:G1079"/>
    <mergeCell ref="D1080:G1080"/>
    <mergeCell ref="E1045:F1046"/>
    <mergeCell ref="G1045:G1046"/>
    <mergeCell ref="B1052:C1052"/>
    <mergeCell ref="E1052:F1052"/>
    <mergeCell ref="B1053:C1053"/>
    <mergeCell ref="H1053:H1062"/>
    <mergeCell ref="B1054:C1054"/>
    <mergeCell ref="B1055:C1055"/>
    <mergeCell ref="B1056:C1056"/>
    <mergeCell ref="B1057:C1057"/>
    <mergeCell ref="B1058:C1058"/>
    <mergeCell ref="B1059:C1059"/>
    <mergeCell ref="B1060:C1060"/>
    <mergeCell ref="B1061:C1061"/>
    <mergeCell ref="B1062:C1062"/>
    <mergeCell ref="C1102:C1105"/>
    <mergeCell ref="D1108:E1108"/>
    <mergeCell ref="D1109:E1109"/>
    <mergeCell ref="B1112:H1112"/>
    <mergeCell ref="B1113:G1113"/>
    <mergeCell ref="C1115:C1117"/>
    <mergeCell ref="D1115:G1115"/>
    <mergeCell ref="D1116:G1116"/>
    <mergeCell ref="D1117:G1117"/>
    <mergeCell ref="E1082:F1083"/>
    <mergeCell ref="G1082:G1083"/>
    <mergeCell ref="B1089:C1089"/>
    <mergeCell ref="E1089:F1089"/>
    <mergeCell ref="B1090:C1090"/>
    <mergeCell ref="H1090:H1099"/>
    <mergeCell ref="B1091:C1091"/>
    <mergeCell ref="B1092:C1092"/>
    <mergeCell ref="B1093:C1093"/>
    <mergeCell ref="B1094:C1094"/>
    <mergeCell ref="B1095:C1095"/>
    <mergeCell ref="B1096:C1096"/>
    <mergeCell ref="B1097:C1097"/>
    <mergeCell ref="B1098:C1098"/>
    <mergeCell ref="B1099:C1099"/>
    <mergeCell ref="C1139:C1142"/>
    <mergeCell ref="D1145:E1145"/>
    <mergeCell ref="D1146:E1146"/>
    <mergeCell ref="B1149:H1149"/>
    <mergeCell ref="B1150:G1150"/>
    <mergeCell ref="C1152:C1154"/>
    <mergeCell ref="D1152:G1152"/>
    <mergeCell ref="D1153:G1153"/>
    <mergeCell ref="D1154:G1154"/>
    <mergeCell ref="E1119:F1120"/>
    <mergeCell ref="G1119:G1120"/>
    <mergeCell ref="B1126:C1126"/>
    <mergeCell ref="E1126:F1126"/>
    <mergeCell ref="B1127:C1127"/>
    <mergeCell ref="H1127:H1136"/>
    <mergeCell ref="B1128:C1128"/>
    <mergeCell ref="B1129:C1129"/>
    <mergeCell ref="B1130:C1130"/>
    <mergeCell ref="B1131:C1131"/>
    <mergeCell ref="B1132:C1132"/>
    <mergeCell ref="B1133:C1133"/>
    <mergeCell ref="B1134:C1134"/>
    <mergeCell ref="B1135:C1135"/>
    <mergeCell ref="B1136:C1136"/>
    <mergeCell ref="C1176:C1179"/>
    <mergeCell ref="D1182:E1182"/>
    <mergeCell ref="D1183:E1183"/>
    <mergeCell ref="B1186:H1186"/>
    <mergeCell ref="B1187:G1187"/>
    <mergeCell ref="C1189:C1191"/>
    <mergeCell ref="D1189:G1189"/>
    <mergeCell ref="D1190:G1190"/>
    <mergeCell ref="D1191:G1191"/>
    <mergeCell ref="E1156:F1157"/>
    <mergeCell ref="G1156:G1157"/>
    <mergeCell ref="B1163:C1163"/>
    <mergeCell ref="E1163:F1163"/>
    <mergeCell ref="B1164:C1164"/>
    <mergeCell ref="H1164:H1173"/>
    <mergeCell ref="B1165:C1165"/>
    <mergeCell ref="B1166:C1166"/>
    <mergeCell ref="B1167:C1167"/>
    <mergeCell ref="B1168:C1168"/>
    <mergeCell ref="B1169:C1169"/>
    <mergeCell ref="B1170:C1170"/>
    <mergeCell ref="B1171:C1171"/>
    <mergeCell ref="B1172:C1172"/>
    <mergeCell ref="B1173:C1173"/>
    <mergeCell ref="C1213:C1216"/>
    <mergeCell ref="D1219:E1219"/>
    <mergeCell ref="D1220:E1220"/>
    <mergeCell ref="B1223:H1223"/>
    <mergeCell ref="B1224:G1224"/>
    <mergeCell ref="C1226:C1228"/>
    <mergeCell ref="D1226:G1226"/>
    <mergeCell ref="D1227:G1227"/>
    <mergeCell ref="D1228:G1228"/>
    <mergeCell ref="E1193:F1194"/>
    <mergeCell ref="G1193:G1194"/>
    <mergeCell ref="B1200:C1200"/>
    <mergeCell ref="E1200:F1200"/>
    <mergeCell ref="B1201:C1201"/>
    <mergeCell ref="H1201:H1210"/>
    <mergeCell ref="B1202:C1202"/>
    <mergeCell ref="B1203:C1203"/>
    <mergeCell ref="B1204:C1204"/>
    <mergeCell ref="B1205:C1205"/>
    <mergeCell ref="B1206:C1206"/>
    <mergeCell ref="B1207:C1207"/>
    <mergeCell ref="B1208:C1208"/>
    <mergeCell ref="B1209:C1209"/>
    <mergeCell ref="B1210:C1210"/>
    <mergeCell ref="C1250:C1253"/>
    <mergeCell ref="D1256:E1256"/>
    <mergeCell ref="D1257:E1257"/>
    <mergeCell ref="B1260:H1260"/>
    <mergeCell ref="B1261:G1261"/>
    <mergeCell ref="C1263:C1265"/>
    <mergeCell ref="D1263:G1263"/>
    <mergeCell ref="D1264:G1264"/>
    <mergeCell ref="D1265:G1265"/>
    <mergeCell ref="E1230:F1231"/>
    <mergeCell ref="G1230:G1231"/>
    <mergeCell ref="B1237:C1237"/>
    <mergeCell ref="E1237:F1237"/>
    <mergeCell ref="B1238:C1238"/>
    <mergeCell ref="H1238:H1247"/>
    <mergeCell ref="B1239:C1239"/>
    <mergeCell ref="B1240:C1240"/>
    <mergeCell ref="B1241:C1241"/>
    <mergeCell ref="B1242:C1242"/>
    <mergeCell ref="B1243:C1243"/>
    <mergeCell ref="B1244:C1244"/>
    <mergeCell ref="B1245:C1245"/>
    <mergeCell ref="B1246:C1246"/>
    <mergeCell ref="B1247:C1247"/>
    <mergeCell ref="C1287:C1290"/>
    <mergeCell ref="D1293:E1293"/>
    <mergeCell ref="D1294:E1294"/>
    <mergeCell ref="B1297:H1297"/>
    <mergeCell ref="B1298:G1298"/>
    <mergeCell ref="C1300:C1302"/>
    <mergeCell ref="D1300:G1300"/>
    <mergeCell ref="D1301:G1301"/>
    <mergeCell ref="D1302:G1302"/>
    <mergeCell ref="E1267:F1268"/>
    <mergeCell ref="G1267:G1268"/>
    <mergeCell ref="B1274:C1274"/>
    <mergeCell ref="E1274:F1274"/>
    <mergeCell ref="B1275:C1275"/>
    <mergeCell ref="H1275:H1284"/>
    <mergeCell ref="B1276:C1276"/>
    <mergeCell ref="B1277:C1277"/>
    <mergeCell ref="B1278:C1278"/>
    <mergeCell ref="B1279:C1279"/>
    <mergeCell ref="B1280:C1280"/>
    <mergeCell ref="B1281:C1281"/>
    <mergeCell ref="B1282:C1282"/>
    <mergeCell ref="B1283:C1283"/>
    <mergeCell ref="B1284:C1284"/>
    <mergeCell ref="C1324:C1327"/>
    <mergeCell ref="D1330:E1330"/>
    <mergeCell ref="D1331:E1331"/>
    <mergeCell ref="B1334:H1334"/>
    <mergeCell ref="B1335:G1335"/>
    <mergeCell ref="C1337:C1339"/>
    <mergeCell ref="D1337:G1337"/>
    <mergeCell ref="D1338:G1338"/>
    <mergeCell ref="D1339:G1339"/>
    <mergeCell ref="E1304:F1305"/>
    <mergeCell ref="G1304:G1305"/>
    <mergeCell ref="B1311:C1311"/>
    <mergeCell ref="E1311:F1311"/>
    <mergeCell ref="B1312:C1312"/>
    <mergeCell ref="H1312:H1321"/>
    <mergeCell ref="B1313:C1313"/>
    <mergeCell ref="B1314:C1314"/>
    <mergeCell ref="B1315:C1315"/>
    <mergeCell ref="B1316:C1316"/>
    <mergeCell ref="B1317:C1317"/>
    <mergeCell ref="B1318:C1318"/>
    <mergeCell ref="B1319:C1319"/>
    <mergeCell ref="B1320:C1320"/>
    <mergeCell ref="B1321:C1321"/>
    <mergeCell ref="C1361:C1364"/>
    <mergeCell ref="D1367:E1367"/>
    <mergeCell ref="D1368:E1368"/>
    <mergeCell ref="B1371:H1371"/>
    <mergeCell ref="B1372:G1372"/>
    <mergeCell ref="C1374:C1376"/>
    <mergeCell ref="D1374:G1374"/>
    <mergeCell ref="D1375:G1375"/>
    <mergeCell ref="D1376:G1376"/>
    <mergeCell ref="E1341:F1342"/>
    <mergeCell ref="G1341:G1342"/>
    <mergeCell ref="B1348:C1348"/>
    <mergeCell ref="E1348:F1348"/>
    <mergeCell ref="B1349:C1349"/>
    <mergeCell ref="H1349:H1358"/>
    <mergeCell ref="B1350:C1350"/>
    <mergeCell ref="B1351:C1351"/>
    <mergeCell ref="B1352:C1352"/>
    <mergeCell ref="B1353:C1353"/>
    <mergeCell ref="B1354:C1354"/>
    <mergeCell ref="B1355:C1355"/>
    <mergeCell ref="B1356:C1356"/>
    <mergeCell ref="B1357:C1357"/>
    <mergeCell ref="B1358:C1358"/>
    <mergeCell ref="C1398:C1401"/>
    <mergeCell ref="D1404:E1404"/>
    <mergeCell ref="D1405:E1405"/>
    <mergeCell ref="B1408:H1408"/>
    <mergeCell ref="B1409:G1409"/>
    <mergeCell ref="C1411:C1413"/>
    <mergeCell ref="D1411:G1411"/>
    <mergeCell ref="D1412:G1412"/>
    <mergeCell ref="D1413:G1413"/>
    <mergeCell ref="E1378:F1379"/>
    <mergeCell ref="G1378:G1379"/>
    <mergeCell ref="B1385:C1385"/>
    <mergeCell ref="E1385:F1385"/>
    <mergeCell ref="B1386:C1386"/>
    <mergeCell ref="H1386:H1395"/>
    <mergeCell ref="B1387:C1387"/>
    <mergeCell ref="B1388:C1388"/>
    <mergeCell ref="B1389:C1389"/>
    <mergeCell ref="B1390:C1390"/>
    <mergeCell ref="B1391:C1391"/>
    <mergeCell ref="B1392:C1392"/>
    <mergeCell ref="B1393:C1393"/>
    <mergeCell ref="B1394:C1394"/>
    <mergeCell ref="B1395:C1395"/>
    <mergeCell ref="C1435:C1438"/>
    <mergeCell ref="D1441:E1441"/>
    <mergeCell ref="D1442:E1442"/>
    <mergeCell ref="B1445:H1445"/>
    <mergeCell ref="B1446:G1446"/>
    <mergeCell ref="C1448:C1450"/>
    <mergeCell ref="D1448:G1448"/>
    <mergeCell ref="D1449:G1449"/>
    <mergeCell ref="D1450:G1450"/>
    <mergeCell ref="E1415:F1416"/>
    <mergeCell ref="G1415:G1416"/>
    <mergeCell ref="B1422:C1422"/>
    <mergeCell ref="E1422:F1422"/>
    <mergeCell ref="B1423:C1423"/>
    <mergeCell ref="H1423:H1432"/>
    <mergeCell ref="B1424:C1424"/>
    <mergeCell ref="B1425:C1425"/>
    <mergeCell ref="B1426:C1426"/>
    <mergeCell ref="B1427:C1427"/>
    <mergeCell ref="B1428:C1428"/>
    <mergeCell ref="B1429:C1429"/>
    <mergeCell ref="B1430:C1430"/>
    <mergeCell ref="B1431:C1431"/>
    <mergeCell ref="B1432:C1432"/>
    <mergeCell ref="C1472:C1475"/>
    <mergeCell ref="D1478:E1478"/>
    <mergeCell ref="D1479:E1479"/>
    <mergeCell ref="B1482:H1482"/>
    <mergeCell ref="B1483:G1483"/>
    <mergeCell ref="C1485:C1487"/>
    <mergeCell ref="D1485:G1485"/>
    <mergeCell ref="D1486:G1486"/>
    <mergeCell ref="D1487:G1487"/>
    <mergeCell ref="E1452:F1453"/>
    <mergeCell ref="G1452:G1453"/>
    <mergeCell ref="B1459:C1459"/>
    <mergeCell ref="E1459:F1459"/>
    <mergeCell ref="B1460:C1460"/>
    <mergeCell ref="H1460:H1469"/>
    <mergeCell ref="B1461:C1461"/>
    <mergeCell ref="B1462:C1462"/>
    <mergeCell ref="B1463:C1463"/>
    <mergeCell ref="B1464:C1464"/>
    <mergeCell ref="B1465:C1465"/>
    <mergeCell ref="B1466:C1466"/>
    <mergeCell ref="B1467:C1467"/>
    <mergeCell ref="B1468:C1468"/>
    <mergeCell ref="B1469:C1469"/>
    <mergeCell ref="C1509:C1512"/>
    <mergeCell ref="D1515:E1515"/>
    <mergeCell ref="D1516:E1516"/>
    <mergeCell ref="B1519:H1519"/>
    <mergeCell ref="B1520:G1520"/>
    <mergeCell ref="C1522:C1524"/>
    <mergeCell ref="D1522:G1522"/>
    <mergeCell ref="D1523:G1523"/>
    <mergeCell ref="D1524:G1524"/>
    <mergeCell ref="E1489:F1490"/>
    <mergeCell ref="G1489:G1490"/>
    <mergeCell ref="B1496:C1496"/>
    <mergeCell ref="E1496:F1496"/>
    <mergeCell ref="B1497:C1497"/>
    <mergeCell ref="H1497:H1506"/>
    <mergeCell ref="B1498:C1498"/>
    <mergeCell ref="B1499:C1499"/>
    <mergeCell ref="B1500:C1500"/>
    <mergeCell ref="B1501:C1501"/>
    <mergeCell ref="B1502:C1502"/>
    <mergeCell ref="B1503:C1503"/>
    <mergeCell ref="B1504:C1504"/>
    <mergeCell ref="B1505:C1505"/>
    <mergeCell ref="B1506:C1506"/>
    <mergeCell ref="C1546:C1549"/>
    <mergeCell ref="D1552:E1552"/>
    <mergeCell ref="D1553:E1553"/>
    <mergeCell ref="B1556:H1556"/>
    <mergeCell ref="B1557:G1557"/>
    <mergeCell ref="C1559:C1561"/>
    <mergeCell ref="D1559:G1559"/>
    <mergeCell ref="D1560:G1560"/>
    <mergeCell ref="D1561:G1561"/>
    <mergeCell ref="E1526:F1527"/>
    <mergeCell ref="G1526:G1527"/>
    <mergeCell ref="B1533:C1533"/>
    <mergeCell ref="E1533:F1533"/>
    <mergeCell ref="B1534:C1534"/>
    <mergeCell ref="H1534:H1543"/>
    <mergeCell ref="B1535:C1535"/>
    <mergeCell ref="B1536:C1536"/>
    <mergeCell ref="B1537:C1537"/>
    <mergeCell ref="B1538:C1538"/>
    <mergeCell ref="B1539:C1539"/>
    <mergeCell ref="B1540:C1540"/>
    <mergeCell ref="B1541:C1541"/>
    <mergeCell ref="B1542:C1542"/>
    <mergeCell ref="B1543:C1543"/>
    <mergeCell ref="C1583:C1586"/>
    <mergeCell ref="D1589:E1589"/>
    <mergeCell ref="D1590:E1590"/>
    <mergeCell ref="B1593:H1593"/>
    <mergeCell ref="B1594:G1594"/>
    <mergeCell ref="C1596:C1598"/>
    <mergeCell ref="D1596:G1596"/>
    <mergeCell ref="D1597:G1597"/>
    <mergeCell ref="D1598:G1598"/>
    <mergeCell ref="E1563:F1564"/>
    <mergeCell ref="G1563:G1564"/>
    <mergeCell ref="B1570:C1570"/>
    <mergeCell ref="E1570:F1570"/>
    <mergeCell ref="B1571:C1571"/>
    <mergeCell ref="H1571:H1580"/>
    <mergeCell ref="B1572:C1572"/>
    <mergeCell ref="B1573:C1573"/>
    <mergeCell ref="B1574:C1574"/>
    <mergeCell ref="B1575:C1575"/>
    <mergeCell ref="B1576:C1576"/>
    <mergeCell ref="B1577:C1577"/>
    <mergeCell ref="B1578:C1578"/>
    <mergeCell ref="B1579:C1579"/>
    <mergeCell ref="B1580:C1580"/>
    <mergeCell ref="C1620:C1623"/>
    <mergeCell ref="D1626:E1626"/>
    <mergeCell ref="D1627:E1627"/>
    <mergeCell ref="B1630:H1630"/>
    <mergeCell ref="B1631:G1631"/>
    <mergeCell ref="C1633:C1635"/>
    <mergeCell ref="D1633:G1633"/>
    <mergeCell ref="D1634:G1634"/>
    <mergeCell ref="D1635:G1635"/>
    <mergeCell ref="E1600:F1601"/>
    <mergeCell ref="G1600:G1601"/>
    <mergeCell ref="B1607:C1607"/>
    <mergeCell ref="E1607:F1607"/>
    <mergeCell ref="B1608:C1608"/>
    <mergeCell ref="H1608:H1617"/>
    <mergeCell ref="B1609:C1609"/>
    <mergeCell ref="B1610:C1610"/>
    <mergeCell ref="B1611:C1611"/>
    <mergeCell ref="B1612:C1612"/>
    <mergeCell ref="B1613:C1613"/>
    <mergeCell ref="B1614:C1614"/>
    <mergeCell ref="B1615:C1615"/>
    <mergeCell ref="B1616:C1616"/>
    <mergeCell ref="B1617:C1617"/>
    <mergeCell ref="C1657:C1660"/>
    <mergeCell ref="D1663:E1663"/>
    <mergeCell ref="D1664:E1664"/>
    <mergeCell ref="B1667:H1667"/>
    <mergeCell ref="B1668:G1668"/>
    <mergeCell ref="C1670:C1672"/>
    <mergeCell ref="D1670:G1670"/>
    <mergeCell ref="D1671:G1671"/>
    <mergeCell ref="D1672:G1672"/>
    <mergeCell ref="E1637:F1638"/>
    <mergeCell ref="G1637:G1638"/>
    <mergeCell ref="B1644:C1644"/>
    <mergeCell ref="E1644:F1644"/>
    <mergeCell ref="B1645:C1645"/>
    <mergeCell ref="H1645:H1654"/>
    <mergeCell ref="B1646:C1646"/>
    <mergeCell ref="B1647:C1647"/>
    <mergeCell ref="B1648:C1648"/>
    <mergeCell ref="B1649:C1649"/>
    <mergeCell ref="B1650:C1650"/>
    <mergeCell ref="B1651:C1651"/>
    <mergeCell ref="B1652:C1652"/>
    <mergeCell ref="B1653:C1653"/>
    <mergeCell ref="B1654:C1654"/>
    <mergeCell ref="C1694:C1697"/>
    <mergeCell ref="D1700:E1700"/>
    <mergeCell ref="D1701:E1701"/>
    <mergeCell ref="B1704:H1704"/>
    <mergeCell ref="B1705:G1705"/>
    <mergeCell ref="C1707:C1709"/>
    <mergeCell ref="D1707:G1707"/>
    <mergeCell ref="D1708:G1708"/>
    <mergeCell ref="D1709:G1709"/>
    <mergeCell ref="E1674:F1675"/>
    <mergeCell ref="G1674:G1675"/>
    <mergeCell ref="B1681:C1681"/>
    <mergeCell ref="E1681:F1681"/>
    <mergeCell ref="B1682:C1682"/>
    <mergeCell ref="H1682:H1691"/>
    <mergeCell ref="B1683:C1683"/>
    <mergeCell ref="B1684:C1684"/>
    <mergeCell ref="B1685:C1685"/>
    <mergeCell ref="B1686:C1686"/>
    <mergeCell ref="B1687:C1687"/>
    <mergeCell ref="B1688:C1688"/>
    <mergeCell ref="B1689:C1689"/>
    <mergeCell ref="B1690:C1690"/>
    <mergeCell ref="B1691:C1691"/>
    <mergeCell ref="C1731:C1734"/>
    <mergeCell ref="D1737:E1737"/>
    <mergeCell ref="D1738:E1738"/>
    <mergeCell ref="B1741:H1741"/>
    <mergeCell ref="B1742:G1742"/>
    <mergeCell ref="C1744:C1746"/>
    <mergeCell ref="D1744:G1744"/>
    <mergeCell ref="D1745:G1745"/>
    <mergeCell ref="D1746:G1746"/>
    <mergeCell ref="E1711:F1712"/>
    <mergeCell ref="G1711:G1712"/>
    <mergeCell ref="B1718:C1718"/>
    <mergeCell ref="E1718:F1718"/>
    <mergeCell ref="B1719:C1719"/>
    <mergeCell ref="H1719:H1728"/>
    <mergeCell ref="B1720:C1720"/>
    <mergeCell ref="B1721:C1721"/>
    <mergeCell ref="B1722:C1722"/>
    <mergeCell ref="B1723:C1723"/>
    <mergeCell ref="B1724:C1724"/>
    <mergeCell ref="B1725:C1725"/>
    <mergeCell ref="B1726:C1726"/>
    <mergeCell ref="B1727:C1727"/>
    <mergeCell ref="B1728:C1728"/>
    <mergeCell ref="C1768:C1771"/>
    <mergeCell ref="D1774:E1774"/>
    <mergeCell ref="D1775:E1775"/>
    <mergeCell ref="B1778:H1778"/>
    <mergeCell ref="B1779:G1779"/>
    <mergeCell ref="C1781:C1783"/>
    <mergeCell ref="D1781:G1781"/>
    <mergeCell ref="D1782:G1782"/>
    <mergeCell ref="D1783:G1783"/>
    <mergeCell ref="E1748:F1749"/>
    <mergeCell ref="G1748:G1749"/>
    <mergeCell ref="B1755:C1755"/>
    <mergeCell ref="E1755:F1755"/>
    <mergeCell ref="B1756:C1756"/>
    <mergeCell ref="H1756:H1765"/>
    <mergeCell ref="B1757:C1757"/>
    <mergeCell ref="B1758:C1758"/>
    <mergeCell ref="B1759:C1759"/>
    <mergeCell ref="B1760:C1760"/>
    <mergeCell ref="B1761:C1761"/>
    <mergeCell ref="B1762:C1762"/>
    <mergeCell ref="B1763:C1763"/>
    <mergeCell ref="B1764:C1764"/>
    <mergeCell ref="B1765:C1765"/>
    <mergeCell ref="C1805:C1808"/>
    <mergeCell ref="D1811:E1811"/>
    <mergeCell ref="D1812:E1812"/>
    <mergeCell ref="B1815:H1815"/>
    <mergeCell ref="B1816:G1816"/>
    <mergeCell ref="C1818:C1820"/>
    <mergeCell ref="D1818:G1818"/>
    <mergeCell ref="D1819:G1819"/>
    <mergeCell ref="D1820:G1820"/>
    <mergeCell ref="E1785:F1786"/>
    <mergeCell ref="G1785:G1786"/>
    <mergeCell ref="B1792:C1792"/>
    <mergeCell ref="E1792:F1792"/>
    <mergeCell ref="B1793:C1793"/>
    <mergeCell ref="H1793:H1802"/>
    <mergeCell ref="B1794:C1794"/>
    <mergeCell ref="B1795:C1795"/>
    <mergeCell ref="B1796:C1796"/>
    <mergeCell ref="B1797:C1797"/>
    <mergeCell ref="B1798:C1798"/>
    <mergeCell ref="B1799:C1799"/>
    <mergeCell ref="B1800:C1800"/>
    <mergeCell ref="B1801:C1801"/>
    <mergeCell ref="B1802:C1802"/>
    <mergeCell ref="C1842:C1845"/>
    <mergeCell ref="D1848:E1848"/>
    <mergeCell ref="D1849:E1849"/>
    <mergeCell ref="E1822:F1823"/>
    <mergeCell ref="G1822:G1823"/>
    <mergeCell ref="B1829:C1829"/>
    <mergeCell ref="E1829:F1829"/>
    <mergeCell ref="B1830:C1830"/>
    <mergeCell ref="H1830:H1839"/>
    <mergeCell ref="B1831:C1831"/>
    <mergeCell ref="B1832:C1832"/>
    <mergeCell ref="B1833:C1833"/>
    <mergeCell ref="B1834:C1834"/>
    <mergeCell ref="B1835:C1835"/>
    <mergeCell ref="B1836:C1836"/>
    <mergeCell ref="B1837:C1837"/>
    <mergeCell ref="B1838:C1838"/>
    <mergeCell ref="B1839:C1839"/>
  </mergeCells>
  <dataValidations count="2">
    <dataValidation type="list" allowBlank="1" showInputMessage="1" showErrorMessage="1" sqref="D14 D1827 D1790 D1753 D1716 D1679 D1642 D1605 D1568 D1531 D1494 D1457 D1420 D1383 D1346 D1309 D1272 D1235 D1198 D1161 D1124 D1087 D1050 D1013 D976 D939 D902 D865 D828 D791 D754 D717 D680 D643 D606 D569 D532 D495 D458 D421 D384 D347 D310 D273 D236 D199 D162 D125 D88 D51 D1864 D2049 D2012 D1975 D1938 D1901">
      <formula1>д1</formula1>
    </dataValidation>
    <dataValidation type="list" allowBlank="1" showInputMessage="1" showErrorMessage="1" sqref="L893 L1781 L1744 L1707 L1670 L1633 L1596 L1559 L1522 L1485 L1448 L1411 L1374 L1337 L1300 L1263 L1226 L1189 L1152 L1115 L1078 L1041 L1004 L967 L1818 L930 L856 L819 L782 L745 L708 L671 L634 L597 L560 L523 L486 L449 L412 L375 L338 L301 L264 L227 L190 L153 L116 L79 L42 L5 L2040 L2003 L1966 L1929 L1892 L1855">
      <formula1>"Вишнево-Полянское,Восходское,Мамыковское,Тимерликовское,Тумбинское,Чулпановское"</formula1>
    </dataValidation>
  </dataValidations>
  <pageMargins left="0" right="0.70866141732283472" top="0" bottom="0" header="0.31496062992125984" footer="0.31496062992125984"/>
  <pageSetup paperSize="9" scale="35" orientation="landscape" r:id="rId1"/>
  <rowBreaks count="49" manualBreakCount="49">
    <brk id="38" min="1" max="26" man="1"/>
    <brk id="75" min="1" max="26" man="1"/>
    <brk id="112" min="1" max="26" man="1"/>
    <brk id="149" min="1" max="26" man="1"/>
    <brk id="186" min="1" max="26" man="1"/>
    <brk id="223" min="1" max="26" man="1"/>
    <brk id="260" min="1" max="26" man="1"/>
    <brk id="297" min="1" max="26" man="1"/>
    <brk id="334" min="1" max="26" man="1"/>
    <brk id="371" min="1" max="26" man="1"/>
    <brk id="408" min="1" max="26" man="1"/>
    <brk id="445" min="1" max="26" man="1"/>
    <brk id="482" min="1" max="26" man="1"/>
    <brk id="519" min="1" max="26" man="1"/>
    <brk id="556" min="1" max="26" man="1"/>
    <brk id="593" min="1" max="26" man="1"/>
    <brk id="630" min="1" max="26" man="1"/>
    <brk id="667" min="1" max="26" man="1"/>
    <brk id="704" min="1" max="26" man="1"/>
    <brk id="741" min="1" max="26" man="1"/>
    <brk id="778" min="1" max="26" man="1"/>
    <brk id="815" min="1" max="26" man="1"/>
    <brk id="852" min="1" max="26" man="1"/>
    <brk id="889" min="1" max="26" man="1"/>
    <brk id="926" min="1" max="26" man="1"/>
    <brk id="963" min="1" max="26" man="1"/>
    <brk id="1000" min="1" max="26" man="1"/>
    <brk id="1037" min="1" max="26" man="1"/>
    <brk id="1074" min="1" max="26" man="1"/>
    <brk id="1111" min="1" max="26" man="1"/>
    <brk id="1148" min="1" max="26" man="1"/>
    <brk id="1185" min="1" max="26" man="1"/>
    <brk id="1222" min="1" max="26" man="1"/>
    <brk id="1259" min="1" max="26" man="1"/>
    <brk id="1296" min="1" max="26" man="1"/>
    <brk id="1333" min="1" max="26" man="1"/>
    <brk id="1370" min="1" max="26" man="1"/>
    <brk id="1407" min="1" max="26" man="1"/>
    <brk id="1444" min="1" max="26" man="1"/>
    <brk id="1481" min="1" max="26" man="1"/>
    <brk id="1518" min="1" max="26" man="1"/>
    <brk id="1555" min="1" max="26" man="1"/>
    <brk id="1592" min="1" max="26" man="1"/>
    <brk id="1629" min="1" max="26" man="1"/>
    <brk id="1666" min="1" max="26" man="1"/>
    <brk id="1703" min="1" max="26" man="1"/>
    <brk id="1740" min="1" max="26" man="1"/>
    <brk id="1777" min="1" max="26" man="1"/>
    <brk id="1814" min="1" max="26" man="1"/>
  </rowBreaks>
  <colBreaks count="1" manualBreakCount="1">
    <brk id="7" max="577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16"/>
  <sheetViews>
    <sheetView topLeftCell="D7" zoomScale="130" zoomScaleNormal="130" workbookViewId="0">
      <pane ySplit="3" topLeftCell="A13" activePane="bottomLeft" state="frozen"/>
      <selection activeCell="G195" sqref="G195:O199"/>
      <selection pane="bottomLeft" activeCell="T24" sqref="T24"/>
    </sheetView>
  </sheetViews>
  <sheetFormatPr defaultRowHeight="15.95" customHeight="1" outlineLevelCol="1" x14ac:dyDescent="0.2"/>
  <cols>
    <col min="1" max="1" width="3.140625" style="38" customWidth="1"/>
    <col min="2" max="2" width="9.28515625" style="4" customWidth="1"/>
    <col min="3" max="3" width="18.85546875" style="1" customWidth="1"/>
    <col min="4" max="4" width="8.7109375" style="4" customWidth="1"/>
    <col min="5" max="6" width="7.85546875" style="4" customWidth="1"/>
    <col min="7" max="7" width="8.5703125" style="1" customWidth="1"/>
    <col min="8" max="8" width="17.42578125" style="4" customWidth="1"/>
    <col min="9" max="9" width="7.5703125" style="1" customWidth="1"/>
    <col min="10" max="10" width="12.42578125" style="165" customWidth="1"/>
    <col min="11" max="11" width="10.85546875" style="101" customWidth="1"/>
    <col min="12" max="12" width="9.5703125" style="101" customWidth="1"/>
    <col min="13" max="13" width="9.140625" style="101" customWidth="1"/>
    <col min="14" max="14" width="12" style="100" customWidth="1"/>
    <col min="15" max="15" width="10.28515625" style="101" customWidth="1"/>
    <col min="16" max="16" width="13.140625" style="101" customWidth="1"/>
    <col min="17" max="17" width="15" style="101" customWidth="1"/>
    <col min="18" max="18" width="14" style="45" hidden="1" customWidth="1" outlineLevel="1"/>
    <col min="19" max="19" width="17.28515625" style="101" customWidth="1" collapsed="1"/>
    <col min="20" max="20" width="17.28515625" style="101" customWidth="1"/>
    <col min="21" max="21" width="17.28515625" style="173" customWidth="1"/>
    <col min="22" max="22" width="15.28515625" style="45" hidden="1" customWidth="1" outlineLevel="1"/>
    <col min="23" max="23" width="6.28515625" style="45" hidden="1" customWidth="1" outlineLevel="1"/>
    <col min="24" max="24" width="23.7109375" style="45" hidden="1" customWidth="1" outlineLevel="1"/>
    <col min="25" max="25" width="9.140625" style="45" hidden="1" customWidth="1" outlineLevel="1"/>
    <col min="26" max="26" width="15" style="45" hidden="1" customWidth="1" outlineLevel="1"/>
    <col min="27" max="27" width="15.5703125" style="45" hidden="1" customWidth="1" outlineLevel="1"/>
    <col min="28" max="28" width="7.7109375" style="45" hidden="1" customWidth="1" outlineLevel="1"/>
    <col min="29" max="29" width="25.140625" style="174" hidden="1" customWidth="1" outlineLevel="1"/>
    <col min="30" max="30" width="10.85546875" style="102" hidden="1" customWidth="1" outlineLevel="1"/>
    <col min="31" max="31" width="37.85546875" style="45" hidden="1" customWidth="1" outlineLevel="1"/>
    <col min="32" max="32" width="0" style="45" hidden="1" customWidth="1" outlineLevel="1" collapsed="1"/>
    <col min="33" max="33" width="11.140625" style="104" hidden="1" customWidth="1" outlineLevel="1"/>
    <col min="34" max="34" width="11" style="104" hidden="1" customWidth="1" outlineLevel="1"/>
    <col min="35" max="35" width="0" style="104" hidden="1" customWidth="1" outlineLevel="1"/>
    <col min="36" max="36" width="9.140625" style="45" collapsed="1"/>
    <col min="37" max="37" width="29.42578125" style="45" hidden="1" customWidth="1" outlineLevel="1"/>
    <col min="38" max="38" width="9.140625" style="45" hidden="1" customWidth="1" outlineLevel="1"/>
    <col min="39" max="39" width="9.140625" style="45" collapsed="1"/>
    <col min="40" max="16384" width="9.140625" style="45"/>
  </cols>
  <sheetData>
    <row r="1" spans="1:38" ht="15.95" customHeight="1" x14ac:dyDescent="0.2">
      <c r="B1" s="1"/>
      <c r="D1" s="1"/>
      <c r="E1" s="1"/>
      <c r="F1" s="1"/>
      <c r="H1" s="1"/>
      <c r="K1" s="1"/>
      <c r="L1" s="1"/>
      <c r="M1" s="1"/>
      <c r="N1" s="2"/>
      <c r="O1" s="1"/>
      <c r="P1" s="1"/>
      <c r="Q1" s="1"/>
      <c r="S1" s="1"/>
      <c r="T1" s="1"/>
      <c r="U1" s="1"/>
      <c r="V1" s="1"/>
      <c r="W1" s="1"/>
      <c r="X1" s="1"/>
      <c r="Y1" s="1"/>
      <c r="Z1" s="1"/>
      <c r="AA1" s="1"/>
      <c r="AB1" s="1"/>
      <c r="AC1" s="165"/>
      <c r="AD1" s="1"/>
    </row>
    <row r="2" spans="1:38" ht="15.95" customHeight="1" x14ac:dyDescent="0.2">
      <c r="B2" s="1"/>
      <c r="D2" s="1"/>
      <c r="F2" s="1"/>
      <c r="I2" s="1" t="s">
        <v>100</v>
      </c>
      <c r="S2" s="168"/>
      <c r="T2" s="168"/>
      <c r="U2" s="171"/>
    </row>
    <row r="3" spans="1:38" ht="15.95" customHeight="1" x14ac:dyDescent="0.2">
      <c r="B3" s="1"/>
      <c r="D3" s="1"/>
      <c r="F3" s="1"/>
      <c r="I3" s="1" t="s">
        <v>101</v>
      </c>
      <c r="S3" s="168"/>
      <c r="T3" s="168"/>
      <c r="U3" s="171"/>
    </row>
    <row r="4" spans="1:38" ht="15.95" customHeight="1" x14ac:dyDescent="0.2">
      <c r="B4" s="1"/>
      <c r="D4" s="1"/>
      <c r="F4" s="1"/>
      <c r="I4" s="1" t="s">
        <v>432</v>
      </c>
      <c r="S4" s="168"/>
      <c r="T4" s="168"/>
      <c r="U4" s="171"/>
    </row>
    <row r="5" spans="1:38" ht="15.95" customHeight="1" x14ac:dyDescent="0.2">
      <c r="B5" s="1"/>
      <c r="D5" s="1"/>
      <c r="F5" s="1"/>
      <c r="I5" s="1" t="s">
        <v>102</v>
      </c>
      <c r="S5" s="168"/>
      <c r="T5" s="168"/>
      <c r="U5" s="171"/>
    </row>
    <row r="6" spans="1:38" ht="15.95" customHeight="1" x14ac:dyDescent="0.2">
      <c r="B6" s="1"/>
      <c r="D6" s="1"/>
      <c r="E6" s="1"/>
      <c r="F6" s="1"/>
      <c r="H6" s="1"/>
      <c r="S6" s="168"/>
      <c r="T6" s="168"/>
      <c r="U6" s="171"/>
    </row>
    <row r="7" spans="1:38" ht="15.95" customHeight="1" x14ac:dyDescent="0.2">
      <c r="B7" s="4">
        <v>1</v>
      </c>
      <c r="C7" s="1">
        <v>2</v>
      </c>
      <c r="D7" s="4">
        <v>3</v>
      </c>
      <c r="E7" s="1">
        <v>4</v>
      </c>
      <c r="F7" s="4">
        <v>5</v>
      </c>
      <c r="G7" s="1">
        <v>6</v>
      </c>
      <c r="H7" s="4">
        <v>7</v>
      </c>
      <c r="I7" s="1">
        <v>8</v>
      </c>
      <c r="J7" s="4">
        <v>9</v>
      </c>
      <c r="K7" s="1">
        <v>10</v>
      </c>
      <c r="L7" s="4">
        <v>11</v>
      </c>
      <c r="M7" s="1">
        <v>12</v>
      </c>
      <c r="N7" s="4">
        <v>13</v>
      </c>
      <c r="O7" s="1">
        <v>14</v>
      </c>
      <c r="P7" s="4">
        <v>15</v>
      </c>
      <c r="Q7" s="1">
        <v>16</v>
      </c>
      <c r="R7" s="4">
        <v>17</v>
      </c>
      <c r="S7" s="1">
        <v>18</v>
      </c>
      <c r="T7" s="4">
        <v>19</v>
      </c>
      <c r="U7" s="1">
        <v>20</v>
      </c>
      <c r="V7" s="4">
        <v>21</v>
      </c>
      <c r="W7" s="1">
        <v>22</v>
      </c>
      <c r="X7" s="4">
        <v>23</v>
      </c>
      <c r="Y7" s="1">
        <v>24</v>
      </c>
      <c r="Z7" s="4">
        <v>25</v>
      </c>
      <c r="AA7" s="1">
        <v>26</v>
      </c>
      <c r="AB7" s="4">
        <v>27</v>
      </c>
      <c r="AC7" s="1">
        <v>28</v>
      </c>
      <c r="AD7" s="4">
        <v>29</v>
      </c>
    </row>
    <row r="8" spans="1:38" s="118" customFormat="1" ht="15.95" customHeight="1" x14ac:dyDescent="0.2">
      <c r="A8" s="159"/>
      <c r="B8" s="345" t="s">
        <v>0</v>
      </c>
      <c r="C8" s="346" t="s">
        <v>1</v>
      </c>
      <c r="D8" s="345" t="s">
        <v>2</v>
      </c>
      <c r="E8" s="345" t="s">
        <v>3</v>
      </c>
      <c r="F8" s="345" t="s">
        <v>4</v>
      </c>
      <c r="G8" s="346" t="s">
        <v>5</v>
      </c>
      <c r="H8" s="345" t="s">
        <v>6</v>
      </c>
      <c r="I8" s="346" t="s">
        <v>7</v>
      </c>
      <c r="J8" s="348" t="s">
        <v>8</v>
      </c>
      <c r="K8" s="347" t="s">
        <v>9</v>
      </c>
      <c r="L8" s="347"/>
      <c r="M8" s="347"/>
      <c r="N8" s="347"/>
      <c r="O8" s="347" t="s">
        <v>10</v>
      </c>
      <c r="P8" s="347" t="s">
        <v>16</v>
      </c>
      <c r="Q8" s="347" t="s">
        <v>11</v>
      </c>
      <c r="R8" s="349" t="s">
        <v>2042</v>
      </c>
      <c r="S8" s="347" t="s">
        <v>431</v>
      </c>
      <c r="T8" s="344" t="s">
        <v>20</v>
      </c>
      <c r="U8" s="344" t="s">
        <v>2036</v>
      </c>
      <c r="V8" s="352"/>
      <c r="W8" s="349" t="s">
        <v>2043</v>
      </c>
      <c r="X8" s="349" t="s">
        <v>522</v>
      </c>
      <c r="Y8" s="350" t="s">
        <v>500</v>
      </c>
      <c r="Z8" s="349" t="s">
        <v>2044</v>
      </c>
      <c r="AA8" s="349"/>
      <c r="AB8" s="349"/>
      <c r="AC8" s="47"/>
      <c r="AD8" s="31" t="s">
        <v>450</v>
      </c>
      <c r="AE8" s="105"/>
      <c r="AF8" s="105"/>
      <c r="AG8" s="176"/>
      <c r="AH8" s="176"/>
      <c r="AI8" s="176"/>
    </row>
    <row r="9" spans="1:38" s="118" customFormat="1" ht="54.75" customHeight="1" x14ac:dyDescent="0.2">
      <c r="A9" s="159"/>
      <c r="B9" s="345"/>
      <c r="C9" s="346"/>
      <c r="D9" s="345"/>
      <c r="E9" s="345"/>
      <c r="F9" s="345"/>
      <c r="G9" s="346"/>
      <c r="H9" s="345"/>
      <c r="I9" s="346"/>
      <c r="J9" s="348"/>
      <c r="K9" s="177" t="s">
        <v>12</v>
      </c>
      <c r="L9" s="177" t="s">
        <v>13</v>
      </c>
      <c r="M9" s="177" t="s">
        <v>14</v>
      </c>
      <c r="N9" s="177" t="s">
        <v>15</v>
      </c>
      <c r="O9" s="347"/>
      <c r="P9" s="347"/>
      <c r="Q9" s="347"/>
      <c r="R9" s="349"/>
      <c r="S9" s="347"/>
      <c r="T9" s="344"/>
      <c r="U9" s="344"/>
      <c r="V9" s="352"/>
      <c r="W9" s="349"/>
      <c r="X9" s="349"/>
      <c r="Y9" s="351"/>
      <c r="Z9" s="349"/>
      <c r="AA9" s="349"/>
      <c r="AB9" s="349"/>
      <c r="AC9" s="47"/>
      <c r="AD9" s="31"/>
      <c r="AE9" s="105"/>
      <c r="AF9" s="105"/>
      <c r="AG9" s="176">
        <v>1.51</v>
      </c>
      <c r="AH9" s="176">
        <v>1.49</v>
      </c>
      <c r="AI9" s="176" t="s">
        <v>2040</v>
      </c>
    </row>
    <row r="10" spans="1:38" s="181" customFormat="1" ht="15.95" customHeight="1" x14ac:dyDescent="0.2">
      <c r="B10" s="179">
        <f>IF(E10="","",COUNTA($E$10:E10))</f>
        <v>1</v>
      </c>
      <c r="C10" s="157" t="s">
        <v>26</v>
      </c>
      <c r="D10" s="113">
        <v>8</v>
      </c>
      <c r="E10" s="113">
        <v>15</v>
      </c>
      <c r="F10" s="113">
        <v>1</v>
      </c>
      <c r="G10" s="157">
        <v>10</v>
      </c>
      <c r="H10" s="113" t="s">
        <v>2086</v>
      </c>
      <c r="I10" s="157" t="s">
        <v>23</v>
      </c>
      <c r="J10" s="182" t="s">
        <v>17</v>
      </c>
      <c r="K10" s="183">
        <v>75.7</v>
      </c>
      <c r="L10" s="183">
        <v>68.099999999999994</v>
      </c>
      <c r="M10" s="183">
        <v>1.8</v>
      </c>
      <c r="N10" s="114">
        <f t="shared" ref="N10:N38" si="0">SUM(K10:M10)</f>
        <v>145.60000000000002</v>
      </c>
      <c r="O10" s="183">
        <v>103.9</v>
      </c>
      <c r="P10" s="183"/>
      <c r="Q10" s="370">
        <f t="shared" ref="Q10:Q38" si="1">SUM(N10:P10)</f>
        <v>249.50000000000003</v>
      </c>
      <c r="R10" s="183">
        <v>283.8</v>
      </c>
      <c r="S10" s="121">
        <v>15715.88</v>
      </c>
      <c r="T10" s="121" t="str">
        <f>IF(AE10="",INDEX(Коэффициенты!$B$4:$S$59,MATCH('Ведомость расчета мин. платы'!AC10,Коэффициенты!$O$4:$O$59,0),9),"")</f>
        <v/>
      </c>
      <c r="U10" s="31" t="s">
        <v>2106</v>
      </c>
      <c r="V10" s="184"/>
      <c r="W10" s="179" t="str">
        <f>IF(B10="",#REF!,INDEX('Такс. опис.'!$A$5:$BW$50,MATCH(CONCATENATE($C10,"/",$D10,"/",$E10),'Такс. опис.'!$C$5:$C$50,0),48))</f>
        <v>мл</v>
      </c>
      <c r="X10" s="179" t="str">
        <f>IF(B10="",#REF!,INDEX('Такс. опис.'!$A$5:$BW$50,MATCH(CONCATENATE($C10,"/",$D10,"/",$E10),'Такс. опис.'!$C$5:$C$50,0),26))</f>
        <v>8ОС1Б1ЛП</v>
      </c>
      <c r="Y10" s="179">
        <f>IF(B10="",#REF!,INDEX('Такс. опис.'!$A$5:$BW$50,MATCH(CONCATENATE($C10,"/",$D10,"/",$E10),'Такс. опис.'!$C$5:$C$50,0),49))</f>
        <v>60</v>
      </c>
      <c r="Z10" s="179" t="str">
        <f>IF(C10="",#REF!,INDEX('Такс. опис.'!$A$5:$BW$50,MATCH(CONCATENATE($C10,"/",$D10,"/",$E10),'Такс. опис.'!$C$5:$C$50,0),47))</f>
        <v>Осина</v>
      </c>
      <c r="AA10" s="179" t="e">
        <f>IF(D10="","",INDEX('Такс. опис.'!$A$5:$BW$50,MATCH('Ведомость расчета мин. платы'!AC10,'Такс. опис.'!$C$5:$C$50,0),31))</f>
        <v>#N/A</v>
      </c>
      <c r="AB10" s="179"/>
      <c r="AC10" s="47" t="str">
        <f>IF(B10="","",CONCATENATE($C10,"/",$D10,"/",$E10,"/",F10))</f>
        <v>Вишнево-Полянское/8/15/1</v>
      </c>
      <c r="AD10" s="180">
        <f>INDEX(Периметр!$A$3:$Q$158,MATCH(AC10,Периметр!$A$3:$A$158,0),17)</f>
        <v>2.2200000000000002</v>
      </c>
      <c r="AE10" s="47" t="str">
        <f t="shared" ref="AE10:AE39" si="2">IF(J10="Итого","",CONCATENATE(AC10,"/",J10))</f>
        <v>Вишнево-Полянское/8/15/1/Береза</v>
      </c>
      <c r="AF10" s="115"/>
      <c r="AG10" s="185">
        <f>IFERROR(SUM(VLOOKUP(J10,РАСЧЕТ!$X$4:$AB$13,2,0)*K10,VLOOKUP(J10,РАСЧЕТ!$X$4:$AB$13,3,0)*L10,VLOOKUP(J10,РАСЧЕТ!$X$4:$AB$13,4,0)*M10,VLOOKUP(J10,РАСЧЕТ!$X$4:$AB$13,5,0)*O10),"")</f>
        <v>14967.011</v>
      </c>
      <c r="AH10" s="185">
        <f>IFERROR(SUM(VLOOKUP(J10,РАСЧЕТ!$AD$4:$AH$13,2,0)*K10,VLOOKUP(J10,РАСЧЕТ!$AD$4:$AH$13,3,0)*L10,VLOOKUP(J10,РАСЧЕТ!$AD$4:$AH$13,4,0)*M10,VLOOKUP(J10,РАСЧЕТ!$AD$4:$AH$13,5,0)*O10),"")</f>
        <v>14769.115</v>
      </c>
      <c r="AI10" s="176"/>
      <c r="AJ10" s="45"/>
      <c r="AK10" s="186" t="str">
        <f>CONCATENATE($C10,"/",$D10,"/",$E10)</f>
        <v>Вишнево-Полянское/8/15</v>
      </c>
      <c r="AL10" s="181">
        <v>1</v>
      </c>
    </row>
    <row r="11" spans="1:38" ht="15.95" customHeight="1" x14ac:dyDescent="0.2">
      <c r="B11" s="179" t="str">
        <f>IF(E11="","",COUNTA($E$10:E11))</f>
        <v/>
      </c>
      <c r="C11" s="157"/>
      <c r="D11" s="113" t="s">
        <v>166</v>
      </c>
      <c r="E11" s="113"/>
      <c r="F11" s="113" t="s">
        <v>166</v>
      </c>
      <c r="G11" s="157" t="s">
        <v>166</v>
      </c>
      <c r="H11" s="113"/>
      <c r="I11" s="157"/>
      <c r="J11" s="182" t="s">
        <v>19</v>
      </c>
      <c r="K11" s="183">
        <v>23.45</v>
      </c>
      <c r="L11" s="183">
        <v>74.849999999999994</v>
      </c>
      <c r="M11" s="183">
        <v>8.68</v>
      </c>
      <c r="N11" s="114">
        <f t="shared" si="0"/>
        <v>106.97999999999999</v>
      </c>
      <c r="O11" s="183">
        <v>147.19</v>
      </c>
      <c r="P11" s="183"/>
      <c r="Q11" s="370">
        <f t="shared" si="1"/>
        <v>254.17</v>
      </c>
      <c r="R11" s="183">
        <v>291.7</v>
      </c>
      <c r="S11" s="121">
        <v>6001.72</v>
      </c>
      <c r="T11" s="121" t="str">
        <f>IF(AE11="",INDEX(Коэффициенты!$B$4:$S$59,MATCH('Ведомость расчета мин. платы'!AC11,Коэффициенты!$O$4:$O$59,0),9),"")</f>
        <v/>
      </c>
      <c r="U11" s="31"/>
      <c r="V11" s="184"/>
      <c r="W11" s="179" t="str">
        <f>IF(B11="",W10,INDEX('Такс. опис.'!$A$5:$BW$50,MATCH(CONCATENATE($C11,"/",$D11,"/",$E11),'Такс. опис.'!$C$5:$C$50,0),48))</f>
        <v>мл</v>
      </c>
      <c r="X11" s="179" t="str">
        <f>IF(B11="",X10,INDEX('Такс. опис.'!$A$5:$BW$50,MATCH(CONCATENATE($C11,"/",$D11,"/",$E11),'Такс. опис.'!$C$5:$C$50,0),26))</f>
        <v>8ОС1Б1ЛП</v>
      </c>
      <c r="Y11" s="179">
        <f>IF(B11="",Y10,INDEX('Такс. опис.'!$A$5:$BW$50,MATCH(CONCATENATE($C11,"/",$D11,"/",$E11),'Такс. опис.'!$C$5:$C$50,0),49))</f>
        <v>60</v>
      </c>
      <c r="Z11" s="179" t="str">
        <f>IF(C11="",Z10,INDEX('Такс. опис.'!$A$5:$BW$50,MATCH(CONCATENATE($C11,"/",$D11,"/",$E11),'Такс. опис.'!$C$5:$C$50,0),47))</f>
        <v>Осина</v>
      </c>
      <c r="AA11" s="179" t="str">
        <f>IF(D11="","",INDEX('Такс. опис.'!$A$5:$BW$50,MATCH('Ведомость расчета мин. платы'!AC11,'Такс. опис.'!$C$5:$C$50,0),31))</f>
        <v/>
      </c>
      <c r="AB11" s="179"/>
      <c r="AC11" s="47" t="str">
        <f t="shared" ref="AC11:AC40" si="3">IF(B11="",AC10,CONCATENATE($C11,"/",$D11,"/",$E11,"/",F11))</f>
        <v>Вишнево-Полянское/8/15/1</v>
      </c>
      <c r="AD11" s="180">
        <f>INDEX(Периметр!$A$3:$Q$158,MATCH(AC11,Периметр!$A$3:$A$158,0),17)</f>
        <v>2.2200000000000002</v>
      </c>
      <c r="AE11" s="47" t="str">
        <f t="shared" si="2"/>
        <v>Вишнево-Полянское/8/15/1/Липа</v>
      </c>
      <c r="AF11" s="115"/>
      <c r="AG11" s="185">
        <f>IFERROR(SUM(VLOOKUP(J11,РАСЧЕТ!$X$4:$AB$13,2,0)*K11,VLOOKUP(J11,РАСЧЕТ!$X$4:$AB$13,3,0)*L11,VLOOKUP(J11,РАСЧЕТ!$X$4:$AB$13,4,0)*M11,VLOOKUP(J11,РАСЧЕТ!$X$4:$AB$13,5,0)*O11),"")</f>
        <v>5715.8657999999996</v>
      </c>
      <c r="AH11" s="185">
        <f>IFERROR(SUM(VLOOKUP(J11,РАСЧЕТ!$AD$4:$AH$13,2,0)*K11,VLOOKUP(J11,РАСЧЕТ!$AD$4:$AH$13,3,0)*L11,VLOOKUP(J11,РАСЧЕТ!$AD$4:$AH$13,4,0)*M11,VLOOKUP(J11,РАСЧЕТ!$AD$4:$AH$13,5,0)*O11),"")</f>
        <v>5639.4647999999997</v>
      </c>
      <c r="AI11" s="176"/>
      <c r="AK11" s="186" t="str">
        <f t="shared" ref="AK11:AK74" si="4">CONCATENATE($C11,"/",$D11,"/",$E11)</f>
        <v>//</v>
      </c>
    </row>
    <row r="12" spans="1:38" ht="15.95" customHeight="1" x14ac:dyDescent="0.2">
      <c r="B12" s="179" t="str">
        <f>IF(E12="","",COUNTA($E$10:E12))</f>
        <v/>
      </c>
      <c r="C12" s="157"/>
      <c r="D12" s="113" t="s">
        <v>166</v>
      </c>
      <c r="E12" s="113"/>
      <c r="F12" s="113" t="s">
        <v>166</v>
      </c>
      <c r="G12" s="157" t="s">
        <v>166</v>
      </c>
      <c r="H12" s="113"/>
      <c r="I12" s="157"/>
      <c r="J12" s="182" t="s">
        <v>18</v>
      </c>
      <c r="K12" s="183">
        <v>882.9</v>
      </c>
      <c r="L12" s="183">
        <v>372.8</v>
      </c>
      <c r="M12" s="183">
        <v>13.8</v>
      </c>
      <c r="N12" s="114">
        <f t="shared" si="0"/>
        <v>1269.5</v>
      </c>
      <c r="O12" s="183">
        <v>845.6</v>
      </c>
      <c r="P12" s="183"/>
      <c r="Q12" s="370">
        <f t="shared" si="1"/>
        <v>2115.1</v>
      </c>
      <c r="R12" s="183">
        <v>2454.6999999999998</v>
      </c>
      <c r="S12" s="121">
        <v>27251.19</v>
      </c>
      <c r="T12" s="121" t="str">
        <f>IF(AE12="",INDEX(Коэффициенты!$B$4:$S$59,MATCH('Ведомость расчета мин. платы'!AC12,Коэффициенты!$O$4:$O$59,0),9),"")</f>
        <v/>
      </c>
      <c r="U12" s="31"/>
      <c r="V12" s="184"/>
      <c r="W12" s="179" t="str">
        <f>IF(B12="",W11,INDEX('Такс. опис.'!$A$5:$BW$50,MATCH(CONCATENATE($C12,"/",$D12,"/",$E12),'Такс. опис.'!$C$5:$C$50,0),48))</f>
        <v>мл</v>
      </c>
      <c r="X12" s="179" t="str">
        <f>IF(B12="",X11,INDEX('Такс. опис.'!$A$5:$BW$50,MATCH(CONCATENATE($C12,"/",$D12,"/",$E12),'Такс. опис.'!$C$5:$C$50,0),26))</f>
        <v>8ОС1Б1ЛП</v>
      </c>
      <c r="Y12" s="179">
        <f>IF(B12="",Y11,INDEX('Такс. опис.'!$A$5:$BW$50,MATCH(CONCATENATE($C12,"/",$D12,"/",$E12),'Такс. опис.'!$C$5:$C$50,0),49))</f>
        <v>60</v>
      </c>
      <c r="Z12" s="179" t="str">
        <f>IF(C12="",Z11,INDEX('Такс. опис.'!$A$5:$BW$50,MATCH(CONCATENATE($C12,"/",$D12,"/",$E12),'Такс. опис.'!$C$5:$C$50,0),47))</f>
        <v>Осина</v>
      </c>
      <c r="AA12" s="179" t="str">
        <f>IF(D12="","",INDEX('Такс. опис.'!$A$5:$BW$50,MATCH('Ведомость расчета мин. платы'!AC12,'Такс. опис.'!$C$5:$C$50,0),31))</f>
        <v/>
      </c>
      <c r="AB12" s="179"/>
      <c r="AC12" s="47" t="str">
        <f t="shared" si="3"/>
        <v>Вишнево-Полянское/8/15/1</v>
      </c>
      <c r="AD12" s="180">
        <f>INDEX(Периметр!$A$3:$Q$158,MATCH(AC12,Периметр!$A$3:$A$158,0),17)</f>
        <v>2.2200000000000002</v>
      </c>
      <c r="AE12" s="47" t="str">
        <f t="shared" si="2"/>
        <v>Вишнево-Полянское/8/15/1/Осина</v>
      </c>
      <c r="AF12" s="115"/>
      <c r="AG12" s="185">
        <f>IFERROR(SUM(VLOOKUP(J12,РАСЧЕТ!$X$4:$AB$13,2,0)*K12,VLOOKUP(J12,РАСЧЕТ!$X$4:$AB$13,3,0)*L12,VLOOKUP(J12,РАСЧЕТ!$X$4:$AB$13,4,0)*M12,VLOOKUP(J12,РАСЧЕТ!$X$4:$AB$13,5,0)*O12),"")</f>
        <v>25948.227999999996</v>
      </c>
      <c r="AH12" s="185">
        <f>IFERROR(SUM(VLOOKUP(J12,РАСЧЕТ!$AD$4:$AH$13,2,0)*K12,VLOOKUP(J12,РАСЧЕТ!$AD$4:$AH$13,3,0)*L12,VLOOKUP(J12,РАСЧЕТ!$AD$4:$AH$13,4,0)*M12,VLOOKUP(J12,РАСЧЕТ!$AD$4:$AH$13,5,0)*O12),"")</f>
        <v>25617.344000000001</v>
      </c>
      <c r="AI12" s="176"/>
      <c r="AK12" s="186" t="str">
        <f t="shared" si="4"/>
        <v>//</v>
      </c>
    </row>
    <row r="13" spans="1:38" ht="15.95" customHeight="1" x14ac:dyDescent="0.2">
      <c r="B13" s="179" t="str">
        <f>IF(E13="","",COUNTA($E$10:E13))</f>
        <v/>
      </c>
      <c r="C13" s="157"/>
      <c r="D13" s="113"/>
      <c r="E13" s="113"/>
      <c r="F13" s="113"/>
      <c r="G13" s="157"/>
      <c r="H13" s="113"/>
      <c r="I13" s="157"/>
      <c r="J13" s="187" t="s">
        <v>15</v>
      </c>
      <c r="K13" s="114">
        <f>SUM(K10:K12)</f>
        <v>982.05</v>
      </c>
      <c r="L13" s="114">
        <f t="shared" ref="L13:S13" si="5">SUM(L10:L12)</f>
        <v>515.75</v>
      </c>
      <c r="M13" s="114">
        <f t="shared" si="5"/>
        <v>24.28</v>
      </c>
      <c r="N13" s="114">
        <f t="shared" si="5"/>
        <v>1522.08</v>
      </c>
      <c r="O13" s="114">
        <f t="shared" si="5"/>
        <v>1096.69</v>
      </c>
      <c r="P13" s="114"/>
      <c r="Q13" s="370">
        <f t="shared" si="5"/>
        <v>2618.77</v>
      </c>
      <c r="R13" s="114">
        <f t="shared" si="5"/>
        <v>3030.2</v>
      </c>
      <c r="S13" s="114">
        <f t="shared" si="5"/>
        <v>48968.789999999994</v>
      </c>
      <c r="T13" s="116">
        <f>IF(AE13="",INDEX(Коэффициенты!$B$4:$S$59,MATCH('Ведомость расчета мин. платы'!AC13,Коэффициенты!$O$4:$O$59,0),9),"")</f>
        <v>83246.942999999999</v>
      </c>
      <c r="U13" s="31"/>
      <c r="V13" s="184"/>
      <c r="W13" s="179" t="str">
        <f>IF(B13="",W12,INDEX('Такс. опис.'!$A$5:$BW$50,MATCH(CONCATENATE($C13,"/",$D13,"/",$E13),'Такс. опис.'!$C$5:$C$50,0),48))</f>
        <v>мл</v>
      </c>
      <c r="X13" s="179" t="str">
        <f>IF(B13="",X12,INDEX('Такс. опис.'!$A$5:$BW$50,MATCH(CONCATENATE($C13,"/",$D13,"/",$E13),'Такс. опис.'!$C$5:$C$50,0),26))</f>
        <v>8ОС1Б1ЛП</v>
      </c>
      <c r="Y13" s="179">
        <f>IF(B13="",Y12,INDEX('Такс. опис.'!$A$5:$BW$50,MATCH(CONCATENATE($C13,"/",$D13,"/",$E13),'Такс. опис.'!$C$5:$C$50,0),49))</f>
        <v>60</v>
      </c>
      <c r="Z13" s="179" t="str">
        <f>IF(C13="",Z12,INDEX('Такс. опис.'!$A$5:$BW$50,MATCH(CONCATENATE($C13,"/",$D13,"/",$E13),'Такс. опис.'!$C$5:$C$50,0),47))</f>
        <v>Осина</v>
      </c>
      <c r="AA13" s="179" t="str">
        <f>IF(D13="","",INDEX('Такс. опис.'!$A$5:$BW$50,MATCH('Ведомость расчета мин. платы'!AC13,'Такс. опис.'!$C$5:$C$50,0),31))</f>
        <v/>
      </c>
      <c r="AB13" s="179"/>
      <c r="AC13" s="47" t="str">
        <f t="shared" si="3"/>
        <v>Вишнево-Полянское/8/15/1</v>
      </c>
      <c r="AD13" s="180">
        <f>INDEX(Периметр!$A$3:$Q$158,MATCH(AC13,Периметр!$A$3:$A$158,0),17)</f>
        <v>2.2200000000000002</v>
      </c>
      <c r="AE13" s="47" t="str">
        <f t="shared" si="2"/>
        <v/>
      </c>
      <c r="AF13" s="115"/>
      <c r="AG13" s="185" t="str">
        <f>IFERROR(SUM(VLOOKUP(J13,РАСЧЕТ!$X$4:$AB$13,2,0)*K13,VLOOKUP(J13,РАСЧЕТ!$X$4:$AB$13,3,0)*L13,VLOOKUP(J13,РАСЧЕТ!$X$4:$AB$13,4,0)*M13,VLOOKUP(J13,РАСЧЕТ!$X$4:$AB$13,5,0)*O13),"")</f>
        <v/>
      </c>
      <c r="AH13" s="185" t="str">
        <f>IFERROR(SUM(VLOOKUP(J13,РАСЧЕТ!$AD$4:$AH$13,2,0)*K13,VLOOKUP(J13,РАСЧЕТ!$AD$4:$AH$13,3,0)*L13,VLOOKUP(J13,РАСЧЕТ!$AD$4:$AH$13,4,0)*M13,VLOOKUP(J13,РАСЧЕТ!$AD$4:$AH$13,5,0)*O13),"")</f>
        <v/>
      </c>
      <c r="AI13" s="176"/>
      <c r="AK13" s="186" t="str">
        <f t="shared" si="4"/>
        <v>//</v>
      </c>
    </row>
    <row r="14" spans="1:38" ht="15.95" customHeight="1" x14ac:dyDescent="0.2">
      <c r="B14" s="179">
        <f>IF(E14="","",COUNTA($E$10:E14))</f>
        <v>2</v>
      </c>
      <c r="C14" s="157" t="s">
        <v>26</v>
      </c>
      <c r="D14" s="113">
        <v>8</v>
      </c>
      <c r="E14" s="113">
        <v>15</v>
      </c>
      <c r="F14" s="113">
        <v>2</v>
      </c>
      <c r="G14" s="157">
        <v>7.4</v>
      </c>
      <c r="H14" s="113" t="s">
        <v>2086</v>
      </c>
      <c r="I14" s="157" t="s">
        <v>23</v>
      </c>
      <c r="J14" s="182" t="s">
        <v>17</v>
      </c>
      <c r="K14" s="183">
        <v>59.89</v>
      </c>
      <c r="L14" s="183">
        <v>49.63</v>
      </c>
      <c r="M14" s="183"/>
      <c r="N14" s="114">
        <f t="shared" si="0"/>
        <v>109.52000000000001</v>
      </c>
      <c r="O14" s="183">
        <v>87.32</v>
      </c>
      <c r="P14" s="183"/>
      <c r="Q14" s="370">
        <f t="shared" si="1"/>
        <v>196.84</v>
      </c>
      <c r="R14" s="183">
        <v>223.48</v>
      </c>
      <c r="S14" s="121">
        <v>12043.25</v>
      </c>
      <c r="T14" s="121" t="str">
        <f>IF(AE14="",INDEX(Коэффициенты!$B$4:$S$59,MATCH('Ведомость расчета мин. платы'!AC14,Коэффициенты!$O$4:$O$59,0),9),"")</f>
        <v/>
      </c>
      <c r="U14" s="31" t="s">
        <v>2106</v>
      </c>
      <c r="V14" s="184"/>
      <c r="W14" s="179" t="str">
        <f>IF(B14="",W13,INDEX('Такс. опис.'!$A$5:$BW$50,MATCH(CONCATENATE($C14,"/",$D14,"/",$E14),'Такс. опис.'!$C$5:$C$50,0),48))</f>
        <v>мл</v>
      </c>
      <c r="X14" s="179" t="str">
        <f>IF(B14="",X13,INDEX('Такс. опис.'!$A$5:$BW$50,MATCH(CONCATENATE($C14,"/",$D14,"/",$E14),'Такс. опис.'!$C$5:$C$50,0),26))</f>
        <v>8ОС1Б1ЛП</v>
      </c>
      <c r="Y14" s="179">
        <f>IF(B14="",Y13,INDEX('Такс. опис.'!$A$5:$BW$50,MATCH(CONCATENATE($C14,"/",$D14,"/",$E14),'Такс. опис.'!$C$5:$C$50,0),49))</f>
        <v>60</v>
      </c>
      <c r="Z14" s="179" t="str">
        <f>IF(C14="",Z13,INDEX('Такс. опис.'!$A$5:$BW$50,MATCH(CONCATENATE($C14,"/",$D14,"/",$E14),'Такс. опис.'!$C$5:$C$50,0),47))</f>
        <v>Осина</v>
      </c>
      <c r="AA14" s="179" t="e">
        <f>IF(D14="","",INDEX('Такс. опис.'!$A$5:$BW$50,MATCH('Ведомость расчета мин. платы'!AC14,'Такс. опис.'!$C$5:$C$50,0),31))</f>
        <v>#N/A</v>
      </c>
      <c r="AB14" s="179"/>
      <c r="AC14" s="47" t="str">
        <f t="shared" si="3"/>
        <v>Вишнево-Полянское/8/15/2</v>
      </c>
      <c r="AD14" s="180">
        <f>INDEX(Периметр!$A$3:$Q$158,MATCH(AC14,Периметр!$A$3:$A$158,0),17)</f>
        <v>1.67</v>
      </c>
      <c r="AE14" s="47" t="str">
        <f t="shared" si="2"/>
        <v>Вишнево-Полянское/8/15/2/Береза</v>
      </c>
      <c r="AF14" s="115"/>
      <c r="AG14" s="185">
        <f>IFERROR(SUM(VLOOKUP(J14,РАСЧЕТ!$X$4:$AB$13,2,0)*K14,VLOOKUP(J14,РАСЧЕТ!$X$4:$AB$13,3,0)*L14,VLOOKUP(J14,РАСЧЕТ!$X$4:$AB$13,4,0)*M14,VLOOKUP(J14,РАСЧЕТ!$X$4:$AB$13,5,0)*O14),"")</f>
        <v>11469.3693</v>
      </c>
      <c r="AH14" s="185">
        <f>IFERROR(SUM(VLOOKUP(J14,РАСЧЕТ!$AD$4:$AH$13,2,0)*K14,VLOOKUP(J14,РАСЧЕТ!$AD$4:$AH$13,3,0)*L14,VLOOKUP(J14,РАСЧЕТ!$AD$4:$AH$13,4,0)*M14,VLOOKUP(J14,РАСЧЕТ!$AD$4:$AH$13,5,0)*O14),"")</f>
        <v>11317.7505</v>
      </c>
      <c r="AI14" s="176"/>
      <c r="AK14" s="186" t="str">
        <f t="shared" si="4"/>
        <v>Вишнево-Полянское/8/15</v>
      </c>
      <c r="AL14" s="45">
        <v>1</v>
      </c>
    </row>
    <row r="15" spans="1:38" s="181" customFormat="1" ht="15.95" customHeight="1" x14ac:dyDescent="0.2">
      <c r="B15" s="179" t="str">
        <f>IF(E15="","",COUNTA($E$10:E15))</f>
        <v/>
      </c>
      <c r="C15" s="157"/>
      <c r="D15" s="113" t="s">
        <v>166</v>
      </c>
      <c r="E15" s="113"/>
      <c r="F15" s="113" t="s">
        <v>166</v>
      </c>
      <c r="G15" s="157" t="s">
        <v>166</v>
      </c>
      <c r="H15" s="113"/>
      <c r="I15" s="157"/>
      <c r="J15" s="182" t="s">
        <v>19</v>
      </c>
      <c r="K15" s="183">
        <v>14.8</v>
      </c>
      <c r="L15" s="183">
        <v>60.49</v>
      </c>
      <c r="M15" s="183">
        <v>7.93</v>
      </c>
      <c r="N15" s="114">
        <f t="shared" si="0"/>
        <v>83.22</v>
      </c>
      <c r="O15" s="183">
        <v>110.9</v>
      </c>
      <c r="P15" s="183"/>
      <c r="Q15" s="370">
        <f t="shared" si="1"/>
        <v>194.12</v>
      </c>
      <c r="R15" s="183">
        <v>222.2</v>
      </c>
      <c r="S15" s="121">
        <v>4566.88</v>
      </c>
      <c r="T15" s="121" t="str">
        <f>IF(AE15="",INDEX(Коэффициенты!$B$4:$S$59,MATCH('Ведомость расчета мин. платы'!AC15,Коэффициенты!$O$4:$O$59,0),9),"")</f>
        <v/>
      </c>
      <c r="U15" s="31"/>
      <c r="V15" s="184"/>
      <c r="W15" s="179" t="str">
        <f>IF(B15="",W14,INDEX('Такс. опис.'!$A$5:$BW$50,MATCH(CONCATENATE($C15,"/",$D15,"/",$E15),'Такс. опис.'!$C$5:$C$50,0),48))</f>
        <v>мл</v>
      </c>
      <c r="X15" s="179" t="str">
        <f>IF(B15="",X14,INDEX('Такс. опис.'!$A$5:$BW$50,MATCH(CONCATENATE($C15,"/",$D15,"/",$E15),'Такс. опис.'!$C$5:$C$50,0),26))</f>
        <v>8ОС1Б1ЛП</v>
      </c>
      <c r="Y15" s="179">
        <f>IF(B15="",Y14,INDEX('Такс. опис.'!$A$5:$BW$50,MATCH(CONCATENATE($C15,"/",$D15,"/",$E15),'Такс. опис.'!$C$5:$C$50,0),49))</f>
        <v>60</v>
      </c>
      <c r="Z15" s="179" t="str">
        <f>IF(C15="",Z14,INDEX('Такс. опис.'!$A$5:$BW$50,MATCH(CONCATENATE($C15,"/",$D15,"/",$E15),'Такс. опис.'!$C$5:$C$50,0),47))</f>
        <v>Осина</v>
      </c>
      <c r="AA15" s="179" t="str">
        <f>IF(D15="","",INDEX('Такс. опис.'!$A$5:$BW$50,MATCH('Ведомость расчета мин. платы'!AC15,'Такс. опис.'!$C$5:$C$50,0),31))</f>
        <v/>
      </c>
      <c r="AB15" s="179"/>
      <c r="AC15" s="47" t="str">
        <f t="shared" si="3"/>
        <v>Вишнево-Полянское/8/15/2</v>
      </c>
      <c r="AD15" s="180">
        <f>INDEX(Периметр!$A$3:$Q$158,MATCH(AC15,Периметр!$A$3:$A$158,0),17)</f>
        <v>1.67</v>
      </c>
      <c r="AE15" s="47" t="str">
        <f t="shared" si="2"/>
        <v>Вишнево-Полянское/8/15/2/Липа</v>
      </c>
      <c r="AF15" s="115"/>
      <c r="AG15" s="185">
        <f>IFERROR(SUM(VLOOKUP(J15,РАСЧЕТ!$X$4:$AB$13,2,0)*K15,VLOOKUP(J15,РАСЧЕТ!$X$4:$AB$13,3,0)*L15,VLOOKUP(J15,РАСЧЕТ!$X$4:$AB$13,4,0)*M15,VLOOKUP(J15,РАСЧЕТ!$X$4:$AB$13,5,0)*O15),"")</f>
        <v>4349.3946999999998</v>
      </c>
      <c r="AH15" s="185">
        <f>IFERROR(SUM(VLOOKUP(J15,РАСЧЕТ!$AD$4:$AH$13,2,0)*K15,VLOOKUP(J15,РАСЧЕТ!$AD$4:$AH$13,3,0)*L15,VLOOKUP(J15,РАСЧЕТ!$AD$4:$AH$13,4,0)*M15,VLOOKUP(J15,РАСЧЕТ!$AD$4:$AH$13,5,0)*O15),"")</f>
        <v>4291.2371000000003</v>
      </c>
      <c r="AI15" s="176"/>
      <c r="AJ15" s="45"/>
      <c r="AK15" s="186" t="str">
        <f t="shared" si="4"/>
        <v>//</v>
      </c>
    </row>
    <row r="16" spans="1:38" ht="15.95" customHeight="1" x14ac:dyDescent="0.2">
      <c r="B16" s="179" t="str">
        <f>IF(E16="","",COUNTA($E$10:E16))</f>
        <v/>
      </c>
      <c r="C16" s="157"/>
      <c r="D16" s="113" t="s">
        <v>166</v>
      </c>
      <c r="E16" s="113"/>
      <c r="F16" s="113" t="s">
        <v>166</v>
      </c>
      <c r="G16" s="157" t="s">
        <v>166</v>
      </c>
      <c r="H16" s="113"/>
      <c r="I16" s="157"/>
      <c r="J16" s="182" t="s">
        <v>18</v>
      </c>
      <c r="K16" s="183">
        <v>672.02</v>
      </c>
      <c r="L16" s="183">
        <v>278.04000000000002</v>
      </c>
      <c r="M16" s="183">
        <v>7.7</v>
      </c>
      <c r="N16" s="114">
        <f t="shared" si="0"/>
        <v>957.76</v>
      </c>
      <c r="O16" s="183">
        <v>644.99</v>
      </c>
      <c r="P16" s="183"/>
      <c r="Q16" s="370">
        <f t="shared" si="1"/>
        <v>1602.75</v>
      </c>
      <c r="R16" s="183">
        <v>1860.36</v>
      </c>
      <c r="S16" s="121">
        <v>20618.689999999999</v>
      </c>
      <c r="T16" s="121" t="str">
        <f>IF(AE16="",INDEX(Коэффициенты!$B$4:$S$59,MATCH('Ведомость расчета мин. платы'!AC16,Коэффициенты!$O$4:$O$59,0),9),"")</f>
        <v/>
      </c>
      <c r="U16" s="31"/>
      <c r="V16" s="184"/>
      <c r="W16" s="179" t="str">
        <f>IF(B16="",W15,INDEX('Такс. опис.'!$A$5:$BW$50,MATCH(CONCATENATE($C16,"/",$D16,"/",$E16),'Такс. опис.'!$C$5:$C$50,0),48))</f>
        <v>мл</v>
      </c>
      <c r="X16" s="179" t="str">
        <f>IF(B16="",X15,INDEX('Такс. опис.'!$A$5:$BW$50,MATCH(CONCATENATE($C16,"/",$D16,"/",$E16),'Такс. опис.'!$C$5:$C$50,0),26))</f>
        <v>8ОС1Б1ЛП</v>
      </c>
      <c r="Y16" s="179">
        <f>IF(B16="",Y15,INDEX('Такс. опис.'!$A$5:$BW$50,MATCH(CONCATENATE($C16,"/",$D16,"/",$E16),'Такс. опис.'!$C$5:$C$50,0),49))</f>
        <v>60</v>
      </c>
      <c r="Z16" s="179" t="str">
        <f>IF(C16="",Z15,INDEX('Такс. опис.'!$A$5:$BW$50,MATCH(CONCATENATE($C16,"/",$D16,"/",$E16),'Такс. опис.'!$C$5:$C$50,0),47))</f>
        <v>Осина</v>
      </c>
      <c r="AA16" s="179" t="str">
        <f>IF(D16="","",INDEX('Такс. опис.'!$A$5:$BW$50,MATCH('Ведомость расчета мин. платы'!AC16,'Такс. опис.'!$C$5:$C$50,0),31))</f>
        <v/>
      </c>
      <c r="AB16" s="179"/>
      <c r="AC16" s="47" t="str">
        <f t="shared" si="3"/>
        <v>Вишнево-Полянское/8/15/2</v>
      </c>
      <c r="AD16" s="180">
        <f>INDEX(Периметр!$A$3:$Q$158,MATCH(AC16,Периметр!$A$3:$A$158,0),17)</f>
        <v>1.67</v>
      </c>
      <c r="AE16" s="47" t="str">
        <f t="shared" si="2"/>
        <v>Вишнево-Полянское/8/15/2/Осина</v>
      </c>
      <c r="AF16" s="115"/>
      <c r="AG16" s="185">
        <f>IFERROR(SUM(VLOOKUP(J16,РАСЧЕТ!$X$4:$AB$13,2,0)*K16,VLOOKUP(J16,РАСЧЕТ!$X$4:$AB$13,3,0)*L16,VLOOKUP(J16,РАСЧЕТ!$X$4:$AB$13,4,0)*M16,VLOOKUP(J16,РАСЧЕТ!$X$4:$AB$13,5,0)*O16),"")</f>
        <v>19632.8236</v>
      </c>
      <c r="AH16" s="185">
        <f>IFERROR(SUM(VLOOKUP(J16,РАСЧЕТ!$AD$4:$AH$13,2,0)*K16,VLOOKUP(J16,РАСЧЕТ!$AD$4:$AH$13,3,0)*L16,VLOOKUP(J16,РАСЧЕТ!$AD$4:$AH$13,4,0)*M16,VLOOKUP(J16,РАСЧЕТ!$AD$4:$AH$13,5,0)*O16),"")</f>
        <v>19382.565200000001</v>
      </c>
      <c r="AI16" s="176"/>
      <c r="AK16" s="186" t="str">
        <f t="shared" si="4"/>
        <v>//</v>
      </c>
    </row>
    <row r="17" spans="2:38" ht="15.95" customHeight="1" x14ac:dyDescent="0.2">
      <c r="B17" s="179" t="str">
        <f>IF(E17="","",COUNTA($E$10:E17))</f>
        <v/>
      </c>
      <c r="C17" s="157"/>
      <c r="D17" s="113"/>
      <c r="E17" s="113"/>
      <c r="F17" s="113"/>
      <c r="G17" s="157"/>
      <c r="H17" s="113"/>
      <c r="I17" s="157"/>
      <c r="J17" s="187" t="s">
        <v>15</v>
      </c>
      <c r="K17" s="114">
        <f>SUM(K14:K16)</f>
        <v>746.71</v>
      </c>
      <c r="L17" s="114">
        <f t="shared" ref="L17:S17" si="6">SUM(L14:L16)</f>
        <v>388.16</v>
      </c>
      <c r="M17" s="114">
        <f t="shared" si="6"/>
        <v>15.629999999999999</v>
      </c>
      <c r="N17" s="114">
        <f t="shared" si="6"/>
        <v>1150.5</v>
      </c>
      <c r="O17" s="114">
        <f t="shared" si="6"/>
        <v>843.21</v>
      </c>
      <c r="P17" s="114"/>
      <c r="Q17" s="370">
        <f t="shared" si="6"/>
        <v>1993.71</v>
      </c>
      <c r="R17" s="114">
        <f t="shared" si="6"/>
        <v>2306.04</v>
      </c>
      <c r="S17" s="114">
        <f t="shared" si="6"/>
        <v>37228.82</v>
      </c>
      <c r="T17" s="116">
        <f>IF(AE17="",INDEX(Коэффициенты!$B$4:$S$59,MATCH('Ведомость расчета мин. платы'!AC17,Коэффициенты!$O$4:$O$59,0),9),"")</f>
        <v>62544.417599999986</v>
      </c>
      <c r="U17" s="31"/>
      <c r="V17" s="184"/>
      <c r="W17" s="179" t="str">
        <f>IF(B17="",W16,INDEX('Такс. опис.'!$A$5:$BW$50,MATCH(CONCATENATE($C17,"/",$D17,"/",$E17),'Такс. опис.'!$C$5:$C$50,0),48))</f>
        <v>мл</v>
      </c>
      <c r="X17" s="179" t="str">
        <f>IF(B17="",X16,INDEX('Такс. опис.'!$A$5:$BW$50,MATCH(CONCATENATE($C17,"/",$D17,"/",$E17),'Такс. опис.'!$C$5:$C$50,0),26))</f>
        <v>8ОС1Б1ЛП</v>
      </c>
      <c r="Y17" s="179">
        <f>IF(B17="",Y16,INDEX('Такс. опис.'!$A$5:$BW$50,MATCH(CONCATENATE($C17,"/",$D17,"/",$E17),'Такс. опис.'!$C$5:$C$50,0),49))</f>
        <v>60</v>
      </c>
      <c r="Z17" s="179" t="str">
        <f>IF(C17="",Z16,INDEX('Такс. опис.'!$A$5:$BW$50,MATCH(CONCATENATE($C17,"/",$D17,"/",$E17),'Такс. опис.'!$C$5:$C$50,0),47))</f>
        <v>Осина</v>
      </c>
      <c r="AA17" s="179" t="str">
        <f>IF(D17="","",INDEX('Такс. опис.'!$A$5:$BW$50,MATCH('Ведомость расчета мин. платы'!AC17,'Такс. опис.'!$C$5:$C$50,0),31))</f>
        <v/>
      </c>
      <c r="AB17" s="179"/>
      <c r="AC17" s="47" t="str">
        <f t="shared" si="3"/>
        <v>Вишнево-Полянское/8/15/2</v>
      </c>
      <c r="AD17" s="180">
        <f>INDEX(Периметр!$A$3:$Q$158,MATCH(AC17,Периметр!$A$3:$A$158,0),17)</f>
        <v>1.67</v>
      </c>
      <c r="AE17" s="47" t="str">
        <f t="shared" si="2"/>
        <v/>
      </c>
      <c r="AF17" s="115"/>
      <c r="AG17" s="185" t="str">
        <f>IFERROR(SUM(VLOOKUP(J17,РАСЧЕТ!$X$4:$AB$13,2,0)*K17,VLOOKUP(J17,РАСЧЕТ!$X$4:$AB$13,3,0)*L17,VLOOKUP(J17,РАСЧЕТ!$X$4:$AB$13,4,0)*M17,VLOOKUP(J17,РАСЧЕТ!$X$4:$AB$13,5,0)*O17),"")</f>
        <v/>
      </c>
      <c r="AH17" s="185" t="str">
        <f>IFERROR(SUM(VLOOKUP(J17,РАСЧЕТ!$AD$4:$AH$13,2,0)*K17,VLOOKUP(J17,РАСЧЕТ!$AD$4:$AH$13,3,0)*L17,VLOOKUP(J17,РАСЧЕТ!$AD$4:$AH$13,4,0)*M17,VLOOKUP(J17,РАСЧЕТ!$AD$4:$AH$13,5,0)*O17),"")</f>
        <v/>
      </c>
      <c r="AI17" s="176"/>
      <c r="AK17" s="186" t="str">
        <f t="shared" si="4"/>
        <v>//</v>
      </c>
    </row>
    <row r="18" spans="2:38" ht="15.95" customHeight="1" x14ac:dyDescent="0.2">
      <c r="B18" s="179">
        <f>IF(E18="","",COUNTA($E$10:E18))</f>
        <v>3</v>
      </c>
      <c r="C18" s="157" t="s">
        <v>26</v>
      </c>
      <c r="D18" s="113">
        <v>15</v>
      </c>
      <c r="E18" s="113">
        <v>22</v>
      </c>
      <c r="F18" s="113">
        <v>1</v>
      </c>
      <c r="G18" s="157">
        <v>4</v>
      </c>
      <c r="H18" s="113" t="s">
        <v>2086</v>
      </c>
      <c r="I18" s="157" t="s">
        <v>23</v>
      </c>
      <c r="J18" s="182" t="s">
        <v>17</v>
      </c>
      <c r="K18" s="183">
        <v>42</v>
      </c>
      <c r="L18" s="183">
        <v>122.64</v>
      </c>
      <c r="M18" s="183">
        <v>44.16</v>
      </c>
      <c r="N18" s="114">
        <f t="shared" si="0"/>
        <v>208.79999999999998</v>
      </c>
      <c r="O18" s="183">
        <v>168.64</v>
      </c>
      <c r="P18" s="183"/>
      <c r="Q18" s="370">
        <f t="shared" si="1"/>
        <v>377.43999999999994</v>
      </c>
      <c r="R18" s="183">
        <v>429.28</v>
      </c>
      <c r="S18" s="121">
        <v>18617.59</v>
      </c>
      <c r="T18" s="121" t="str">
        <f>IF(AE18="",INDEX(Коэффициенты!$B$4:$S$59,MATCH('Ведомость расчета мин. платы'!AC18,Коэффициенты!$O$4:$O$59,0),9),"")</f>
        <v/>
      </c>
      <c r="U18" s="31" t="s">
        <v>2106</v>
      </c>
      <c r="V18" s="184"/>
      <c r="W18" s="179" t="str">
        <f>IF(B18="",#REF!,INDEX('Такс. опис.'!$A$5:$BW$50,MATCH(CONCATENATE($C18,"/",$D18,"/",$E18),'Такс. опис.'!$C$5:$C$50,0),48))</f>
        <v>мл</v>
      </c>
      <c r="X18" s="179" t="str">
        <f>IF(B18="",#REF!,INDEX('Такс. опис.'!$A$5:$BW$50,MATCH(CONCATENATE($C18,"/",$D18,"/",$E18),'Такс. опис.'!$C$5:$C$50,0),26))</f>
        <v>6ОС4Б</v>
      </c>
      <c r="Y18" s="179">
        <f>IF(B18="",#REF!,INDEX('Такс. опис.'!$A$5:$BW$50,MATCH(CONCATENATE($C18,"/",$D18,"/",$E18),'Такс. опис.'!$C$5:$C$50,0),49))</f>
        <v>45</v>
      </c>
      <c r="Z18" s="179" t="str">
        <f>IF(C18="",#REF!,INDEX('Такс. опис.'!$A$5:$BW$50,MATCH(CONCATENATE($C18,"/",$D18,"/",$E18),'Такс. опис.'!$C$5:$C$50,0),47))</f>
        <v>Осина</v>
      </c>
      <c r="AA18" s="179" t="e">
        <f>IF(D18="","",INDEX('Такс. опис.'!$A$5:$BW$50,MATCH('Ведомость расчета мин. платы'!AC18,'Такс. опис.'!$C$5:$C$50,0),31))</f>
        <v>#N/A</v>
      </c>
      <c r="AB18" s="179"/>
      <c r="AC18" s="47" t="str">
        <f>IF(B18="",#REF!,CONCATENATE($C18,"/",$D18,"/",$E18,"/",F18))</f>
        <v>Вишнево-Полянское/15/22/1</v>
      </c>
      <c r="AD18" s="180">
        <f>INDEX(Периметр!$A$3:$Q$158,MATCH(AC18,Периметр!$A$3:$A$158,0),17)</f>
        <v>0.99</v>
      </c>
      <c r="AE18" s="47" t="str">
        <f t="shared" si="2"/>
        <v>Вишнево-Полянское/15/22/1/Береза</v>
      </c>
      <c r="AF18" s="115"/>
      <c r="AG18" s="185">
        <f>IFERROR(SUM(VLOOKUP(J18,РАСЧЕТ!$X$4:$AB$13,2,0)*K18,VLOOKUP(J18,РАСЧЕТ!$X$4:$AB$13,3,0)*L18,VLOOKUP(J18,РАСЧЕТ!$X$4:$AB$13,4,0)*M18,VLOOKUP(J18,РАСЧЕТ!$X$4:$AB$13,5,0)*O18),"")</f>
        <v>17729.908000000003</v>
      </c>
      <c r="AH18" s="185">
        <f>IFERROR(SUM(VLOOKUP(J18,РАСЧЕТ!$AD$4:$AH$13,2,0)*K18,VLOOKUP(J18,РАСЧЕТ!$AD$4:$AH$13,3,0)*L18,VLOOKUP(J18,РАСЧЕТ!$AD$4:$AH$13,4,0)*M18,VLOOKUP(J18,РАСЧЕТ!$AD$4:$AH$13,5,0)*O18),"")</f>
        <v>17496.279200000001</v>
      </c>
      <c r="AI18" s="176"/>
      <c r="AK18" s="186" t="str">
        <f t="shared" si="4"/>
        <v>Вишнево-Полянское/15/22</v>
      </c>
      <c r="AL18" s="45">
        <v>1</v>
      </c>
    </row>
    <row r="19" spans="2:38" ht="15.95" customHeight="1" x14ac:dyDescent="0.2">
      <c r="B19" s="179" t="str">
        <f>IF(E19="","",COUNTA($E$10:E19))</f>
        <v/>
      </c>
      <c r="C19" s="157"/>
      <c r="D19" s="113" t="s">
        <v>166</v>
      </c>
      <c r="E19" s="113"/>
      <c r="F19" s="113" t="s">
        <v>166</v>
      </c>
      <c r="G19" s="157" t="s">
        <v>166</v>
      </c>
      <c r="H19" s="113"/>
      <c r="I19" s="157"/>
      <c r="J19" s="182" t="s">
        <v>18</v>
      </c>
      <c r="K19" s="183">
        <v>95.12</v>
      </c>
      <c r="L19" s="183">
        <v>167.2</v>
      </c>
      <c r="M19" s="183">
        <v>7.68</v>
      </c>
      <c r="N19" s="114">
        <f t="shared" si="0"/>
        <v>270</v>
      </c>
      <c r="O19" s="183">
        <v>184.16</v>
      </c>
      <c r="P19" s="183"/>
      <c r="Q19" s="370">
        <f t="shared" si="1"/>
        <v>454.15999999999997</v>
      </c>
      <c r="R19" s="183">
        <v>527.67999999999995</v>
      </c>
      <c r="S19" s="121">
        <v>5255.49</v>
      </c>
      <c r="T19" s="121" t="str">
        <f>IF(AE19="",INDEX(Коэффициенты!$B$4:$S$59,MATCH('Ведомость расчета мин. платы'!AC19,Коэффициенты!$O$4:$O$59,0),9),"")</f>
        <v/>
      </c>
      <c r="U19" s="31"/>
      <c r="V19" s="184"/>
      <c r="W19" s="179" t="str">
        <f>IF(B19="",W18,INDEX('Такс. опис.'!$A$5:$BW$50,MATCH(CONCATENATE($C19,"/",$D19,"/",$E19),'Такс. опис.'!$C$5:$C$50,0),48))</f>
        <v>мл</v>
      </c>
      <c r="X19" s="179" t="str">
        <f>IF(B19="",X18,INDEX('Такс. опис.'!$A$5:$BW$50,MATCH(CONCATENATE($C19,"/",$D19,"/",$E19),'Такс. опис.'!$C$5:$C$50,0),26))</f>
        <v>6ОС4Б</v>
      </c>
      <c r="Y19" s="179">
        <f>IF(B19="",Y18,INDEX('Такс. опис.'!$A$5:$BW$50,MATCH(CONCATENATE($C19,"/",$D19,"/",$E19),'Такс. опис.'!$C$5:$C$50,0),49))</f>
        <v>45</v>
      </c>
      <c r="Z19" s="179" t="str">
        <f>IF(C19="",Z18,INDEX('Такс. опис.'!$A$5:$BW$50,MATCH(CONCATENATE($C19,"/",$D19,"/",$E19),'Такс. опис.'!$C$5:$C$50,0),47))</f>
        <v>Осина</v>
      </c>
      <c r="AA19" s="179" t="str">
        <f>IF(D19="","",INDEX('Такс. опис.'!$A$5:$BW$50,MATCH('Ведомость расчета мин. платы'!AC19,'Такс. опис.'!$C$5:$C$50,0),31))</f>
        <v/>
      </c>
      <c r="AB19" s="179"/>
      <c r="AC19" s="47" t="str">
        <f t="shared" si="3"/>
        <v>Вишнево-Полянское/15/22/1</v>
      </c>
      <c r="AD19" s="180">
        <f>INDEX(Периметр!$A$3:$Q$158,MATCH(AC19,Периметр!$A$3:$A$158,0),17)</f>
        <v>0.99</v>
      </c>
      <c r="AE19" s="47" t="str">
        <f t="shared" si="2"/>
        <v>Вишнево-Полянское/15/22/1/Осина</v>
      </c>
      <c r="AF19" s="115"/>
      <c r="AG19" s="185">
        <f>IFERROR(SUM(VLOOKUP(J19,РАСЧЕТ!$X$4:$AB$13,2,0)*K19,VLOOKUP(J19,РАСЧЕТ!$X$4:$AB$13,3,0)*L19,VLOOKUP(J19,РАСЧЕТ!$X$4:$AB$13,4,0)*M19,VLOOKUP(J19,РАСЧЕТ!$X$4:$AB$13,5,0)*O19),"")</f>
        <v>5004.2735999999995</v>
      </c>
      <c r="AH19" s="185">
        <f>IFERROR(SUM(VLOOKUP(J19,РАСЧЕТ!$AD$4:$AH$13,2,0)*K19,VLOOKUP(J19,РАСЧЕТ!$AD$4:$AH$13,3,0)*L19,VLOOKUP(J19,РАСЧЕТ!$AD$4:$AH$13,4,0)*M19,VLOOKUP(J19,РАСЧЕТ!$AD$4:$AH$13,5,0)*O19),"")</f>
        <v>4939.9344000000001</v>
      </c>
      <c r="AI19" s="176"/>
      <c r="AK19" s="186" t="str">
        <f t="shared" si="4"/>
        <v>//</v>
      </c>
    </row>
    <row r="20" spans="2:38" ht="15.95" customHeight="1" x14ac:dyDescent="0.2">
      <c r="B20" s="179" t="str">
        <f>IF(E20="","",COUNTA($E$10:E20))</f>
        <v/>
      </c>
      <c r="C20" s="157"/>
      <c r="D20" s="113"/>
      <c r="E20" s="113"/>
      <c r="F20" s="113"/>
      <c r="G20" s="157"/>
      <c r="H20" s="113"/>
      <c r="I20" s="157"/>
      <c r="J20" s="187" t="s">
        <v>15</v>
      </c>
      <c r="K20" s="114">
        <f>SUM(K18:K19)</f>
        <v>137.12</v>
      </c>
      <c r="L20" s="114">
        <f t="shared" ref="L20:S20" si="7">SUM(L18:L19)</f>
        <v>289.83999999999997</v>
      </c>
      <c r="M20" s="114">
        <f t="shared" si="7"/>
        <v>51.839999999999996</v>
      </c>
      <c r="N20" s="114">
        <f t="shared" si="7"/>
        <v>478.79999999999995</v>
      </c>
      <c r="O20" s="114">
        <f t="shared" si="7"/>
        <v>352.79999999999995</v>
      </c>
      <c r="P20" s="114"/>
      <c r="Q20" s="370">
        <f t="shared" si="7"/>
        <v>831.59999999999991</v>
      </c>
      <c r="R20" s="114">
        <f t="shared" si="7"/>
        <v>956.95999999999992</v>
      </c>
      <c r="S20" s="114">
        <f t="shared" si="7"/>
        <v>23873.08</v>
      </c>
      <c r="T20" s="116">
        <f>IF(AE20="",INDEX(Коэффициенты!$B$4:$S$59,MATCH('Ведомость расчета мин. платы'!AC20,Коэффициенты!$O$4:$O$59,0),9),"")</f>
        <v>37719.466400000005</v>
      </c>
      <c r="U20" s="31"/>
      <c r="V20" s="184"/>
      <c r="W20" s="179" t="str">
        <f>IF(B20="",W19,INDEX('Такс. опис.'!$A$5:$BW$50,MATCH(CONCATENATE($C20,"/",$D20,"/",$E20),'Такс. опис.'!$C$5:$C$50,0),48))</f>
        <v>мл</v>
      </c>
      <c r="X20" s="179" t="str">
        <f>IF(B20="",X19,INDEX('Такс. опис.'!$A$5:$BW$50,MATCH(CONCATENATE($C20,"/",$D20,"/",$E20),'Такс. опис.'!$C$5:$C$50,0),26))</f>
        <v>6ОС4Б</v>
      </c>
      <c r="Y20" s="179">
        <f>IF(B20="",Y19,INDEX('Такс. опис.'!$A$5:$BW$50,MATCH(CONCATENATE($C20,"/",$D20,"/",$E20),'Такс. опис.'!$C$5:$C$50,0),49))</f>
        <v>45</v>
      </c>
      <c r="Z20" s="179" t="str">
        <f>IF(C20="",Z19,INDEX('Такс. опис.'!$A$5:$BW$50,MATCH(CONCATENATE($C20,"/",$D20,"/",$E20),'Такс. опис.'!$C$5:$C$50,0),47))</f>
        <v>Осина</v>
      </c>
      <c r="AA20" s="179" t="str">
        <f>IF(D20="","",INDEX('Такс. опис.'!$A$5:$BW$50,MATCH('Ведомость расчета мин. платы'!AC20,'Такс. опис.'!$C$5:$C$50,0),31))</f>
        <v/>
      </c>
      <c r="AB20" s="179"/>
      <c r="AC20" s="47" t="str">
        <f t="shared" si="3"/>
        <v>Вишнево-Полянское/15/22/1</v>
      </c>
      <c r="AD20" s="180">
        <f>INDEX(Периметр!$A$3:$Q$158,MATCH(AC20,Периметр!$A$3:$A$158,0),17)</f>
        <v>0.99</v>
      </c>
      <c r="AE20" s="47" t="str">
        <f t="shared" si="2"/>
        <v/>
      </c>
      <c r="AF20" s="115"/>
      <c r="AG20" s="185" t="str">
        <f>IFERROR(SUM(VLOOKUP(J20,РАСЧЕТ!$X$4:$AB$13,2,0)*K20,VLOOKUP(J20,РАСЧЕТ!$X$4:$AB$13,3,0)*L20,VLOOKUP(J20,РАСЧЕТ!$X$4:$AB$13,4,0)*M20,VLOOKUP(J20,РАСЧЕТ!$X$4:$AB$13,5,0)*O20),"")</f>
        <v/>
      </c>
      <c r="AH20" s="185" t="str">
        <f>IFERROR(SUM(VLOOKUP(J20,РАСЧЕТ!$AD$4:$AH$13,2,0)*K20,VLOOKUP(J20,РАСЧЕТ!$AD$4:$AH$13,3,0)*L20,VLOOKUP(J20,РАСЧЕТ!$AD$4:$AH$13,4,0)*M20,VLOOKUP(J20,РАСЧЕТ!$AD$4:$AH$13,5,0)*O20),"")</f>
        <v/>
      </c>
      <c r="AI20" s="176"/>
      <c r="AK20" s="186" t="str">
        <f t="shared" si="4"/>
        <v>//</v>
      </c>
    </row>
    <row r="21" spans="2:38" ht="15.95" customHeight="1" x14ac:dyDescent="0.2">
      <c r="B21" s="179">
        <f>IF(E21="","",COUNTA($E$10:E21))</f>
        <v>4</v>
      </c>
      <c r="C21" s="157" t="s">
        <v>26</v>
      </c>
      <c r="D21" s="113">
        <v>19</v>
      </c>
      <c r="E21" s="113">
        <v>5</v>
      </c>
      <c r="F21" s="113">
        <v>1</v>
      </c>
      <c r="G21" s="157">
        <v>6.5</v>
      </c>
      <c r="H21" s="113" t="s">
        <v>2086</v>
      </c>
      <c r="I21" s="157" t="s">
        <v>23</v>
      </c>
      <c r="J21" s="182" t="s">
        <v>17</v>
      </c>
      <c r="K21" s="183">
        <v>63</v>
      </c>
      <c r="L21" s="183">
        <v>178.2</v>
      </c>
      <c r="M21" s="183">
        <v>58.8</v>
      </c>
      <c r="N21" s="114">
        <f t="shared" si="0"/>
        <v>300</v>
      </c>
      <c r="O21" s="183">
        <v>233.6</v>
      </c>
      <c r="P21" s="183"/>
      <c r="Q21" s="370">
        <f t="shared" si="1"/>
        <v>533.6</v>
      </c>
      <c r="R21" s="183">
        <v>606.29999999999995</v>
      </c>
      <c r="S21" s="121">
        <v>26977.84</v>
      </c>
      <c r="T21" s="121" t="str">
        <f>IF(AE21="",INDEX(Коэффициенты!$B$4:$S$59,MATCH('Ведомость расчета мин. платы'!AC21,Коэффициенты!$O$4:$O$59,0),9),"")</f>
        <v/>
      </c>
      <c r="U21" s="31" t="s">
        <v>2107</v>
      </c>
      <c r="V21" s="184"/>
      <c r="W21" s="179" t="str">
        <f>IF(B21="",#REF!,INDEX('Такс. опис.'!$A$5:$BW$50,MATCH(CONCATENATE($C21,"/",$D21,"/",$E21),'Такс. опис.'!$C$5:$C$50,0),48))</f>
        <v>мл</v>
      </c>
      <c r="X21" s="179" t="str">
        <f>IF(B21="",#REF!,INDEX('Такс. опис.'!$A$5:$BW$50,MATCH(CONCATENATE($C21,"/",$D21,"/",$E21),'Такс. опис.'!$C$5:$C$50,0),26))</f>
        <v>5ОС4Б1ЛП+КЛ</v>
      </c>
      <c r="Y21" s="179">
        <f>IF(B21="",#REF!,INDEX('Такс. опис.'!$A$5:$BW$50,MATCH(CONCATENATE($C21,"/",$D21,"/",$E21),'Такс. опис.'!$C$5:$C$50,0),49))</f>
        <v>45</v>
      </c>
      <c r="Z21" s="179" t="str">
        <f>IF(C21="",#REF!,INDEX('Такс. опис.'!$A$5:$BW$50,MATCH(CONCATENATE($C21,"/",$D21,"/",$E21),'Такс. опис.'!$C$5:$C$50,0),47))</f>
        <v>Осина</v>
      </c>
      <c r="AA21" s="179" t="e">
        <f>IF(D21="","",INDEX('Такс. опис.'!$A$5:$BW$50,MATCH('Ведомость расчета мин. платы'!AC21,'Такс. опис.'!$C$5:$C$50,0),31))</f>
        <v>#N/A</v>
      </c>
      <c r="AB21" s="179"/>
      <c r="AC21" s="47" t="str">
        <f>IF(B21="",#REF!,CONCATENATE($C21,"/",$D21,"/",$E21,"/",F21))</f>
        <v>Вишнево-Полянское/19/5/1</v>
      </c>
      <c r="AD21" s="180">
        <f>INDEX(Периметр!$A$3:$Q$158,MATCH(AC21,Периметр!$A$3:$A$158,0),17)</f>
        <v>1.5</v>
      </c>
      <c r="AE21" s="47" t="str">
        <f t="shared" si="2"/>
        <v>Вишнево-Полянское/19/5/1/Береза</v>
      </c>
      <c r="AF21" s="115"/>
      <c r="AG21" s="185">
        <f>IFERROR(SUM(VLOOKUP(J21,РАСЧЕТ!$X$4:$AB$13,2,0)*K21,VLOOKUP(J21,РАСЧЕТ!$X$4:$AB$13,3,0)*L21,VLOOKUP(J21,РАСЧЕТ!$X$4:$AB$13,4,0)*M21,VLOOKUP(J21,РАСЧЕТ!$X$4:$AB$13,5,0)*O21),"")</f>
        <v>25691.617999999999</v>
      </c>
      <c r="AH21" s="185">
        <f>IFERROR(SUM(VLOOKUP(J21,РАСЧЕТ!$AD$4:$AH$13,2,0)*K21,VLOOKUP(J21,РАСЧЕТ!$AD$4:$AH$13,3,0)*L21,VLOOKUP(J21,РАСЧЕТ!$AD$4:$AH$13,4,0)*M21,VLOOKUP(J21,РАСЧЕТ!$AD$4:$AH$13,5,0)*O21),"")</f>
        <v>25352.962</v>
      </c>
      <c r="AI21" s="204"/>
      <c r="AK21" s="186" t="str">
        <f t="shared" si="4"/>
        <v>Вишнево-Полянское/19/5</v>
      </c>
      <c r="AL21" s="45">
        <v>1</v>
      </c>
    </row>
    <row r="22" spans="2:38" ht="15.95" customHeight="1" x14ac:dyDescent="0.2">
      <c r="B22" s="179" t="str">
        <f>IF(E22="","",COUNTA($E$10:E22))</f>
        <v/>
      </c>
      <c r="C22" s="157"/>
      <c r="D22" s="113" t="s">
        <v>166</v>
      </c>
      <c r="E22" s="113"/>
      <c r="F22" s="113" t="s">
        <v>166</v>
      </c>
      <c r="G22" s="157" t="s">
        <v>166</v>
      </c>
      <c r="H22" s="113"/>
      <c r="I22" s="157"/>
      <c r="J22" s="182" t="s">
        <v>19</v>
      </c>
      <c r="K22" s="183">
        <v>1.46</v>
      </c>
      <c r="L22" s="183">
        <v>27.42</v>
      </c>
      <c r="M22" s="183">
        <v>8.11</v>
      </c>
      <c r="N22" s="114">
        <f t="shared" si="0"/>
        <v>36.99</v>
      </c>
      <c r="O22" s="183">
        <v>85.05</v>
      </c>
      <c r="P22" s="183"/>
      <c r="Q22" s="370">
        <f t="shared" si="1"/>
        <v>122.03999999999999</v>
      </c>
      <c r="R22" s="183">
        <v>138</v>
      </c>
      <c r="S22" s="121">
        <v>1865.22</v>
      </c>
      <c r="T22" s="121" t="str">
        <f>IF(AE22="",INDEX(Коэффициенты!$B$4:$S$59,MATCH('Ведомость расчета мин. платы'!AC22,Коэффициенты!$O$4:$O$59,0),9),"")</f>
        <v/>
      </c>
      <c r="U22" s="31"/>
      <c r="V22" s="184"/>
      <c r="W22" s="179" t="str">
        <f>IF(B22="",W21,INDEX('Такс. опис.'!$A$5:$BW$50,MATCH(CONCATENATE($C22,"/",$D22,"/",$E22),'Такс. опис.'!$C$5:$C$50,0),48))</f>
        <v>мл</v>
      </c>
      <c r="X22" s="179" t="str">
        <f>IF(B22="",X21,INDEX('Такс. опис.'!$A$5:$BW$50,MATCH(CONCATENATE($C22,"/",$D22,"/",$E22),'Такс. опис.'!$C$5:$C$50,0),26))</f>
        <v>5ОС4Б1ЛП+КЛ</v>
      </c>
      <c r="Y22" s="179">
        <f>IF(B22="",Y21,INDEX('Такс. опис.'!$A$5:$BW$50,MATCH(CONCATENATE($C22,"/",$D22,"/",$E22),'Такс. опис.'!$C$5:$C$50,0),49))</f>
        <v>45</v>
      </c>
      <c r="Z22" s="179" t="str">
        <f>IF(C22="",Z21,INDEX('Такс. опис.'!$A$5:$BW$50,MATCH(CONCATENATE($C22,"/",$D22,"/",$E22),'Такс. опис.'!$C$5:$C$50,0),47))</f>
        <v>Осина</v>
      </c>
      <c r="AA22" s="179" t="str">
        <f>IF(D22="","",INDEX('Такс. опис.'!$A$5:$BW$50,MATCH('Ведомость расчета мин. платы'!AC22,'Такс. опис.'!$C$5:$C$50,0),31))</f>
        <v/>
      </c>
      <c r="AB22" s="179"/>
      <c r="AC22" s="47" t="str">
        <f t="shared" si="3"/>
        <v>Вишнево-Полянское/19/5/1</v>
      </c>
      <c r="AD22" s="180">
        <f>INDEX(Периметр!$A$3:$Q$158,MATCH(AC22,Периметр!$A$3:$A$158,0),17)</f>
        <v>1.5</v>
      </c>
      <c r="AE22" s="47" t="str">
        <f t="shared" si="2"/>
        <v>Вишнево-Полянское/19/5/1/Липа</v>
      </c>
      <c r="AF22" s="115"/>
      <c r="AG22" s="185">
        <f>IFERROR(SUM(VLOOKUP(J22,РАСЧЕТ!$X$4:$AB$13,2,0)*K22,VLOOKUP(J22,РАСЧЕТ!$X$4:$AB$13,3,0)*L22,VLOOKUP(J22,РАСЧЕТ!$X$4:$AB$13,4,0)*M22,VLOOKUP(J22,РАСЧЕТ!$X$4:$AB$13,5,0)*O22),"")</f>
        <v>1776.3632000000002</v>
      </c>
      <c r="AH22" s="185">
        <f>IFERROR(SUM(VLOOKUP(J22,РАСЧЕТ!$AD$4:$AH$13,2,0)*K22,VLOOKUP(J22,РАСЧЕТ!$AD$4:$AH$13,3,0)*L22,VLOOKUP(J22,РАСЧЕТ!$AD$4:$AH$13,4,0)*M22,VLOOKUP(J22,РАСЧЕТ!$AD$4:$AH$13,5,0)*O22),"")</f>
        <v>1752.4936000000002</v>
      </c>
      <c r="AI22" s="176"/>
      <c r="AK22" s="186" t="str">
        <f t="shared" si="4"/>
        <v>//</v>
      </c>
    </row>
    <row r="23" spans="2:38" s="181" customFormat="1" ht="15.95" customHeight="1" x14ac:dyDescent="0.2">
      <c r="B23" s="179" t="str">
        <f>IF(E23="","",COUNTA($E$10:E23))</f>
        <v/>
      </c>
      <c r="C23" s="157"/>
      <c r="D23" s="113" t="s">
        <v>166</v>
      </c>
      <c r="E23" s="113"/>
      <c r="F23" s="113" t="s">
        <v>166</v>
      </c>
      <c r="G23" s="157" t="s">
        <v>166</v>
      </c>
      <c r="H23" s="113"/>
      <c r="I23" s="157"/>
      <c r="J23" s="182" t="s">
        <v>18</v>
      </c>
      <c r="K23" s="183">
        <v>168.5</v>
      </c>
      <c r="L23" s="183">
        <v>171</v>
      </c>
      <c r="M23" s="183">
        <v>13.8</v>
      </c>
      <c r="N23" s="114">
        <f t="shared" si="0"/>
        <v>353.3</v>
      </c>
      <c r="O23" s="183">
        <v>270.89999999999998</v>
      </c>
      <c r="P23" s="183"/>
      <c r="Q23" s="370">
        <f t="shared" si="1"/>
        <v>624.20000000000005</v>
      </c>
      <c r="R23" s="183">
        <v>728.1</v>
      </c>
      <c r="S23" s="121">
        <v>7100.51</v>
      </c>
      <c r="T23" s="121" t="str">
        <f>IF(AE23="",INDEX(Коэффициенты!$B$4:$S$59,MATCH('Ведомость расчета мин. платы'!AC23,Коэффициенты!$O$4:$O$59,0),9),"")</f>
        <v/>
      </c>
      <c r="U23" s="31"/>
      <c r="V23" s="184"/>
      <c r="W23" s="179" t="str">
        <f>IF(B23="",W22,INDEX('Такс. опис.'!$A$5:$BW$50,MATCH(CONCATENATE($C23,"/",$D23,"/",$E23),'Такс. опис.'!$C$5:$C$50,0),48))</f>
        <v>мл</v>
      </c>
      <c r="X23" s="179" t="str">
        <f>IF(B23="",X22,INDEX('Такс. опис.'!$A$5:$BW$50,MATCH(CONCATENATE($C23,"/",$D23,"/",$E23),'Такс. опис.'!$C$5:$C$50,0),26))</f>
        <v>5ОС4Б1ЛП+КЛ</v>
      </c>
      <c r="Y23" s="179">
        <f>IF(B23="",Y22,INDEX('Такс. опис.'!$A$5:$BW$50,MATCH(CONCATENATE($C23,"/",$D23,"/",$E23),'Такс. опис.'!$C$5:$C$50,0),49))</f>
        <v>45</v>
      </c>
      <c r="Z23" s="179" t="str">
        <f>IF(C23="",Z22,INDEX('Такс. опис.'!$A$5:$BW$50,MATCH(CONCATENATE($C23,"/",$D23,"/",$E23),'Такс. опис.'!$C$5:$C$50,0),47))</f>
        <v>Осина</v>
      </c>
      <c r="AA23" s="179" t="str">
        <f>IF(D23="","",INDEX('Такс. опис.'!$A$5:$BW$50,MATCH('Ведомость расчета мин. платы'!AC23,'Такс. опис.'!$C$5:$C$50,0),31))</f>
        <v/>
      </c>
      <c r="AB23" s="179"/>
      <c r="AC23" s="47" t="str">
        <f t="shared" si="3"/>
        <v>Вишнево-Полянское/19/5/1</v>
      </c>
      <c r="AD23" s="180">
        <f>INDEX(Периметр!$A$3:$Q$158,MATCH(AC23,Периметр!$A$3:$A$158,0),17)</f>
        <v>1.5</v>
      </c>
      <c r="AE23" s="47" t="str">
        <f t="shared" si="2"/>
        <v>Вишнево-Полянское/19/5/1/Осина</v>
      </c>
      <c r="AF23" s="115"/>
      <c r="AG23" s="185">
        <f>IFERROR(SUM(VLOOKUP(J23,РАСЧЕТ!$X$4:$AB$13,2,0)*K23,VLOOKUP(J23,РАСЧЕТ!$X$4:$AB$13,3,0)*L23,VLOOKUP(J23,РАСЧЕТ!$X$4:$AB$13,4,0)*M23,VLOOKUP(J23,РАСЧЕТ!$X$4:$AB$13,5,0)*O23),"")</f>
        <v>6760.9899999999989</v>
      </c>
      <c r="AH23" s="185">
        <f>IFERROR(SUM(VLOOKUP(J23,РАСЧЕТ!$AD$4:$AH$13,2,0)*K23,VLOOKUP(J23,РАСЧЕТ!$AD$4:$AH$13,3,0)*L23,VLOOKUP(J23,РАСЧЕТ!$AD$4:$AH$13,4,0)*M23,VLOOKUP(J23,РАСЧЕТ!$AD$4:$AH$13,5,0)*O23),"")</f>
        <v>6674.5339999999997</v>
      </c>
      <c r="AI23" s="176"/>
      <c r="AJ23" s="45"/>
      <c r="AK23" s="186" t="str">
        <f t="shared" si="4"/>
        <v>//</v>
      </c>
    </row>
    <row r="24" spans="2:38" ht="15.95" customHeight="1" x14ac:dyDescent="0.2">
      <c r="B24" s="179" t="str">
        <f>IF(E24="","",COUNTA($E$10:E24))</f>
        <v/>
      </c>
      <c r="C24" s="157"/>
      <c r="D24" s="113"/>
      <c r="E24" s="113"/>
      <c r="F24" s="113"/>
      <c r="G24" s="157"/>
      <c r="H24" s="113"/>
      <c r="I24" s="157"/>
      <c r="J24" s="187" t="s">
        <v>15</v>
      </c>
      <c r="K24" s="114">
        <f>SUM(K21:K23)</f>
        <v>232.95999999999998</v>
      </c>
      <c r="L24" s="114">
        <f t="shared" ref="L24:S24" si="8">SUM(L21:L23)</f>
        <v>376.62</v>
      </c>
      <c r="M24" s="114">
        <f t="shared" si="8"/>
        <v>80.709999999999994</v>
      </c>
      <c r="N24" s="114">
        <f t="shared" si="8"/>
        <v>690.29</v>
      </c>
      <c r="O24" s="114">
        <f t="shared" si="8"/>
        <v>589.54999999999995</v>
      </c>
      <c r="P24" s="114"/>
      <c r="Q24" s="370">
        <f t="shared" si="8"/>
        <v>1279.8400000000001</v>
      </c>
      <c r="R24" s="114">
        <f t="shared" si="8"/>
        <v>1472.4</v>
      </c>
      <c r="S24" s="114">
        <f t="shared" si="8"/>
        <v>35943.57</v>
      </c>
      <c r="T24" s="116">
        <f>IF(AE24="",INDEX(Коэффициенты!$B$4:$S$59,MATCH('Ведомость расчета мин. платы'!AC24,Коэффициенты!$O$4:$O$59,0),9),"")</f>
        <v>58588.019099999998</v>
      </c>
      <c r="U24" s="31"/>
      <c r="V24" s="184"/>
      <c r="W24" s="179" t="str">
        <f>IF(B24="",W23,INDEX('Такс. опис.'!$A$5:$BW$50,MATCH(CONCATENATE($C24,"/",$D24,"/",$E24),'Такс. опис.'!$C$5:$C$50,0),48))</f>
        <v>мл</v>
      </c>
      <c r="X24" s="179" t="str">
        <f>IF(B24="",X23,INDEX('Такс. опис.'!$A$5:$BW$50,MATCH(CONCATENATE($C24,"/",$D24,"/",$E24),'Такс. опис.'!$C$5:$C$50,0),26))</f>
        <v>5ОС4Б1ЛП+КЛ</v>
      </c>
      <c r="Y24" s="179">
        <f>IF(B24="",Y23,INDEX('Такс. опис.'!$A$5:$BW$50,MATCH(CONCATENATE($C24,"/",$D24,"/",$E24),'Такс. опис.'!$C$5:$C$50,0),49))</f>
        <v>45</v>
      </c>
      <c r="Z24" s="179" t="str">
        <f>IF(C24="",Z23,INDEX('Такс. опис.'!$A$5:$BW$50,MATCH(CONCATENATE($C24,"/",$D24,"/",$E24),'Такс. опис.'!$C$5:$C$50,0),47))</f>
        <v>Осина</v>
      </c>
      <c r="AA24" s="179" t="str">
        <f>IF(D24="","",INDEX('Такс. опис.'!$A$5:$BW$50,MATCH('Ведомость расчета мин. платы'!AC24,'Такс. опис.'!$C$5:$C$50,0),31))</f>
        <v/>
      </c>
      <c r="AB24" s="179"/>
      <c r="AC24" s="47" t="str">
        <f t="shared" si="3"/>
        <v>Вишнево-Полянское/19/5/1</v>
      </c>
      <c r="AD24" s="180">
        <f>INDEX(Периметр!$A$3:$Q$158,MATCH(AC24,Периметр!$A$3:$A$158,0),17)</f>
        <v>1.5</v>
      </c>
      <c r="AE24" s="47" t="str">
        <f t="shared" si="2"/>
        <v/>
      </c>
      <c r="AF24" s="115"/>
      <c r="AG24" s="185" t="str">
        <f>IFERROR(SUM(VLOOKUP(J24,РАСЧЕТ!$X$4:$AB$13,2,0)*K24,VLOOKUP(J24,РАСЧЕТ!$X$4:$AB$13,3,0)*L24,VLOOKUP(J24,РАСЧЕТ!$X$4:$AB$13,4,0)*M24,VLOOKUP(J24,РАСЧЕТ!$X$4:$AB$13,5,0)*O24),"")</f>
        <v/>
      </c>
      <c r="AH24" s="185" t="str">
        <f>IFERROR(SUM(VLOOKUP(J24,РАСЧЕТ!$AD$4:$AH$13,2,0)*K24,VLOOKUP(J24,РАСЧЕТ!$AD$4:$AH$13,3,0)*L24,VLOOKUP(J24,РАСЧЕТ!$AD$4:$AH$13,4,0)*M24,VLOOKUP(J24,РАСЧЕТ!$AD$4:$AH$13,5,0)*O24),"")</f>
        <v/>
      </c>
      <c r="AI24" s="176"/>
      <c r="AK24" s="186" t="str">
        <f t="shared" si="4"/>
        <v>//</v>
      </c>
    </row>
    <row r="25" spans="2:38" s="181" customFormat="1" ht="15.95" customHeight="1" x14ac:dyDescent="0.2">
      <c r="B25" s="179">
        <f>IF(E25="","",COUNTA($E$10:E25))</f>
        <v>5</v>
      </c>
      <c r="C25" s="157" t="s">
        <v>26</v>
      </c>
      <c r="D25" s="113">
        <v>32</v>
      </c>
      <c r="E25" s="113">
        <v>7</v>
      </c>
      <c r="F25" s="113">
        <v>1</v>
      </c>
      <c r="G25" s="157">
        <v>2.5</v>
      </c>
      <c r="H25" s="113" t="s">
        <v>2086</v>
      </c>
      <c r="I25" s="157" t="s">
        <v>23</v>
      </c>
      <c r="J25" s="182" t="s">
        <v>17</v>
      </c>
      <c r="K25" s="183">
        <v>31.46</v>
      </c>
      <c r="L25" s="183">
        <v>34.29</v>
      </c>
      <c r="M25" s="183">
        <v>6.21</v>
      </c>
      <c r="N25" s="114">
        <f t="shared" si="0"/>
        <v>71.959999999999994</v>
      </c>
      <c r="O25" s="183">
        <v>47.99</v>
      </c>
      <c r="P25" s="183"/>
      <c r="Q25" s="370">
        <f t="shared" si="1"/>
        <v>119.94999999999999</v>
      </c>
      <c r="R25" s="183">
        <v>136.5</v>
      </c>
      <c r="S25" s="121">
        <v>7313.96</v>
      </c>
      <c r="T25" s="121" t="str">
        <f>IF(AE25="",INDEX(Коэффициенты!$B$4:$S$59,MATCH('Ведомость расчета мин. платы'!AC25,Коэффициенты!$O$4:$O$59,0),9),"")</f>
        <v/>
      </c>
      <c r="U25" s="31" t="s">
        <v>2107</v>
      </c>
      <c r="V25" s="184"/>
      <c r="W25" s="179" t="str">
        <f>IF(B25="",#REF!,INDEX('Такс. опис.'!$A$5:$BW$50,MATCH(CONCATENATE($C25,"/",$D25,"/",$E25),'Такс. опис.'!$C$5:$C$50,0),48))</f>
        <v>мл</v>
      </c>
      <c r="X25" s="179" t="str">
        <f>IF(B25="",#REF!,INDEX('Такс. опис.'!$A$5:$BW$50,MATCH(CONCATENATE($C25,"/",$D25,"/",$E25),'Такс. опис.'!$C$5:$C$50,0),26))</f>
        <v>5ОС3Б2ЛП+КЛ</v>
      </c>
      <c r="Y25" s="179">
        <f>IF(B25="",#REF!,INDEX('Такс. опис.'!$A$5:$BW$50,MATCH(CONCATENATE($C25,"/",$D25,"/",$E25),'Такс. опис.'!$C$5:$C$50,0),49))</f>
        <v>55</v>
      </c>
      <c r="Z25" s="179" t="str">
        <f>IF(C25="",#REF!,INDEX('Такс. опис.'!$A$5:$BW$50,MATCH(CONCATENATE($C25,"/",$D25,"/",$E25),'Такс. опис.'!$C$5:$C$50,0),47))</f>
        <v>Осина</v>
      </c>
      <c r="AA25" s="179" t="e">
        <f>IF(D25="","",INDEX('Такс. опис.'!$A$5:$BW$50,MATCH('Ведомость расчета мин. платы'!AC25,'Такс. опис.'!$C$5:$C$50,0),31))</f>
        <v>#N/A</v>
      </c>
      <c r="AB25" s="179"/>
      <c r="AC25" s="47" t="str">
        <f>IF(B25="",#REF!,CONCATENATE($C25,"/",$D25,"/",$E25,"/",F25))</f>
        <v>Вишнево-Полянское/32/7/1</v>
      </c>
      <c r="AD25" s="180">
        <f>INDEX(Периметр!$A$3:$Q$158,MATCH(AC25,Периметр!$A$3:$A$158,0),17)</f>
        <v>0.7</v>
      </c>
      <c r="AE25" s="47" t="str">
        <f t="shared" si="2"/>
        <v>Вишнево-Полянское/32/7/1/Береза</v>
      </c>
      <c r="AF25" s="115"/>
      <c r="AG25" s="185">
        <f>IFERROR(SUM(VLOOKUP(J25,РАСЧЕТ!$X$4:$AB$13,2,0)*K25,VLOOKUP(J25,РАСЧЕТ!$X$4:$AB$13,3,0)*L25,VLOOKUP(J25,РАСЧЕТ!$X$4:$AB$13,4,0)*M25,VLOOKUP(J25,РАСЧЕТ!$X$4:$AB$13,5,0)*O25),"")</f>
        <v>6965.4043000000011</v>
      </c>
      <c r="AH25" s="185">
        <f>IFERROR(SUM(VLOOKUP(J25,РАСЧЕТ!$AD$4:$AH$13,2,0)*K25,VLOOKUP(J25,РАСЧЕТ!$AD$4:$AH$13,3,0)*L25,VLOOKUP(J25,РАСЧЕТ!$AD$4:$AH$13,4,0)*M25,VLOOKUP(J25,РАСЧЕТ!$AD$4:$AH$13,5,0)*O25),"")</f>
        <v>6873.3592999999992</v>
      </c>
      <c r="AI25" s="176"/>
      <c r="AJ25" s="45"/>
      <c r="AK25" s="186" t="str">
        <f t="shared" si="4"/>
        <v>Вишнево-Полянское/32/7</v>
      </c>
      <c r="AL25" s="181">
        <v>1</v>
      </c>
    </row>
    <row r="26" spans="2:38" ht="15.95" customHeight="1" x14ac:dyDescent="0.2">
      <c r="B26" s="179" t="str">
        <f>IF(E26="","",COUNTA($E$10:E26))</f>
        <v/>
      </c>
      <c r="C26" s="157"/>
      <c r="D26" s="113" t="s">
        <v>166</v>
      </c>
      <c r="E26" s="113"/>
      <c r="F26" s="113" t="s">
        <v>166</v>
      </c>
      <c r="G26" s="157" t="s">
        <v>166</v>
      </c>
      <c r="H26" s="113"/>
      <c r="I26" s="157"/>
      <c r="J26" s="182" t="s">
        <v>19</v>
      </c>
      <c r="K26" s="183">
        <v>1.63</v>
      </c>
      <c r="L26" s="183">
        <v>12.44</v>
      </c>
      <c r="M26" s="183">
        <v>2.67</v>
      </c>
      <c r="N26" s="114">
        <f t="shared" si="0"/>
        <v>16.740000000000002</v>
      </c>
      <c r="O26" s="183">
        <v>21.59</v>
      </c>
      <c r="P26" s="183"/>
      <c r="Q26" s="370">
        <f t="shared" si="1"/>
        <v>38.33</v>
      </c>
      <c r="R26" s="183">
        <v>43.32</v>
      </c>
      <c r="S26" s="121">
        <v>864.16</v>
      </c>
      <c r="T26" s="121" t="str">
        <f>IF(AE26="",INDEX(Коэффициенты!$B$4:$S$59,MATCH('Ведомость расчета мин. платы'!AC26,Коэффициенты!$O$4:$O$59,0),9),"")</f>
        <v/>
      </c>
      <c r="U26" s="31"/>
      <c r="V26" s="184"/>
      <c r="W26" s="179" t="str">
        <f>IF(B26="",W25,INDEX('Такс. опис.'!$A$5:$BW$50,MATCH(CONCATENATE($C26,"/",$D26,"/",$E26),'Такс. опис.'!$C$5:$C$50,0),48))</f>
        <v>мл</v>
      </c>
      <c r="X26" s="179" t="str">
        <f>IF(B26="",X25,INDEX('Такс. опис.'!$A$5:$BW$50,MATCH(CONCATENATE($C26,"/",$D26,"/",$E26),'Такс. опис.'!$C$5:$C$50,0),26))</f>
        <v>5ОС3Б2ЛП+КЛ</v>
      </c>
      <c r="Y26" s="179">
        <f>IF(B26="",Y25,INDEX('Такс. опис.'!$A$5:$BW$50,MATCH(CONCATENATE($C26,"/",$D26,"/",$E26),'Такс. опис.'!$C$5:$C$50,0),49))</f>
        <v>55</v>
      </c>
      <c r="Z26" s="179" t="str">
        <f>IF(C26="",Z25,INDEX('Такс. опис.'!$A$5:$BW$50,MATCH(CONCATENATE($C26,"/",$D26,"/",$E26),'Такс. опис.'!$C$5:$C$50,0),47))</f>
        <v>Осина</v>
      </c>
      <c r="AA26" s="179" t="str">
        <f>IF(D26="","",INDEX('Такс. опис.'!$A$5:$BW$50,MATCH('Ведомость расчета мин. платы'!AC26,'Такс. опис.'!$C$5:$C$50,0),31))</f>
        <v/>
      </c>
      <c r="AB26" s="179"/>
      <c r="AC26" s="47" t="str">
        <f t="shared" si="3"/>
        <v>Вишнево-Полянское/32/7/1</v>
      </c>
      <c r="AD26" s="180">
        <f>INDEX(Периметр!$A$3:$Q$158,MATCH(AC26,Периметр!$A$3:$A$158,0),17)</f>
        <v>0.7</v>
      </c>
      <c r="AE26" s="47" t="str">
        <f t="shared" si="2"/>
        <v>Вишнево-Полянское/32/7/1/Липа</v>
      </c>
      <c r="AF26" s="115"/>
      <c r="AG26" s="185">
        <f>IFERROR(SUM(VLOOKUP(J26,РАСЧЕТ!$X$4:$AB$13,2,0)*K26,VLOOKUP(J26,РАСЧЕТ!$X$4:$AB$13,3,0)*L26,VLOOKUP(J26,РАСЧЕТ!$X$4:$AB$13,4,0)*M26,VLOOKUP(J26,РАСЧЕТ!$X$4:$AB$13,5,0)*O26),"")</f>
        <v>823.02530000000002</v>
      </c>
      <c r="AH26" s="185">
        <f>IFERROR(SUM(VLOOKUP(J26,РАСЧЕТ!$AD$4:$AH$13,2,0)*K26,VLOOKUP(J26,РАСЧЕТ!$AD$4:$AH$13,3,0)*L26,VLOOKUP(J26,РАСЧЕТ!$AD$4:$AH$13,4,0)*M26,VLOOKUP(J26,РАСЧЕТ!$AD$4:$AH$13,5,0)*O26),"")</f>
        <v>812.00830000000008</v>
      </c>
      <c r="AI26" s="176"/>
      <c r="AK26" s="186" t="str">
        <f t="shared" si="4"/>
        <v>//</v>
      </c>
    </row>
    <row r="27" spans="2:38" ht="15.95" customHeight="1" x14ac:dyDescent="0.2">
      <c r="B27" s="179" t="str">
        <f>IF(E27="","",COUNTA($E$10:E27))</f>
        <v/>
      </c>
      <c r="C27" s="157"/>
      <c r="D27" s="113" t="s">
        <v>166</v>
      </c>
      <c r="E27" s="113"/>
      <c r="F27" s="113" t="s">
        <v>166</v>
      </c>
      <c r="G27" s="157" t="s">
        <v>166</v>
      </c>
      <c r="H27" s="113"/>
      <c r="I27" s="157"/>
      <c r="J27" s="182" t="s">
        <v>18</v>
      </c>
      <c r="K27" s="183">
        <v>114.32</v>
      </c>
      <c r="L27" s="183">
        <v>45.57</v>
      </c>
      <c r="M27" s="183">
        <v>2.1</v>
      </c>
      <c r="N27" s="114">
        <f t="shared" si="0"/>
        <v>161.98999999999998</v>
      </c>
      <c r="O27" s="183">
        <v>100.63</v>
      </c>
      <c r="P27" s="183"/>
      <c r="Q27" s="370">
        <f t="shared" si="1"/>
        <v>262.62</v>
      </c>
      <c r="R27" s="183">
        <v>303.97000000000003</v>
      </c>
      <c r="S27" s="121">
        <v>3479.25</v>
      </c>
      <c r="T27" s="121" t="str">
        <f>IF(AE27="",INDEX(Коэффициенты!$B$4:$S$59,MATCH('Ведомость расчета мин. платы'!AC27,Коэффициенты!$O$4:$O$59,0),9),"")</f>
        <v/>
      </c>
      <c r="U27" s="31"/>
      <c r="V27" s="184"/>
      <c r="W27" s="179" t="str">
        <f>IF(B27="",W26,INDEX('Такс. опис.'!$A$5:$BW$50,MATCH(CONCATENATE($C27,"/",$D27,"/",$E27),'Такс. опис.'!$C$5:$C$50,0),48))</f>
        <v>мл</v>
      </c>
      <c r="X27" s="179" t="str">
        <f>IF(B27="",X26,INDEX('Такс. опис.'!$A$5:$BW$50,MATCH(CONCATENATE($C27,"/",$D27,"/",$E27),'Такс. опис.'!$C$5:$C$50,0),26))</f>
        <v>5ОС3Б2ЛП+КЛ</v>
      </c>
      <c r="Y27" s="179">
        <f>IF(B27="",Y26,INDEX('Такс. опис.'!$A$5:$BW$50,MATCH(CONCATENATE($C27,"/",$D27,"/",$E27),'Такс. опис.'!$C$5:$C$50,0),49))</f>
        <v>55</v>
      </c>
      <c r="Z27" s="179" t="str">
        <f>IF(C27="",Z26,INDEX('Такс. опис.'!$A$5:$BW$50,MATCH(CONCATENATE($C27,"/",$D27,"/",$E27),'Такс. опис.'!$C$5:$C$50,0),47))</f>
        <v>Осина</v>
      </c>
      <c r="AA27" s="179" t="str">
        <f>IF(D27="","",INDEX('Такс. опис.'!$A$5:$BW$50,MATCH('Ведомость расчета мин. платы'!AC27,'Такс. опис.'!$C$5:$C$50,0),31))</f>
        <v/>
      </c>
      <c r="AB27" s="179"/>
      <c r="AC27" s="47" t="str">
        <f t="shared" si="3"/>
        <v>Вишнево-Полянское/32/7/1</v>
      </c>
      <c r="AD27" s="180">
        <f>INDEX(Периметр!$A$3:$Q$158,MATCH(AC27,Периметр!$A$3:$A$158,0),17)</f>
        <v>0.7</v>
      </c>
      <c r="AE27" s="47" t="str">
        <f t="shared" si="2"/>
        <v>Вишнево-Полянское/32/7/1/Осина</v>
      </c>
      <c r="AF27" s="115"/>
      <c r="AG27" s="185">
        <f>IFERROR(SUM(VLOOKUP(J27,РАСЧЕТ!$X$4:$AB$13,2,0)*K27,VLOOKUP(J27,РАСЧЕТ!$X$4:$AB$13,3,0)*L27,VLOOKUP(J27,РАСЧЕТ!$X$4:$AB$13,4,0)*M27,VLOOKUP(J27,РАСЧЕТ!$X$4:$AB$13,5,0)*O27),"")</f>
        <v>3312.9105999999997</v>
      </c>
      <c r="AH27" s="185">
        <f>IFERROR(SUM(VLOOKUP(J27,РАСЧЕТ!$AD$4:$AH$13,2,0)*K27,VLOOKUP(J27,РАСЧЕТ!$AD$4:$AH$13,3,0)*L27,VLOOKUP(J27,РАСЧЕТ!$AD$4:$AH$13,4,0)*M27,VLOOKUP(J27,РАСЧЕТ!$AD$4:$AH$13,5,0)*O27),"")</f>
        <v>3270.6235999999999</v>
      </c>
      <c r="AI27" s="176"/>
      <c r="AK27" s="186" t="str">
        <f t="shared" si="4"/>
        <v>//</v>
      </c>
    </row>
    <row r="28" spans="2:38" s="181" customFormat="1" ht="15.95" customHeight="1" x14ac:dyDescent="0.2">
      <c r="B28" s="179" t="str">
        <f>IF(E28="","",COUNTA($E$10:E28))</f>
        <v/>
      </c>
      <c r="C28" s="157"/>
      <c r="D28" s="113"/>
      <c r="E28" s="113"/>
      <c r="F28" s="113"/>
      <c r="G28" s="157"/>
      <c r="H28" s="113"/>
      <c r="I28" s="157"/>
      <c r="J28" s="187" t="s">
        <v>15</v>
      </c>
      <c r="K28" s="114">
        <f>SUM(K25:K27)</f>
        <v>147.41</v>
      </c>
      <c r="L28" s="114">
        <f t="shared" ref="L28:S28" si="9">SUM(L25:L27)</f>
        <v>92.3</v>
      </c>
      <c r="M28" s="114">
        <f t="shared" si="9"/>
        <v>10.979999999999999</v>
      </c>
      <c r="N28" s="114">
        <f t="shared" si="9"/>
        <v>250.68999999999997</v>
      </c>
      <c r="O28" s="114">
        <f t="shared" si="9"/>
        <v>170.20999999999998</v>
      </c>
      <c r="P28" s="114"/>
      <c r="Q28" s="370">
        <f t="shared" si="9"/>
        <v>420.9</v>
      </c>
      <c r="R28" s="114">
        <f t="shared" si="9"/>
        <v>483.79</v>
      </c>
      <c r="S28" s="114">
        <f t="shared" si="9"/>
        <v>11657.369999999999</v>
      </c>
      <c r="T28" s="116">
        <f>IF(AE28="",INDEX(Коэффициенты!$B$4:$S$59,MATCH('Ведомость расчета мин. платы'!AC28,Коэффициенты!$O$4:$O$59,0),9),"")</f>
        <v>20283.823800000002</v>
      </c>
      <c r="U28" s="31"/>
      <c r="V28" s="184"/>
      <c r="W28" s="179" t="str">
        <f>IF(B28="",W27,INDEX('Такс. опис.'!$A$5:$BW$50,MATCH(CONCATENATE($C28,"/",$D28,"/",$E28),'Такс. опис.'!$C$5:$C$50,0),48))</f>
        <v>мл</v>
      </c>
      <c r="X28" s="179" t="str">
        <f>IF(B28="",X27,INDEX('Такс. опис.'!$A$5:$BW$50,MATCH(CONCATENATE($C28,"/",$D28,"/",$E28),'Такс. опис.'!$C$5:$C$50,0),26))</f>
        <v>5ОС3Б2ЛП+КЛ</v>
      </c>
      <c r="Y28" s="179">
        <f>IF(B28="",Y27,INDEX('Такс. опис.'!$A$5:$BW$50,MATCH(CONCATENATE($C28,"/",$D28,"/",$E28),'Такс. опис.'!$C$5:$C$50,0),49))</f>
        <v>55</v>
      </c>
      <c r="Z28" s="179" t="str">
        <f>IF(C28="",Z27,INDEX('Такс. опис.'!$A$5:$BW$50,MATCH(CONCATENATE($C28,"/",$D28,"/",$E28),'Такс. опис.'!$C$5:$C$50,0),47))</f>
        <v>Осина</v>
      </c>
      <c r="AA28" s="179" t="str">
        <f>IF(D28="","",INDEX('Такс. опис.'!$A$5:$BW$50,MATCH('Ведомость расчета мин. платы'!AC28,'Такс. опис.'!$C$5:$C$50,0),31))</f>
        <v/>
      </c>
      <c r="AB28" s="179"/>
      <c r="AC28" s="47" t="str">
        <f t="shared" si="3"/>
        <v>Вишнево-Полянское/32/7/1</v>
      </c>
      <c r="AD28" s="180">
        <f>INDEX(Периметр!$A$3:$Q$158,MATCH(AC28,Периметр!$A$3:$A$158,0),17)</f>
        <v>0.7</v>
      </c>
      <c r="AE28" s="47" t="str">
        <f t="shared" si="2"/>
        <v/>
      </c>
      <c r="AF28" s="115"/>
      <c r="AG28" s="185" t="str">
        <f>IFERROR(SUM(VLOOKUP(J28,РАСЧЕТ!$X$4:$AB$13,2,0)*K28,VLOOKUP(J28,РАСЧЕТ!$X$4:$AB$13,3,0)*L28,VLOOKUP(J28,РАСЧЕТ!$X$4:$AB$13,4,0)*M28,VLOOKUP(J28,РАСЧЕТ!$X$4:$AB$13,5,0)*O28),"")</f>
        <v/>
      </c>
      <c r="AH28" s="185" t="str">
        <f>IFERROR(SUM(VLOOKUP(J28,РАСЧЕТ!$AD$4:$AH$13,2,0)*K28,VLOOKUP(J28,РАСЧЕТ!$AD$4:$AH$13,3,0)*L28,VLOOKUP(J28,РАСЧЕТ!$AD$4:$AH$13,4,0)*M28,VLOOKUP(J28,РАСЧЕТ!$AD$4:$AH$13,5,0)*O28),"")</f>
        <v/>
      </c>
      <c r="AI28" s="176"/>
      <c r="AJ28" s="45"/>
      <c r="AK28" s="186" t="str">
        <f t="shared" si="4"/>
        <v>//</v>
      </c>
    </row>
    <row r="29" spans="2:38" ht="15.95" customHeight="1" x14ac:dyDescent="0.2">
      <c r="B29" s="179">
        <f>IF(E29="","",COUNTA($E$10:E29))</f>
        <v>6</v>
      </c>
      <c r="C29" s="157" t="s">
        <v>26</v>
      </c>
      <c r="D29" s="113">
        <v>32</v>
      </c>
      <c r="E29" s="113">
        <v>7</v>
      </c>
      <c r="F29" s="113">
        <v>2</v>
      </c>
      <c r="G29" s="157">
        <v>2.5</v>
      </c>
      <c r="H29" s="113" t="s">
        <v>2086</v>
      </c>
      <c r="I29" s="157" t="s">
        <v>23</v>
      </c>
      <c r="J29" s="182" t="s">
        <v>17</v>
      </c>
      <c r="K29" s="183">
        <v>33.85</v>
      </c>
      <c r="L29" s="183">
        <v>38.74</v>
      </c>
      <c r="M29" s="183">
        <v>6.15</v>
      </c>
      <c r="N29" s="114">
        <f t="shared" si="0"/>
        <v>78.740000000000009</v>
      </c>
      <c r="O29" s="183">
        <v>56.35</v>
      </c>
      <c r="P29" s="183"/>
      <c r="Q29" s="370">
        <f t="shared" si="1"/>
        <v>135.09</v>
      </c>
      <c r="R29" s="183">
        <v>153.58000000000001</v>
      </c>
      <c r="S29" s="121">
        <v>8036.78</v>
      </c>
      <c r="T29" s="121" t="str">
        <f>IF(AE29="",INDEX(Коэффициенты!$B$4:$S$59,MATCH('Ведомость расчета мин. платы'!AC29,Коэффициенты!$O$4:$O$59,0),9),"")</f>
        <v/>
      </c>
      <c r="U29" s="31" t="s">
        <v>2107</v>
      </c>
      <c r="V29" s="184"/>
      <c r="W29" s="179" t="str">
        <f>IF(B29="",W28,INDEX('Такс. опис.'!$A$5:$BW$50,MATCH(CONCATENATE($C29,"/",$D29,"/",$E29),'Такс. опис.'!$C$5:$C$50,0),48))</f>
        <v>мл</v>
      </c>
      <c r="X29" s="179" t="str">
        <f>IF(B29="",X28,INDEX('Такс. опис.'!$A$5:$BW$50,MATCH(CONCATENATE($C29,"/",$D29,"/",$E29),'Такс. опис.'!$C$5:$C$50,0),26))</f>
        <v>5ОС3Б2ЛП+КЛ</v>
      </c>
      <c r="Y29" s="179">
        <f>IF(B29="",Y28,INDEX('Такс. опис.'!$A$5:$BW$50,MATCH(CONCATENATE($C29,"/",$D29,"/",$E29),'Такс. опис.'!$C$5:$C$50,0),49))</f>
        <v>55</v>
      </c>
      <c r="Z29" s="179" t="str">
        <f>IF(C29="",Z28,INDEX('Такс. опис.'!$A$5:$BW$50,MATCH(CONCATENATE($C29,"/",$D29,"/",$E29),'Такс. опис.'!$C$5:$C$50,0),47))</f>
        <v>Осина</v>
      </c>
      <c r="AA29" s="179" t="e">
        <f>IF(D29="","",INDEX('Такс. опис.'!$A$5:$BW$50,MATCH('Ведомость расчета мин. платы'!AC29,'Такс. опис.'!$C$5:$C$50,0),31))</f>
        <v>#N/A</v>
      </c>
      <c r="AB29" s="179"/>
      <c r="AC29" s="47" t="str">
        <f t="shared" si="3"/>
        <v>Вишнево-Полянское/32/7/2</v>
      </c>
      <c r="AD29" s="180">
        <f>INDEX(Периметр!$A$3:$Q$158,MATCH(AC29,Периметр!$A$3:$A$158,0),17)</f>
        <v>0.7</v>
      </c>
      <c r="AE29" s="47" t="str">
        <f t="shared" si="2"/>
        <v>Вишнево-Полянское/32/7/2/Береза</v>
      </c>
      <c r="AF29" s="115"/>
      <c r="AG29" s="185">
        <f>IFERROR(SUM(VLOOKUP(J29,РАСЧЕТ!$X$4:$AB$13,2,0)*K29,VLOOKUP(J29,РАСЧЕТ!$X$4:$AB$13,3,0)*L29,VLOOKUP(J29,РАСЧЕТ!$X$4:$AB$13,4,0)*M29,VLOOKUP(J29,РАСЧЕТ!$X$4:$AB$13,5,0)*O29),"")</f>
        <v>7653.7736000000004</v>
      </c>
      <c r="AH29" s="185">
        <f>IFERROR(SUM(VLOOKUP(J29,РАСЧЕТ!$AD$4:$AH$13,2,0)*K29,VLOOKUP(J29,РАСЧЕТ!$AD$4:$AH$13,3,0)*L29,VLOOKUP(J29,РАСЧЕТ!$AD$4:$AH$13,4,0)*M29,VLOOKUP(J29,РАСЧЕТ!$AD$4:$AH$13,5,0)*O29),"")</f>
        <v>7552.6534000000001</v>
      </c>
      <c r="AI29" s="176"/>
      <c r="AK29" s="186" t="str">
        <f t="shared" si="4"/>
        <v>Вишнево-Полянское/32/7</v>
      </c>
      <c r="AL29" s="181">
        <v>1</v>
      </c>
    </row>
    <row r="30" spans="2:38" ht="15.95" customHeight="1" x14ac:dyDescent="0.2">
      <c r="B30" s="179" t="str">
        <f>IF(E30="","",COUNTA($E$10:E30))</f>
        <v/>
      </c>
      <c r="C30" s="157"/>
      <c r="D30" s="113" t="s">
        <v>166</v>
      </c>
      <c r="E30" s="113"/>
      <c r="F30" s="113" t="s">
        <v>166</v>
      </c>
      <c r="G30" s="157" t="s">
        <v>166</v>
      </c>
      <c r="H30" s="113"/>
      <c r="I30" s="157"/>
      <c r="J30" s="182" t="s">
        <v>19</v>
      </c>
      <c r="K30" s="183">
        <v>1.26</v>
      </c>
      <c r="L30" s="183">
        <v>12.17</v>
      </c>
      <c r="M30" s="183">
        <v>3.11</v>
      </c>
      <c r="N30" s="114">
        <f t="shared" si="0"/>
        <v>16.54</v>
      </c>
      <c r="O30" s="183">
        <v>22.34</v>
      </c>
      <c r="P30" s="183"/>
      <c r="Q30" s="370">
        <f t="shared" si="1"/>
        <v>38.879999999999995</v>
      </c>
      <c r="R30" s="183">
        <v>43.94</v>
      </c>
      <c r="S30" s="121">
        <v>836.5</v>
      </c>
      <c r="T30" s="121" t="str">
        <f>IF(AE30="",INDEX(Коэффициенты!$B$4:$S$59,MATCH('Ведомость расчета мин. платы'!AC30,Коэффициенты!$O$4:$O$59,0),9),"")</f>
        <v/>
      </c>
      <c r="U30" s="31"/>
      <c r="V30" s="184"/>
      <c r="W30" s="179" t="str">
        <f>IF(B30="",W29,INDEX('Такс. опис.'!$A$5:$BW$50,MATCH(CONCATENATE($C30,"/",$D30,"/",$E30),'Такс. опис.'!$C$5:$C$50,0),48))</f>
        <v>мл</v>
      </c>
      <c r="X30" s="179" t="str">
        <f>IF(B30="",X29,INDEX('Такс. опис.'!$A$5:$BW$50,MATCH(CONCATENATE($C30,"/",$D30,"/",$E30),'Такс. опис.'!$C$5:$C$50,0),26))</f>
        <v>5ОС3Б2ЛП+КЛ</v>
      </c>
      <c r="Y30" s="179">
        <f>IF(B30="",Y29,INDEX('Такс. опис.'!$A$5:$BW$50,MATCH(CONCATENATE($C30,"/",$D30,"/",$E30),'Такс. опис.'!$C$5:$C$50,0),49))</f>
        <v>55</v>
      </c>
      <c r="Z30" s="179" t="str">
        <f>IF(C30="",Z29,INDEX('Такс. опис.'!$A$5:$BW$50,MATCH(CONCATENATE($C30,"/",$D30,"/",$E30),'Такс. опис.'!$C$5:$C$50,0),47))</f>
        <v>Осина</v>
      </c>
      <c r="AA30" s="179" t="str">
        <f>IF(D30="","",INDEX('Такс. опис.'!$A$5:$BW$50,MATCH('Ведомость расчета мин. платы'!AC30,'Такс. опис.'!$C$5:$C$50,0),31))</f>
        <v/>
      </c>
      <c r="AB30" s="179"/>
      <c r="AC30" s="47" t="str">
        <f t="shared" si="3"/>
        <v>Вишнево-Полянское/32/7/2</v>
      </c>
      <c r="AD30" s="180">
        <f>INDEX(Периметр!$A$3:$Q$158,MATCH(AC30,Периметр!$A$3:$A$158,0),17)</f>
        <v>0.7</v>
      </c>
      <c r="AE30" s="47" t="str">
        <f t="shared" si="2"/>
        <v>Вишнево-Полянское/32/7/2/Липа</v>
      </c>
      <c r="AF30" s="115"/>
      <c r="AG30" s="185">
        <f>IFERROR(SUM(VLOOKUP(J30,РАСЧЕТ!$X$4:$AB$13,2,0)*K30,VLOOKUP(J30,РАСЧЕТ!$X$4:$AB$13,3,0)*L30,VLOOKUP(J30,РАСЧЕТ!$X$4:$AB$13,4,0)*M30,VLOOKUP(J30,РАСЧЕТ!$X$4:$AB$13,5,0)*O30),"")</f>
        <v>796.67009999999993</v>
      </c>
      <c r="AH30" s="185">
        <f>IFERROR(SUM(VLOOKUP(J30,РАСЧЕТ!$AD$4:$AH$13,2,0)*K30,VLOOKUP(J30,РАСЧЕТ!$AD$4:$AH$13,3,0)*L30,VLOOKUP(J30,РАСЧЕТ!$AD$4:$AH$13,4,0)*M30,VLOOKUP(J30,РАСЧЕТ!$AD$4:$AH$13,5,0)*O30),"")</f>
        <v>785.99970000000008</v>
      </c>
      <c r="AI30" s="176"/>
      <c r="AK30" s="186" t="str">
        <f t="shared" si="4"/>
        <v>//</v>
      </c>
    </row>
    <row r="31" spans="2:38" ht="15.95" customHeight="1" x14ac:dyDescent="0.2">
      <c r="B31" s="179" t="str">
        <f>IF(E31="","",COUNTA($E$10:E31))</f>
        <v/>
      </c>
      <c r="C31" s="157"/>
      <c r="D31" s="113" t="s">
        <v>166</v>
      </c>
      <c r="E31" s="113"/>
      <c r="F31" s="113" t="s">
        <v>166</v>
      </c>
      <c r="G31" s="157" t="s">
        <v>166</v>
      </c>
      <c r="H31" s="113"/>
      <c r="I31" s="157"/>
      <c r="J31" s="182" t="s">
        <v>18</v>
      </c>
      <c r="K31" s="183">
        <v>93.47</v>
      </c>
      <c r="L31" s="183">
        <v>39.549999999999997</v>
      </c>
      <c r="M31" s="183">
        <v>2.2799999999999998</v>
      </c>
      <c r="N31" s="114">
        <f t="shared" si="0"/>
        <v>135.29999999999998</v>
      </c>
      <c r="O31" s="183">
        <v>94.63</v>
      </c>
      <c r="P31" s="183"/>
      <c r="Q31" s="370">
        <f t="shared" si="1"/>
        <v>229.92999999999998</v>
      </c>
      <c r="R31" s="183">
        <v>267.5</v>
      </c>
      <c r="S31" s="121">
        <v>2896.61</v>
      </c>
      <c r="T31" s="121" t="str">
        <f>IF(AE31="",INDEX(Коэффициенты!$B$4:$S$59,MATCH('Ведомость расчета мин. платы'!AC31,Коэффициенты!$O$4:$O$59,0),9),"")</f>
        <v/>
      </c>
      <c r="U31" s="31"/>
      <c r="V31" s="184"/>
      <c r="W31" s="179" t="str">
        <f>IF(B31="",W30,INDEX('Такс. опис.'!$A$5:$BW$50,MATCH(CONCATENATE($C31,"/",$D31,"/",$E31),'Такс. опис.'!$C$5:$C$50,0),48))</f>
        <v>мл</v>
      </c>
      <c r="X31" s="179" t="str">
        <f>IF(B31="",X30,INDEX('Такс. опис.'!$A$5:$BW$50,MATCH(CONCATENATE($C31,"/",$D31,"/",$E31),'Такс. опис.'!$C$5:$C$50,0),26))</f>
        <v>5ОС3Б2ЛП+КЛ</v>
      </c>
      <c r="Y31" s="179">
        <f>IF(B31="",Y30,INDEX('Такс. опис.'!$A$5:$BW$50,MATCH(CONCATENATE($C31,"/",$D31,"/",$E31),'Такс. опис.'!$C$5:$C$50,0),49))</f>
        <v>55</v>
      </c>
      <c r="Z31" s="179" t="str">
        <f>IF(C31="",Z30,INDEX('Такс. опис.'!$A$5:$BW$50,MATCH(CONCATENATE($C31,"/",$D31,"/",$E31),'Такс. опис.'!$C$5:$C$50,0),47))</f>
        <v>Осина</v>
      </c>
      <c r="AA31" s="179" t="str">
        <f>IF(D31="","",INDEX('Такс. опис.'!$A$5:$BW$50,MATCH('Ведомость расчета мин. платы'!AC31,'Такс. опис.'!$C$5:$C$50,0),31))</f>
        <v/>
      </c>
      <c r="AB31" s="179"/>
      <c r="AC31" s="47" t="str">
        <f t="shared" si="3"/>
        <v>Вишнево-Полянское/32/7/2</v>
      </c>
      <c r="AD31" s="180">
        <f>INDEX(Периметр!$A$3:$Q$158,MATCH(AC31,Периметр!$A$3:$A$158,0),17)</f>
        <v>0.7</v>
      </c>
      <c r="AE31" s="47" t="str">
        <f t="shared" si="2"/>
        <v>Вишнево-Полянское/32/7/2/Осина</v>
      </c>
      <c r="AF31" s="115"/>
      <c r="AG31" s="185">
        <f>IFERROR(SUM(VLOOKUP(J31,РАСЧЕТ!$X$4:$AB$13,2,0)*K31,VLOOKUP(J31,РАСЧЕТ!$X$4:$AB$13,3,0)*L31,VLOOKUP(J31,РАСЧЕТ!$X$4:$AB$13,4,0)*M31,VLOOKUP(J31,РАСЧЕТ!$X$4:$AB$13,5,0)*O31),"")</f>
        <v>2758.0973999999997</v>
      </c>
      <c r="AH31" s="185">
        <f>IFERROR(SUM(VLOOKUP(J31,РАСЧЕТ!$AD$4:$AH$13,2,0)*K31,VLOOKUP(J31,РАСЧЕТ!$AD$4:$AH$13,3,0)*L31,VLOOKUP(J31,РАСЧЕТ!$AD$4:$AH$13,4,0)*M31,VLOOKUP(J31,РАСЧЕТ!$AD$4:$AH$13,5,0)*O31),"")</f>
        <v>2722.9512</v>
      </c>
      <c r="AI31" s="176"/>
      <c r="AK31" s="186" t="str">
        <f t="shared" si="4"/>
        <v>//</v>
      </c>
    </row>
    <row r="32" spans="2:38" s="181" customFormat="1" ht="15.95" customHeight="1" x14ac:dyDescent="0.2">
      <c r="B32" s="179" t="str">
        <f>IF(E32="","",COUNTA($E$10:E32))</f>
        <v/>
      </c>
      <c r="C32" s="157"/>
      <c r="D32" s="113"/>
      <c r="E32" s="113"/>
      <c r="F32" s="113"/>
      <c r="G32" s="157"/>
      <c r="H32" s="113"/>
      <c r="I32" s="157"/>
      <c r="J32" s="187" t="s">
        <v>15</v>
      </c>
      <c r="K32" s="114">
        <f>SUM(K29:K31)</f>
        <v>128.57999999999998</v>
      </c>
      <c r="L32" s="114">
        <f t="shared" ref="L32:S32" si="10">SUM(L29:L31)</f>
        <v>90.460000000000008</v>
      </c>
      <c r="M32" s="114">
        <f t="shared" si="10"/>
        <v>11.54</v>
      </c>
      <c r="N32" s="114">
        <f t="shared" si="10"/>
        <v>230.57999999999998</v>
      </c>
      <c r="O32" s="114">
        <f t="shared" si="10"/>
        <v>173.32</v>
      </c>
      <c r="P32" s="114"/>
      <c r="Q32" s="370">
        <f t="shared" si="10"/>
        <v>403.9</v>
      </c>
      <c r="R32" s="114">
        <f t="shared" si="10"/>
        <v>465.02</v>
      </c>
      <c r="S32" s="114">
        <f t="shared" si="10"/>
        <v>11769.89</v>
      </c>
      <c r="T32" s="116">
        <f>IF(AE32="",INDEX(Коэффициенты!$B$4:$S$59,MATCH('Ведомость расчета мин. платы'!AC32,Коэффициенты!$O$4:$O$59,0),9),"")</f>
        <v>20479.608600000003</v>
      </c>
      <c r="U32" s="31"/>
      <c r="V32" s="184"/>
      <c r="W32" s="179" t="str">
        <f>IF(B32="",W31,INDEX('Такс. опис.'!$A$5:$BW$50,MATCH(CONCATENATE($C32,"/",$D32,"/",$E32),'Такс. опис.'!$C$5:$C$50,0),48))</f>
        <v>мл</v>
      </c>
      <c r="X32" s="179" t="str">
        <f>IF(B32="",X31,INDEX('Такс. опис.'!$A$5:$BW$50,MATCH(CONCATENATE($C32,"/",$D32,"/",$E32),'Такс. опис.'!$C$5:$C$50,0),26))</f>
        <v>5ОС3Б2ЛП+КЛ</v>
      </c>
      <c r="Y32" s="179">
        <f>IF(B32="",Y31,INDEX('Такс. опис.'!$A$5:$BW$50,MATCH(CONCATENATE($C32,"/",$D32,"/",$E32),'Такс. опис.'!$C$5:$C$50,0),49))</f>
        <v>55</v>
      </c>
      <c r="Z32" s="179" t="str">
        <f>IF(C32="",Z31,INDEX('Такс. опис.'!$A$5:$BW$50,MATCH(CONCATENATE($C32,"/",$D32,"/",$E32),'Такс. опис.'!$C$5:$C$50,0),47))</f>
        <v>Осина</v>
      </c>
      <c r="AA32" s="179" t="str">
        <f>IF(D32="","",INDEX('Такс. опис.'!$A$5:$BW$50,MATCH('Ведомость расчета мин. платы'!AC32,'Такс. опис.'!$C$5:$C$50,0),31))</f>
        <v/>
      </c>
      <c r="AB32" s="179"/>
      <c r="AC32" s="47" t="str">
        <f t="shared" si="3"/>
        <v>Вишнево-Полянское/32/7/2</v>
      </c>
      <c r="AD32" s="180">
        <f>INDEX(Периметр!$A$3:$Q$158,MATCH(AC32,Периметр!$A$3:$A$158,0),17)</f>
        <v>0.7</v>
      </c>
      <c r="AE32" s="47" t="str">
        <f t="shared" si="2"/>
        <v/>
      </c>
      <c r="AF32" s="115"/>
      <c r="AG32" s="185" t="str">
        <f>IFERROR(SUM(VLOOKUP(J32,РАСЧЕТ!$X$4:$AB$13,2,0)*K32,VLOOKUP(J32,РАСЧЕТ!$X$4:$AB$13,3,0)*L32,VLOOKUP(J32,РАСЧЕТ!$X$4:$AB$13,4,0)*M32,VLOOKUP(J32,РАСЧЕТ!$X$4:$AB$13,5,0)*O32),"")</f>
        <v/>
      </c>
      <c r="AH32" s="185" t="str">
        <f>IFERROR(SUM(VLOOKUP(J32,РАСЧЕТ!$AD$4:$AH$13,2,0)*K32,VLOOKUP(J32,РАСЧЕТ!$AD$4:$AH$13,3,0)*L32,VLOOKUP(J32,РАСЧЕТ!$AD$4:$AH$13,4,0)*M32,VLOOKUP(J32,РАСЧЕТ!$AD$4:$AH$13,5,0)*O32),"")</f>
        <v/>
      </c>
      <c r="AI32" s="176"/>
      <c r="AJ32" s="45"/>
      <c r="AK32" s="186" t="str">
        <f t="shared" si="4"/>
        <v>//</v>
      </c>
    </row>
    <row r="33" spans="2:38" ht="15.95" customHeight="1" x14ac:dyDescent="0.2">
      <c r="B33" s="179">
        <f>IF(E33="","",COUNTA($E$10:E33))</f>
        <v>7</v>
      </c>
      <c r="C33" s="157" t="s">
        <v>26</v>
      </c>
      <c r="D33" s="113">
        <v>32</v>
      </c>
      <c r="E33" s="113">
        <v>7</v>
      </c>
      <c r="F33" s="113">
        <v>3</v>
      </c>
      <c r="G33" s="157">
        <v>4.4000000000000004</v>
      </c>
      <c r="H33" s="113" t="s">
        <v>2086</v>
      </c>
      <c r="I33" s="157" t="s">
        <v>23</v>
      </c>
      <c r="J33" s="182" t="s">
        <v>17</v>
      </c>
      <c r="K33" s="183">
        <v>51.67</v>
      </c>
      <c r="L33" s="183">
        <v>65.5</v>
      </c>
      <c r="M33" s="183">
        <v>9.81</v>
      </c>
      <c r="N33" s="114">
        <f t="shared" si="0"/>
        <v>126.98</v>
      </c>
      <c r="O33" s="183">
        <v>88.57</v>
      </c>
      <c r="P33" s="183"/>
      <c r="Q33" s="370">
        <f t="shared" si="1"/>
        <v>215.55</v>
      </c>
      <c r="R33" s="183">
        <v>245.14</v>
      </c>
      <c r="S33" s="121">
        <v>12848.52</v>
      </c>
      <c r="T33" s="121" t="str">
        <f>IF(AE33="",INDEX(Коэффициенты!$B$4:$S$59,MATCH('Ведомость расчета мин. платы'!AC33,Коэффициенты!$O$4:$O$59,0),9),"")</f>
        <v/>
      </c>
      <c r="U33" s="31" t="s">
        <v>2107</v>
      </c>
      <c r="V33" s="184"/>
      <c r="W33" s="179" t="str">
        <f>IF(B33="",W32,INDEX('Такс. опис.'!$A$5:$BW$50,MATCH(CONCATENATE($C33,"/",$D33,"/",$E33),'Такс. опис.'!$C$5:$C$50,0),48))</f>
        <v>мл</v>
      </c>
      <c r="X33" s="179" t="str">
        <f>IF(B33="",X32,INDEX('Такс. опис.'!$A$5:$BW$50,MATCH(CONCATENATE($C33,"/",$D33,"/",$E33),'Такс. опис.'!$C$5:$C$50,0),26))</f>
        <v>5ОС3Б2ЛП+КЛ</v>
      </c>
      <c r="Y33" s="179">
        <f>IF(B33="",Y32,INDEX('Такс. опис.'!$A$5:$BW$50,MATCH(CONCATENATE($C33,"/",$D33,"/",$E33),'Такс. опис.'!$C$5:$C$50,0),49))</f>
        <v>55</v>
      </c>
      <c r="Z33" s="179" t="str">
        <f>IF(C33="",Z32,INDEX('Такс. опис.'!$A$5:$BW$50,MATCH(CONCATENATE($C33,"/",$D33,"/",$E33),'Такс. опис.'!$C$5:$C$50,0),47))</f>
        <v>Осина</v>
      </c>
      <c r="AA33" s="179" t="e">
        <f>IF(D33="","",INDEX('Такс. опис.'!$A$5:$BW$50,MATCH('Ведомость расчета мин. платы'!AC33,'Такс. опис.'!$C$5:$C$50,0),31))</f>
        <v>#N/A</v>
      </c>
      <c r="AB33" s="179"/>
      <c r="AC33" s="47" t="str">
        <f t="shared" si="3"/>
        <v>Вишнево-Полянское/32/7/3</v>
      </c>
      <c r="AD33" s="180">
        <f>INDEX(Периметр!$A$3:$Q$158,MATCH(AC33,Периметр!$A$3:$A$158,0),17)</f>
        <v>1.1000000000000001</v>
      </c>
      <c r="AE33" s="47" t="str">
        <f t="shared" si="2"/>
        <v>Вишнево-Полянское/32/7/3/Береза</v>
      </c>
      <c r="AF33" s="115"/>
      <c r="AG33" s="185">
        <f>IFERROR(SUM(VLOOKUP(J33,РАСЧЕТ!$X$4:$AB$13,2,0)*K33,VLOOKUP(J33,РАСЧЕТ!$X$4:$AB$13,3,0)*L33,VLOOKUP(J33,РАСЧЕТ!$X$4:$AB$13,4,0)*M33,VLOOKUP(J33,РАСЧЕТ!$X$4:$AB$13,5,0)*O33),"")</f>
        <v>12236.195600000001</v>
      </c>
      <c r="AH33" s="185">
        <f>IFERROR(SUM(VLOOKUP(J33,РАСЧЕТ!$AD$4:$AH$13,2,0)*K33,VLOOKUP(J33,РАСЧЕТ!$AD$4:$AH$13,3,0)*L33,VLOOKUP(J33,РАСЧЕТ!$AD$4:$AH$13,4,0)*M33,VLOOKUP(J33,РАСЧЕТ!$AD$4:$AH$13,5,0)*O33),"")</f>
        <v>12074.534199999998</v>
      </c>
      <c r="AI33" s="176"/>
      <c r="AK33" s="186" t="str">
        <f t="shared" si="4"/>
        <v>Вишнево-Полянское/32/7</v>
      </c>
      <c r="AL33" s="181">
        <v>1</v>
      </c>
    </row>
    <row r="34" spans="2:38" ht="15.95" customHeight="1" x14ac:dyDescent="0.2">
      <c r="B34" s="179" t="str">
        <f>IF(E34="","",COUNTA($E$10:E34))</f>
        <v/>
      </c>
      <c r="C34" s="157"/>
      <c r="D34" s="113" t="s">
        <v>166</v>
      </c>
      <c r="E34" s="113"/>
      <c r="F34" s="113" t="s">
        <v>166</v>
      </c>
      <c r="G34" s="157" t="s">
        <v>166</v>
      </c>
      <c r="H34" s="113"/>
      <c r="I34" s="157"/>
      <c r="J34" s="182" t="s">
        <v>19</v>
      </c>
      <c r="K34" s="183">
        <v>3.14</v>
      </c>
      <c r="L34" s="183">
        <v>20.87</v>
      </c>
      <c r="M34" s="183">
        <v>4.8</v>
      </c>
      <c r="N34" s="114">
        <f t="shared" si="0"/>
        <v>28.810000000000002</v>
      </c>
      <c r="O34" s="183">
        <v>34.520000000000003</v>
      </c>
      <c r="P34" s="183"/>
      <c r="Q34" s="370">
        <f t="shared" si="1"/>
        <v>63.330000000000005</v>
      </c>
      <c r="R34" s="183">
        <v>71.66</v>
      </c>
      <c r="S34" s="121">
        <v>1484.78</v>
      </c>
      <c r="T34" s="121" t="str">
        <f>IF(AE34="",INDEX(Коэффициенты!$B$4:$S$59,MATCH('Ведомость расчета мин. платы'!AC34,Коэффициенты!$O$4:$O$59,0),9),"")</f>
        <v/>
      </c>
      <c r="U34" s="31"/>
      <c r="V34" s="184"/>
      <c r="W34" s="179" t="str">
        <f>IF(B34="",W33,INDEX('Такс. опис.'!$A$5:$BW$50,MATCH(CONCATENATE($C34,"/",$D34,"/",$E34),'Такс. опис.'!$C$5:$C$50,0),48))</f>
        <v>мл</v>
      </c>
      <c r="X34" s="179" t="str">
        <f>IF(B34="",X33,INDEX('Такс. опис.'!$A$5:$BW$50,MATCH(CONCATENATE($C34,"/",$D34,"/",$E34),'Такс. опис.'!$C$5:$C$50,0),26))</f>
        <v>5ОС3Б2ЛП+КЛ</v>
      </c>
      <c r="Y34" s="179">
        <f>IF(B34="",Y33,INDEX('Такс. опис.'!$A$5:$BW$50,MATCH(CONCATENATE($C34,"/",$D34,"/",$E34),'Такс. опис.'!$C$5:$C$50,0),49))</f>
        <v>55</v>
      </c>
      <c r="Z34" s="179" t="str">
        <f>IF(C34="",Z33,INDEX('Такс. опис.'!$A$5:$BW$50,MATCH(CONCATENATE($C34,"/",$D34,"/",$E34),'Такс. опис.'!$C$5:$C$50,0),47))</f>
        <v>Осина</v>
      </c>
      <c r="AA34" s="179" t="str">
        <f>IF(D34="","",INDEX('Такс. опис.'!$A$5:$BW$50,MATCH('Ведомость расчета мин. платы'!AC34,'Такс. опис.'!$C$5:$C$50,0),31))</f>
        <v/>
      </c>
      <c r="AB34" s="179"/>
      <c r="AC34" s="47" t="str">
        <f t="shared" si="3"/>
        <v>Вишнево-Полянское/32/7/3</v>
      </c>
      <c r="AD34" s="180">
        <f>INDEX(Периметр!$A$3:$Q$158,MATCH(AC34,Периметр!$A$3:$A$158,0),17)</f>
        <v>1.1000000000000001</v>
      </c>
      <c r="AE34" s="47" t="str">
        <f t="shared" si="2"/>
        <v>Вишнево-Полянское/32/7/3/Липа</v>
      </c>
      <c r="AF34" s="115"/>
      <c r="AG34" s="185">
        <f>IFERROR(SUM(VLOOKUP(J34,РАСЧЕТ!$X$4:$AB$13,2,0)*K34,VLOOKUP(J34,РАСЧЕТ!$X$4:$AB$13,3,0)*L34,VLOOKUP(J34,РАСЧЕТ!$X$4:$AB$13,4,0)*M34,VLOOKUP(J34,РАСЧЕТ!$X$4:$AB$13,5,0)*O34),"")</f>
        <v>1414.0931000000003</v>
      </c>
      <c r="AH34" s="185">
        <f>IFERROR(SUM(VLOOKUP(J34,РАСЧЕТ!$AD$4:$AH$13,2,0)*K34,VLOOKUP(J34,РАСЧЕТ!$AD$4:$AH$13,3,0)*L34,VLOOKUP(J34,РАСЧЕТ!$AD$4:$AH$13,4,0)*M34,VLOOKUP(J34,РАСЧЕТ!$AD$4:$AH$13,5,0)*O34),"")</f>
        <v>1395.1705000000002</v>
      </c>
      <c r="AI34" s="176"/>
      <c r="AK34" s="186" t="str">
        <f t="shared" si="4"/>
        <v>//</v>
      </c>
    </row>
    <row r="35" spans="2:38" s="181" customFormat="1" ht="15.95" customHeight="1" x14ac:dyDescent="0.2">
      <c r="B35" s="179" t="str">
        <f>IF(E35="","",COUNTA($E$10:E35))</f>
        <v/>
      </c>
      <c r="C35" s="157"/>
      <c r="D35" s="113" t="s">
        <v>166</v>
      </c>
      <c r="E35" s="113"/>
      <c r="F35" s="113" t="s">
        <v>166</v>
      </c>
      <c r="G35" s="157" t="s">
        <v>166</v>
      </c>
      <c r="H35" s="113"/>
      <c r="I35" s="157"/>
      <c r="J35" s="182" t="s">
        <v>18</v>
      </c>
      <c r="K35" s="183">
        <v>162.93</v>
      </c>
      <c r="L35" s="183">
        <v>94.54</v>
      </c>
      <c r="M35" s="183">
        <v>3.77</v>
      </c>
      <c r="N35" s="114">
        <f t="shared" si="0"/>
        <v>261.24</v>
      </c>
      <c r="O35" s="183">
        <v>170.22</v>
      </c>
      <c r="P35" s="183"/>
      <c r="Q35" s="370">
        <f t="shared" si="1"/>
        <v>431.46000000000004</v>
      </c>
      <c r="R35" s="183">
        <v>500.28</v>
      </c>
      <c r="S35" s="121">
        <v>5496.02</v>
      </c>
      <c r="T35" s="121" t="str">
        <f>IF(AE35="",INDEX(Коэффициенты!$B$4:$S$59,MATCH('Ведомость расчета мин. платы'!AC35,Коэффициенты!$O$4:$O$59,0),9),"")</f>
        <v/>
      </c>
      <c r="U35" s="31"/>
      <c r="V35" s="184"/>
      <c r="W35" s="179" t="str">
        <f>IF(B35="",W34,INDEX('Такс. опис.'!$A$5:$BW$50,MATCH(CONCATENATE($C35,"/",$D35,"/",$E35),'Такс. опис.'!$C$5:$C$50,0),48))</f>
        <v>мл</v>
      </c>
      <c r="X35" s="179" t="str">
        <f>IF(B35="",X34,INDEX('Такс. опис.'!$A$5:$BW$50,MATCH(CONCATENATE($C35,"/",$D35,"/",$E35),'Такс. опис.'!$C$5:$C$50,0),26))</f>
        <v>5ОС3Б2ЛП+КЛ</v>
      </c>
      <c r="Y35" s="179">
        <f>IF(B35="",Y34,INDEX('Такс. опис.'!$A$5:$BW$50,MATCH(CONCATENATE($C35,"/",$D35,"/",$E35),'Такс. опис.'!$C$5:$C$50,0),49))</f>
        <v>55</v>
      </c>
      <c r="Z35" s="179" t="str">
        <f>IF(C35="",Z34,INDEX('Такс. опис.'!$A$5:$BW$50,MATCH(CONCATENATE($C35,"/",$D35,"/",$E35),'Такс. опис.'!$C$5:$C$50,0),47))</f>
        <v>Осина</v>
      </c>
      <c r="AA35" s="179" t="str">
        <f>IF(D35="","",INDEX('Такс. опис.'!$A$5:$BW$50,MATCH('Ведомость расчета мин. платы'!AC35,'Такс. опис.'!$C$5:$C$50,0),31))</f>
        <v/>
      </c>
      <c r="AB35" s="179"/>
      <c r="AC35" s="47" t="str">
        <f t="shared" si="3"/>
        <v>Вишнево-Полянское/32/7/3</v>
      </c>
      <c r="AD35" s="180">
        <f>INDEX(Периметр!$A$3:$Q$158,MATCH(AC35,Периметр!$A$3:$A$158,0),17)</f>
        <v>1.1000000000000001</v>
      </c>
      <c r="AE35" s="47" t="str">
        <f t="shared" si="2"/>
        <v>Вишнево-Полянское/32/7/3/Осина</v>
      </c>
      <c r="AF35" s="115"/>
      <c r="AG35" s="185">
        <f>IFERROR(SUM(VLOOKUP(J35,РАСЧЕТ!$X$4:$AB$13,2,0)*K35,VLOOKUP(J35,РАСЧЕТ!$X$4:$AB$13,3,0)*L35,VLOOKUP(J35,РАСЧЕТ!$X$4:$AB$13,4,0)*M35,VLOOKUP(J35,РАСЧЕТ!$X$4:$AB$13,5,0)*O35),"")</f>
        <v>5233.2713000000003</v>
      </c>
      <c r="AH35" s="185">
        <f>IFERROR(SUM(VLOOKUP(J35,РАСЧЕТ!$AD$4:$AH$13,2,0)*K35,VLOOKUP(J35,РАСЧЕТ!$AD$4:$AH$13,3,0)*L35,VLOOKUP(J35,РАСЧЕТ!$AD$4:$AH$13,4,0)*M35,VLOOKUP(J35,РАСЧЕТ!$AD$4:$AH$13,5,0)*O35),"")</f>
        <v>5166.3997000000008</v>
      </c>
      <c r="AI35" s="176"/>
      <c r="AJ35" s="45"/>
      <c r="AK35" s="186" t="str">
        <f t="shared" si="4"/>
        <v>//</v>
      </c>
    </row>
    <row r="36" spans="2:38" ht="15.95" customHeight="1" x14ac:dyDescent="0.2">
      <c r="B36" s="179" t="str">
        <f>IF(E36="","",COUNTA($E$10:E36))</f>
        <v/>
      </c>
      <c r="C36" s="157"/>
      <c r="D36" s="113"/>
      <c r="E36" s="113"/>
      <c r="F36" s="113"/>
      <c r="G36" s="157"/>
      <c r="H36" s="113"/>
      <c r="I36" s="157"/>
      <c r="J36" s="187" t="s">
        <v>15</v>
      </c>
      <c r="K36" s="114">
        <f>SUM(K33:K35)</f>
        <v>217.74</v>
      </c>
      <c r="L36" s="114">
        <f t="shared" ref="L36:S36" si="11">SUM(L33:L35)</f>
        <v>180.91000000000003</v>
      </c>
      <c r="M36" s="114">
        <f t="shared" si="11"/>
        <v>18.38</v>
      </c>
      <c r="N36" s="114">
        <f t="shared" si="11"/>
        <v>417.03000000000003</v>
      </c>
      <c r="O36" s="114">
        <f t="shared" si="11"/>
        <v>293.31</v>
      </c>
      <c r="P36" s="114"/>
      <c r="Q36" s="370">
        <f t="shared" si="11"/>
        <v>710.34</v>
      </c>
      <c r="R36" s="114">
        <f t="shared" si="11"/>
        <v>817.07999999999993</v>
      </c>
      <c r="S36" s="114">
        <f t="shared" si="11"/>
        <v>19829.32</v>
      </c>
      <c r="T36" s="116">
        <f>IF(AE36="",INDEX(Коэффициенты!$B$4:$S$59,MATCH('Ведомость расчета мин. платы'!AC36,Коэффициенты!$O$4:$O$59,0),9),"")</f>
        <v>34899.603199999998</v>
      </c>
      <c r="U36" s="31"/>
      <c r="V36" s="184"/>
      <c r="W36" s="179" t="str">
        <f>IF(B36="",W35,INDEX('Такс. опис.'!$A$5:$BW$50,MATCH(CONCATENATE($C36,"/",$D36,"/",$E36),'Такс. опис.'!$C$5:$C$50,0),48))</f>
        <v>мл</v>
      </c>
      <c r="X36" s="179" t="str">
        <f>IF(B36="",X35,INDEX('Такс. опис.'!$A$5:$BW$50,MATCH(CONCATENATE($C36,"/",$D36,"/",$E36),'Такс. опис.'!$C$5:$C$50,0),26))</f>
        <v>5ОС3Б2ЛП+КЛ</v>
      </c>
      <c r="Y36" s="179">
        <f>IF(B36="",Y35,INDEX('Такс. опис.'!$A$5:$BW$50,MATCH(CONCATENATE($C36,"/",$D36,"/",$E36),'Такс. опис.'!$C$5:$C$50,0),49))</f>
        <v>55</v>
      </c>
      <c r="Z36" s="179" t="str">
        <f>IF(C36="",Z35,INDEX('Такс. опис.'!$A$5:$BW$50,MATCH(CONCATENATE($C36,"/",$D36,"/",$E36),'Такс. опис.'!$C$5:$C$50,0),47))</f>
        <v>Осина</v>
      </c>
      <c r="AA36" s="179" t="str">
        <f>IF(D36="","",INDEX('Такс. опис.'!$A$5:$BW$50,MATCH('Ведомость расчета мин. платы'!AC36,'Такс. опис.'!$C$5:$C$50,0),31))</f>
        <v/>
      </c>
      <c r="AB36" s="179"/>
      <c r="AC36" s="47" t="str">
        <f t="shared" si="3"/>
        <v>Вишнево-Полянское/32/7/3</v>
      </c>
      <c r="AD36" s="180">
        <f>INDEX(Периметр!$A$3:$Q$158,MATCH(AC36,Периметр!$A$3:$A$158,0),17)</f>
        <v>1.1000000000000001</v>
      </c>
      <c r="AE36" s="47" t="str">
        <f t="shared" si="2"/>
        <v/>
      </c>
      <c r="AF36" s="115"/>
      <c r="AG36" s="185" t="str">
        <f>IFERROR(SUM(VLOOKUP(J36,РАСЧЕТ!$X$4:$AB$13,2,0)*K36,VLOOKUP(J36,РАСЧЕТ!$X$4:$AB$13,3,0)*L36,VLOOKUP(J36,РАСЧЕТ!$X$4:$AB$13,4,0)*M36,VLOOKUP(J36,РАСЧЕТ!$X$4:$AB$13,5,0)*O36),"")</f>
        <v/>
      </c>
      <c r="AH36" s="185" t="str">
        <f>IFERROR(SUM(VLOOKUP(J36,РАСЧЕТ!$AD$4:$AH$13,2,0)*K36,VLOOKUP(J36,РАСЧЕТ!$AD$4:$AH$13,3,0)*L36,VLOOKUP(J36,РАСЧЕТ!$AD$4:$AH$13,4,0)*M36,VLOOKUP(J36,РАСЧЕТ!$AD$4:$AH$13,5,0)*O36),"")</f>
        <v/>
      </c>
      <c r="AI36" s="176"/>
      <c r="AK36" s="186" t="str">
        <f t="shared" si="4"/>
        <v>//</v>
      </c>
    </row>
    <row r="37" spans="2:38" ht="15.95" customHeight="1" x14ac:dyDescent="0.2">
      <c r="B37" s="179">
        <f>IF(E37="","",COUNTA($E$10:E37))</f>
        <v>8</v>
      </c>
      <c r="C37" s="157" t="s">
        <v>26</v>
      </c>
      <c r="D37" s="113">
        <v>33</v>
      </c>
      <c r="E37" s="113">
        <v>4</v>
      </c>
      <c r="F37" s="113">
        <v>1</v>
      </c>
      <c r="G37" s="157">
        <v>6</v>
      </c>
      <c r="H37" s="113" t="s">
        <v>2086</v>
      </c>
      <c r="I37" s="157" t="s">
        <v>23</v>
      </c>
      <c r="J37" s="182" t="s">
        <v>17</v>
      </c>
      <c r="K37" s="183">
        <v>49.6</v>
      </c>
      <c r="L37" s="183">
        <v>116</v>
      </c>
      <c r="M37" s="183">
        <v>40.200000000000003</v>
      </c>
      <c r="N37" s="114">
        <f t="shared" si="0"/>
        <v>205.8</v>
      </c>
      <c r="O37" s="183">
        <v>147.9</v>
      </c>
      <c r="P37" s="183"/>
      <c r="Q37" s="370">
        <f t="shared" si="1"/>
        <v>353.70000000000005</v>
      </c>
      <c r="R37" s="183">
        <v>402.6</v>
      </c>
      <c r="S37" s="121">
        <v>18648.37</v>
      </c>
      <c r="T37" s="121" t="str">
        <f>IF(AE37="",INDEX(Коэффициенты!$B$4:$S$59,MATCH('Ведомость расчета мин. платы'!AC37,Коэффициенты!$O$4:$O$59,0),9),"")</f>
        <v/>
      </c>
      <c r="U37" s="31" t="s">
        <v>2107</v>
      </c>
      <c r="V37" s="184"/>
      <c r="W37" s="179" t="str">
        <f>IF(B37="",W36,INDEX('Такс. опис.'!$A$5:$BW$50,MATCH(CONCATENATE($C37,"/",$D37,"/",$E37),'Такс. опис.'!$C$5:$C$50,0),48))</f>
        <v>мл</v>
      </c>
      <c r="X37" s="179" t="str">
        <f>IF(B37="",X36,INDEX('Такс. опис.'!$A$5:$BW$50,MATCH(CONCATENATE($C37,"/",$D37,"/",$E37),'Такс. опис.'!$C$5:$C$50,0),26))</f>
        <v>5ОС3Б2ЛП+КЛ</v>
      </c>
      <c r="Y37" s="179">
        <f>IF(B37="",Y36,INDEX('Такс. опис.'!$A$5:$BW$50,MATCH(CONCATENATE($C37,"/",$D37,"/",$E37),'Такс. опис.'!$C$5:$C$50,0),49))</f>
        <v>50</v>
      </c>
      <c r="Z37" s="179" t="str">
        <f>IF(C37="",Z36,INDEX('Такс. опис.'!$A$5:$BW$50,MATCH(CONCATENATE($C37,"/",$D37,"/",$E37),'Такс. опис.'!$C$5:$C$50,0),47))</f>
        <v>Осина</v>
      </c>
      <c r="AA37" s="179" t="e">
        <f>IF(D37="","",INDEX('Такс. опис.'!$A$5:$BW$50,MATCH('Ведомость расчета мин. платы'!AC37,'Такс. опис.'!$C$5:$C$50,0),31))</f>
        <v>#N/A</v>
      </c>
      <c r="AB37" s="179"/>
      <c r="AC37" s="47" t="str">
        <f t="shared" si="3"/>
        <v>Вишнево-Полянское/33/4/1</v>
      </c>
      <c r="AD37" s="180">
        <f>INDEX(Периметр!$A$3:$Q$158,MATCH(AC37,Периметр!$A$3:$A$158,0),17)</f>
        <v>1.45</v>
      </c>
      <c r="AE37" s="47" t="str">
        <f t="shared" si="2"/>
        <v>Вишнево-Полянское/33/4/1/Береза</v>
      </c>
      <c r="AF37" s="115"/>
      <c r="AG37" s="185">
        <f>IFERROR(SUM(VLOOKUP(J37,РАСЧЕТ!$X$4:$AB$13,2,0)*K37,VLOOKUP(J37,РАСЧЕТ!$X$4:$AB$13,3,0)*L37,VLOOKUP(J37,РАСЧЕТ!$X$4:$AB$13,4,0)*M37,VLOOKUP(J37,РАСЧЕТ!$X$4:$AB$13,5,0)*O37),"")</f>
        <v>17759.338000000003</v>
      </c>
      <c r="AH37" s="185">
        <f>IFERROR(SUM(VLOOKUP(J37,РАСЧЕТ!$AD$4:$AH$13,2,0)*K37,VLOOKUP(J37,РАСЧЕТ!$AD$4:$AH$13,3,0)*L37,VLOOKUP(J37,РАСЧЕТ!$AD$4:$AH$13,4,0)*M37,VLOOKUP(J37,РАСЧЕТ!$AD$4:$AH$13,5,0)*O37),"")</f>
        <v>17525.126</v>
      </c>
      <c r="AI37" s="176"/>
      <c r="AK37" s="186" t="str">
        <f t="shared" si="4"/>
        <v>Вишнево-Полянское/33/4</v>
      </c>
      <c r="AL37" s="181">
        <v>1</v>
      </c>
    </row>
    <row r="38" spans="2:38" s="181" customFormat="1" ht="15.95" customHeight="1" x14ac:dyDescent="0.2">
      <c r="B38" s="179" t="str">
        <f>IF(E38="","",COUNTA($E$10:E38))</f>
        <v/>
      </c>
      <c r="C38" s="157"/>
      <c r="D38" s="113" t="s">
        <v>166</v>
      </c>
      <c r="E38" s="113"/>
      <c r="F38" s="113" t="s">
        <v>166</v>
      </c>
      <c r="G38" s="157" t="s">
        <v>166</v>
      </c>
      <c r="H38" s="113"/>
      <c r="I38" s="157"/>
      <c r="J38" s="182" t="s">
        <v>19</v>
      </c>
      <c r="K38" s="183">
        <v>1.38</v>
      </c>
      <c r="L38" s="183">
        <v>42.82</v>
      </c>
      <c r="M38" s="183">
        <v>14.85</v>
      </c>
      <c r="N38" s="114">
        <f t="shared" si="0"/>
        <v>59.050000000000004</v>
      </c>
      <c r="O38" s="183">
        <v>86.63</v>
      </c>
      <c r="P38" s="183"/>
      <c r="Q38" s="370">
        <f t="shared" si="1"/>
        <v>145.68</v>
      </c>
      <c r="R38" s="183">
        <v>163.69999999999999</v>
      </c>
      <c r="S38" s="121">
        <v>2840.53</v>
      </c>
      <c r="T38" s="121" t="str">
        <f>IF(AE38="",INDEX(Коэффициенты!$B$4:$S$59,MATCH('Ведомость расчета мин. платы'!AC38,Коэффициенты!$O$4:$O$59,0),9),"")</f>
        <v/>
      </c>
      <c r="U38" s="31"/>
      <c r="V38" s="184"/>
      <c r="W38" s="179" t="str">
        <f>IF(B38="",W37,INDEX('Такс. опис.'!$A$5:$BW$50,MATCH(CONCATENATE($C38,"/",$D38,"/",$E38),'Такс. опис.'!$C$5:$C$50,0),48))</f>
        <v>мл</v>
      </c>
      <c r="X38" s="179" t="str">
        <f>IF(B38="",X37,INDEX('Такс. опис.'!$A$5:$BW$50,MATCH(CONCATENATE($C38,"/",$D38,"/",$E38),'Такс. опис.'!$C$5:$C$50,0),26))</f>
        <v>5ОС3Б2ЛП+КЛ</v>
      </c>
      <c r="Y38" s="179">
        <f>IF(B38="",Y37,INDEX('Такс. опис.'!$A$5:$BW$50,MATCH(CONCATENATE($C38,"/",$D38,"/",$E38),'Такс. опис.'!$C$5:$C$50,0),49))</f>
        <v>50</v>
      </c>
      <c r="Z38" s="179" t="str">
        <f>IF(C38="",Z37,INDEX('Такс. опис.'!$A$5:$BW$50,MATCH(CONCATENATE($C38,"/",$D38,"/",$E38),'Такс. опис.'!$C$5:$C$50,0),47))</f>
        <v>Осина</v>
      </c>
      <c r="AA38" s="179" t="str">
        <f>IF(D38="","",INDEX('Такс. опис.'!$A$5:$BW$50,MATCH('Ведомость расчета мин. платы'!AC38,'Такс. опис.'!$C$5:$C$50,0),31))</f>
        <v/>
      </c>
      <c r="AB38" s="179"/>
      <c r="AC38" s="47" t="str">
        <f t="shared" si="3"/>
        <v>Вишнево-Полянское/33/4/1</v>
      </c>
      <c r="AD38" s="180">
        <f>INDEX(Периметр!$A$3:$Q$158,MATCH(AC38,Периметр!$A$3:$A$158,0),17)</f>
        <v>1.45</v>
      </c>
      <c r="AE38" s="47" t="str">
        <f t="shared" si="2"/>
        <v>Вишнево-Полянское/33/4/1/Липа</v>
      </c>
      <c r="AF38" s="115"/>
      <c r="AG38" s="185">
        <f>IFERROR(SUM(VLOOKUP(J38,РАСЧЕТ!$X$4:$AB$13,2,0)*K38,VLOOKUP(J38,РАСЧЕТ!$X$4:$AB$13,3,0)*L38,VLOOKUP(J38,РАСЧЕТ!$X$4:$AB$13,4,0)*M38,VLOOKUP(J38,РАСЧЕТ!$X$4:$AB$13,5,0)*O38),"")</f>
        <v>2705.3012000000003</v>
      </c>
      <c r="AH38" s="185">
        <f>IFERROR(SUM(VLOOKUP(J38,РАСЧЕТ!$AD$4:$AH$13,2,0)*K38,VLOOKUP(J38,РАСЧЕТ!$AD$4:$AH$13,3,0)*L38,VLOOKUP(J38,РАСЧЕТ!$AD$4:$AH$13,4,0)*M38,VLOOKUP(J38,РАСЧЕТ!$AD$4:$AH$13,5,0)*O38),"")</f>
        <v>2669.0164</v>
      </c>
      <c r="AI38" s="176"/>
      <c r="AJ38" s="45"/>
      <c r="AK38" s="186" t="str">
        <f t="shared" si="4"/>
        <v>//</v>
      </c>
    </row>
    <row r="39" spans="2:38" ht="15.95" customHeight="1" x14ac:dyDescent="0.2">
      <c r="B39" s="179" t="str">
        <f>IF(E39="","",COUNTA($E$10:E39))</f>
        <v/>
      </c>
      <c r="C39" s="157"/>
      <c r="D39" s="113" t="s">
        <v>166</v>
      </c>
      <c r="E39" s="113"/>
      <c r="F39" s="113" t="s">
        <v>166</v>
      </c>
      <c r="G39" s="157" t="s">
        <v>166</v>
      </c>
      <c r="H39" s="113"/>
      <c r="I39" s="157"/>
      <c r="J39" s="182" t="s">
        <v>18</v>
      </c>
      <c r="K39" s="183">
        <v>253.2</v>
      </c>
      <c r="L39" s="183">
        <v>207.4</v>
      </c>
      <c r="M39" s="183">
        <v>9</v>
      </c>
      <c r="N39" s="114">
        <f t="shared" ref="N39:N52" si="12">SUM(K39:M39)</f>
        <v>469.6</v>
      </c>
      <c r="O39" s="183">
        <v>239.9</v>
      </c>
      <c r="P39" s="183"/>
      <c r="Q39" s="370">
        <f t="shared" ref="Q39:Q52" si="13">SUM(N39:P39)</f>
        <v>709.5</v>
      </c>
      <c r="R39" s="183">
        <v>814.8</v>
      </c>
      <c r="S39" s="121">
        <v>9607.7900000000009</v>
      </c>
      <c r="T39" s="121" t="str">
        <f>IF(AE39="",INDEX(Коэффициенты!$B$4:$S$59,MATCH('Ведомость расчета мин. платы'!AC39,Коэффициенты!$O$4:$O$59,0),9),"")</f>
        <v/>
      </c>
      <c r="U39" s="31"/>
      <c r="V39" s="184"/>
      <c r="W39" s="179" t="str">
        <f>IF(B39="",W38,INDEX('Такс. опис.'!$A$5:$BW$50,MATCH(CONCATENATE($C39,"/",$D39,"/",$E39),'Такс. опис.'!$C$5:$C$50,0),48))</f>
        <v>мл</v>
      </c>
      <c r="X39" s="179" t="str">
        <f>IF(B39="",X38,INDEX('Такс. опис.'!$A$5:$BW$50,MATCH(CONCATENATE($C39,"/",$D39,"/",$E39),'Такс. опис.'!$C$5:$C$50,0),26))</f>
        <v>5ОС3Б2ЛП+КЛ</v>
      </c>
      <c r="Y39" s="179">
        <f>IF(B39="",Y38,INDEX('Такс. опис.'!$A$5:$BW$50,MATCH(CONCATENATE($C39,"/",$D39,"/",$E39),'Такс. опис.'!$C$5:$C$50,0),49))</f>
        <v>50</v>
      </c>
      <c r="Z39" s="179" t="str">
        <f>IF(C39="",Z38,INDEX('Такс. опис.'!$A$5:$BW$50,MATCH(CONCATENATE($C39,"/",$D39,"/",$E39),'Такс. опис.'!$C$5:$C$50,0),47))</f>
        <v>Осина</v>
      </c>
      <c r="AA39" s="179" t="str">
        <f>IF(D39="","",INDEX('Такс. опис.'!$A$5:$BW$50,MATCH('Ведомость расчета мин. платы'!AC39,'Такс. опис.'!$C$5:$C$50,0),31))</f>
        <v/>
      </c>
      <c r="AB39" s="179"/>
      <c r="AC39" s="47" t="str">
        <f t="shared" si="3"/>
        <v>Вишнево-Полянское/33/4/1</v>
      </c>
      <c r="AD39" s="180">
        <f>INDEX(Периметр!$A$3:$Q$158,MATCH(AC39,Периметр!$A$3:$A$158,0),17)</f>
        <v>1.45</v>
      </c>
      <c r="AE39" s="47" t="str">
        <f t="shared" si="2"/>
        <v>Вишнево-Полянское/33/4/1/Осина</v>
      </c>
      <c r="AF39" s="115"/>
      <c r="AG39" s="185">
        <f>IFERROR(SUM(VLOOKUP(J39,РАСЧЕТ!$X$4:$AB$13,2,0)*K39,VLOOKUP(J39,РАСЧЕТ!$X$4:$AB$13,3,0)*L39,VLOOKUP(J39,РАСЧЕТ!$X$4:$AB$13,4,0)*M39,VLOOKUP(J39,РАСЧЕТ!$X$4:$AB$13,5,0)*O39),"")</f>
        <v>9148.6759999999995</v>
      </c>
      <c r="AH39" s="185">
        <f>IFERROR(SUM(VLOOKUP(J39,РАСЧЕТ!$AD$4:$AH$13,2,0)*K39,VLOOKUP(J39,РАСЧЕТ!$AD$4:$AH$13,3,0)*L39,VLOOKUP(J39,РАСЧЕТ!$AD$4:$AH$13,4,0)*M39,VLOOKUP(J39,РАСЧЕТ!$AD$4:$AH$13,5,0)*O39),"")</f>
        <v>9031.0720000000001</v>
      </c>
      <c r="AI39" s="176"/>
      <c r="AK39" s="186" t="str">
        <f t="shared" si="4"/>
        <v>//</v>
      </c>
    </row>
    <row r="40" spans="2:38" ht="15.95" customHeight="1" x14ac:dyDescent="0.2">
      <c r="B40" s="179" t="str">
        <f>IF(E40="","",COUNTA($E$10:E40))</f>
        <v/>
      </c>
      <c r="C40" s="157"/>
      <c r="D40" s="113"/>
      <c r="E40" s="113"/>
      <c r="F40" s="113"/>
      <c r="G40" s="157"/>
      <c r="H40" s="113"/>
      <c r="I40" s="157"/>
      <c r="J40" s="187" t="s">
        <v>15</v>
      </c>
      <c r="K40" s="114">
        <f>SUM(K37:K39)</f>
        <v>304.18</v>
      </c>
      <c r="L40" s="114">
        <f t="shared" ref="L40:S40" si="14">SUM(L37:L39)</f>
        <v>366.22</v>
      </c>
      <c r="M40" s="114">
        <f t="shared" si="14"/>
        <v>64.050000000000011</v>
      </c>
      <c r="N40" s="114">
        <f t="shared" si="14"/>
        <v>734.45</v>
      </c>
      <c r="O40" s="114">
        <f t="shared" si="14"/>
        <v>474.43</v>
      </c>
      <c r="P40" s="114"/>
      <c r="Q40" s="370">
        <f t="shared" si="14"/>
        <v>1208.8800000000001</v>
      </c>
      <c r="R40" s="114">
        <f t="shared" si="14"/>
        <v>1381.1</v>
      </c>
      <c r="S40" s="114">
        <f t="shared" si="14"/>
        <v>31096.69</v>
      </c>
      <c r="T40" s="116">
        <f>IF(AE40="",INDEX(Коэффициенты!$B$4:$S$59,MATCH('Ведомость расчета мин. платы'!AC40,Коэффициенты!$O$4:$O$59,0),9),"")</f>
        <v>51931.472299999994</v>
      </c>
      <c r="U40" s="31"/>
      <c r="V40" s="184"/>
      <c r="W40" s="179" t="str">
        <f>IF(B40="",W39,INDEX('Такс. опис.'!$A$5:$BW$50,MATCH(CONCATENATE($C40,"/",$D40,"/",$E40),'Такс. опис.'!$C$5:$C$50,0),48))</f>
        <v>мл</v>
      </c>
      <c r="X40" s="179" t="str">
        <f>IF(B40="",X39,INDEX('Такс. опис.'!$A$5:$BW$50,MATCH(CONCATENATE($C40,"/",$D40,"/",$E40),'Такс. опис.'!$C$5:$C$50,0),26))</f>
        <v>5ОС3Б2ЛП+КЛ</v>
      </c>
      <c r="Y40" s="179">
        <f>IF(B40="",Y39,INDEX('Такс. опис.'!$A$5:$BW$50,MATCH(CONCATENATE($C40,"/",$D40,"/",$E40),'Такс. опис.'!$C$5:$C$50,0),49))</f>
        <v>50</v>
      </c>
      <c r="Z40" s="179" t="str">
        <f>IF(C40="",Z39,INDEX('Такс. опис.'!$A$5:$BW$50,MATCH(CONCATENATE($C40,"/",$D40,"/",$E40),'Такс. опис.'!$C$5:$C$50,0),47))</f>
        <v>Осина</v>
      </c>
      <c r="AA40" s="179" t="str">
        <f>IF(D40="","",INDEX('Такс. опис.'!$A$5:$BW$50,MATCH('Ведомость расчета мин. платы'!AC40,'Такс. опис.'!$C$5:$C$50,0),31))</f>
        <v/>
      </c>
      <c r="AB40" s="179"/>
      <c r="AC40" s="47" t="str">
        <f t="shared" si="3"/>
        <v>Вишнево-Полянское/33/4/1</v>
      </c>
      <c r="AD40" s="180">
        <f>INDEX(Периметр!$A$3:$Q$158,MATCH(AC40,Периметр!$A$3:$A$158,0),17)</f>
        <v>1.45</v>
      </c>
      <c r="AE40" s="47" t="str">
        <f t="shared" ref="AE40:AE54" si="15">IF(J40="Итого","",CONCATENATE(AC40,"/",J40))</f>
        <v/>
      </c>
      <c r="AF40" s="115"/>
      <c r="AG40" s="185" t="str">
        <f>IFERROR(SUM(VLOOKUP(J40,РАСЧЕТ!$X$4:$AB$13,2,0)*K40,VLOOKUP(J40,РАСЧЕТ!$X$4:$AB$13,3,0)*L40,VLOOKUP(J40,РАСЧЕТ!$X$4:$AB$13,4,0)*M40,VLOOKUP(J40,РАСЧЕТ!$X$4:$AB$13,5,0)*O40),"")</f>
        <v/>
      </c>
      <c r="AH40" s="185" t="str">
        <f>IFERROR(SUM(VLOOKUP(J40,РАСЧЕТ!$AD$4:$AH$13,2,0)*K40,VLOOKUP(J40,РАСЧЕТ!$AD$4:$AH$13,3,0)*L40,VLOOKUP(J40,РАСЧЕТ!$AD$4:$AH$13,4,0)*M40,VLOOKUP(J40,РАСЧЕТ!$AD$4:$AH$13,5,0)*O40),"")</f>
        <v/>
      </c>
      <c r="AI40" s="176"/>
      <c r="AK40" s="186" t="str">
        <f t="shared" si="4"/>
        <v>//</v>
      </c>
    </row>
    <row r="41" spans="2:38" ht="15.95" customHeight="1" x14ac:dyDescent="0.2">
      <c r="B41" s="179">
        <f>IF(E41="","",COUNTA($E$10:E41))</f>
        <v>9</v>
      </c>
      <c r="C41" s="157" t="s">
        <v>26</v>
      </c>
      <c r="D41" s="113">
        <v>90</v>
      </c>
      <c r="E41" s="113">
        <v>1</v>
      </c>
      <c r="F41" s="113">
        <v>1</v>
      </c>
      <c r="G41" s="157">
        <v>9.5</v>
      </c>
      <c r="H41" s="113" t="s">
        <v>2086</v>
      </c>
      <c r="I41" s="157" t="s">
        <v>23</v>
      </c>
      <c r="J41" s="182" t="s">
        <v>25</v>
      </c>
      <c r="K41" s="183">
        <v>2</v>
      </c>
      <c r="L41" s="183">
        <v>37.299999999999997</v>
      </c>
      <c r="M41" s="183">
        <v>8.1999999999999993</v>
      </c>
      <c r="N41" s="114">
        <f t="shared" si="12"/>
        <v>47.5</v>
      </c>
      <c r="O41" s="183">
        <v>87.8</v>
      </c>
      <c r="P41" s="183"/>
      <c r="Q41" s="370">
        <f t="shared" si="13"/>
        <v>135.30000000000001</v>
      </c>
      <c r="R41" s="183">
        <v>152.19999999999999</v>
      </c>
      <c r="S41" s="121">
        <v>30853.69</v>
      </c>
      <c r="T41" s="121" t="str">
        <f>IF(AE41="",INDEX(Коэффициенты!$B$4:$S$59,MATCH('Ведомость расчета мин. платы'!AC41,Коэффициенты!$O$4:$O$59,0),9),"")</f>
        <v/>
      </c>
      <c r="U41" s="31" t="s">
        <v>2108</v>
      </c>
      <c r="V41" s="184"/>
      <c r="W41" s="179" t="str">
        <f>IF(B41="",#REF!,INDEX('Такс. опис.'!$A$5:$BW$50,MATCH(CONCATENATE($C41,"/",$D41,"/",$E41),'Такс. опис.'!$C$5:$C$50,0),48))</f>
        <v>мл</v>
      </c>
      <c r="X41" s="179" t="str">
        <f>IF(B41="",#REF!,INDEX('Такс. опис.'!$A$5:$BW$50,MATCH(CONCATENATE($C41,"/",$D41,"/",$E41),'Такс. опис.'!$C$5:$C$50,0),26))</f>
        <v>7ОС2ЛП1ДН</v>
      </c>
      <c r="Y41" s="179">
        <f>IF(B41="",#REF!,INDEX('Такс. опис.'!$A$5:$BW$50,MATCH(CONCATENATE($C41,"/",$D41,"/",$E41),'Такс. опис.'!$C$5:$C$50,0),49))</f>
        <v>45</v>
      </c>
      <c r="Z41" s="179" t="str">
        <f>IF(C41="",#REF!,INDEX('Такс. опис.'!$A$5:$BW$50,MATCH(CONCATENATE($C41,"/",$D41,"/",$E41),'Такс. опис.'!$C$5:$C$50,0),47))</f>
        <v>Осина</v>
      </c>
      <c r="AA41" s="179" t="e">
        <f>IF(D41="","",INDEX('Такс. опис.'!$A$5:$BW$50,MATCH('Ведомость расчета мин. платы'!AC41,'Такс. опис.'!$C$5:$C$50,0),31))</f>
        <v>#N/A</v>
      </c>
      <c r="AB41" s="115"/>
      <c r="AC41" s="47" t="str">
        <f>IF(B41="",#REF!,CONCATENATE($C41,"/",$D41,"/",$E41,"/",F41))</f>
        <v>Вишнево-Полянское/90/1/1</v>
      </c>
      <c r="AD41" s="180">
        <f>INDEX(Периметр!$A$3:$Q$158,MATCH(AC41,Периметр!$A$3:$A$158,0),17)</f>
        <v>2.0299999999999998</v>
      </c>
      <c r="AE41" s="47" t="str">
        <f t="shared" si="15"/>
        <v>Вишнево-Полянское/90/1/1/Дуб</v>
      </c>
      <c r="AF41" s="115"/>
      <c r="AG41" s="176"/>
      <c r="AH41" s="176"/>
      <c r="AI41" s="176"/>
      <c r="AK41" s="186" t="str">
        <f t="shared" si="4"/>
        <v>Вишнево-Полянское/90/1</v>
      </c>
      <c r="AL41" s="181">
        <v>1</v>
      </c>
    </row>
    <row r="42" spans="2:38" ht="15.95" customHeight="1" x14ac:dyDescent="0.2">
      <c r="B42" s="179" t="str">
        <f>IF(E42="","",COUNTA($E$10:E42))</f>
        <v/>
      </c>
      <c r="C42" s="157"/>
      <c r="D42" s="113" t="s">
        <v>166</v>
      </c>
      <c r="E42" s="113"/>
      <c r="F42" s="113" t="s">
        <v>166</v>
      </c>
      <c r="G42" s="157" t="s">
        <v>166</v>
      </c>
      <c r="H42" s="113"/>
      <c r="I42" s="157"/>
      <c r="J42" s="182" t="s">
        <v>19</v>
      </c>
      <c r="K42" s="183">
        <v>14.76</v>
      </c>
      <c r="L42" s="183">
        <v>96.25</v>
      </c>
      <c r="M42" s="183">
        <v>29.05</v>
      </c>
      <c r="N42" s="114">
        <f t="shared" si="12"/>
        <v>140.06</v>
      </c>
      <c r="O42" s="183">
        <v>179.44</v>
      </c>
      <c r="P42" s="183"/>
      <c r="Q42" s="370">
        <f t="shared" si="13"/>
        <v>319.5</v>
      </c>
      <c r="R42" s="183">
        <v>361.7</v>
      </c>
      <c r="S42" s="121">
        <v>7079.94</v>
      </c>
      <c r="T42" s="121" t="str">
        <f>IF(AE42="",INDEX(Коэффициенты!$B$4:$S$59,MATCH('Ведомость расчета мин. платы'!AC42,Коэффициенты!$O$4:$O$59,0),9),"")</f>
        <v/>
      </c>
      <c r="U42" s="31"/>
      <c r="V42" s="184"/>
      <c r="W42" s="179" t="str">
        <f>IF(B42="",W41,INDEX('Такс. опис.'!$A$5:$BW$50,MATCH(CONCATENATE($C42,"/",$D42,"/",$E42),'Такс. опис.'!$C$5:$C$50,0),48))</f>
        <v>мл</v>
      </c>
      <c r="X42" s="179" t="str">
        <f>IF(B42="",X41,INDEX('Такс. опис.'!$A$5:$BW$50,MATCH(CONCATENATE($C42,"/",$D42,"/",$E42),'Такс. опис.'!$C$5:$C$50,0),26))</f>
        <v>7ОС2ЛП1ДН</v>
      </c>
      <c r="Y42" s="179">
        <f>IF(B42="",Y41,INDEX('Такс. опис.'!$A$5:$BW$50,MATCH(CONCATENATE($C42,"/",$D42,"/",$E42),'Такс. опис.'!$C$5:$C$50,0),49))</f>
        <v>45</v>
      </c>
      <c r="Z42" s="179" t="str">
        <f>IF(C42="",Z41,INDEX('Такс. опис.'!$A$5:$BW$50,MATCH(CONCATENATE($C42,"/",$D42,"/",$E42),'Такс. опис.'!$C$5:$C$50,0),47))</f>
        <v>Осина</v>
      </c>
      <c r="AA42" s="179" t="str">
        <f>IF(D42="","",INDEX('Такс. опис.'!$A$5:$BW$50,MATCH('Ведомость расчета мин. платы'!AC42,'Такс. опис.'!$C$5:$C$50,0),31))</f>
        <v/>
      </c>
      <c r="AB42" s="115"/>
      <c r="AC42" s="47" t="str">
        <f t="shared" ref="AC42:AC55" si="16">IF(B42="",AC41,CONCATENATE($C42,"/",$D42,"/",$E42,"/",F42))</f>
        <v>Вишнево-Полянское/90/1/1</v>
      </c>
      <c r="AD42" s="180">
        <f>INDEX(Периметр!$A$3:$Q$158,MATCH(AC42,Периметр!$A$3:$A$158,0),17)</f>
        <v>2.0299999999999998</v>
      </c>
      <c r="AE42" s="47" t="str">
        <f t="shared" si="15"/>
        <v>Вишнево-Полянское/90/1/1/Липа</v>
      </c>
      <c r="AF42" s="115"/>
      <c r="AG42" s="176"/>
      <c r="AH42" s="176"/>
      <c r="AI42" s="176"/>
      <c r="AK42" s="186" t="str">
        <f t="shared" si="4"/>
        <v>//</v>
      </c>
    </row>
    <row r="43" spans="2:38" ht="15.95" customHeight="1" x14ac:dyDescent="0.2">
      <c r="B43" s="179" t="str">
        <f>IF(E43="","",COUNTA($E$10:E43))</f>
        <v/>
      </c>
      <c r="C43" s="157"/>
      <c r="D43" s="113" t="s">
        <v>166</v>
      </c>
      <c r="E43" s="113"/>
      <c r="F43" s="113" t="s">
        <v>166</v>
      </c>
      <c r="G43" s="157" t="s">
        <v>166</v>
      </c>
      <c r="H43" s="113"/>
      <c r="I43" s="157"/>
      <c r="J43" s="182" t="s">
        <v>18</v>
      </c>
      <c r="K43" s="183">
        <v>363.7</v>
      </c>
      <c r="L43" s="183">
        <v>317.2</v>
      </c>
      <c r="M43" s="183">
        <v>22.8</v>
      </c>
      <c r="N43" s="114">
        <f t="shared" si="12"/>
        <v>703.69999999999993</v>
      </c>
      <c r="O43" s="183">
        <v>445.2</v>
      </c>
      <c r="P43" s="183"/>
      <c r="Q43" s="370">
        <f t="shared" si="13"/>
        <v>1148.8999999999999</v>
      </c>
      <c r="R43" s="183">
        <v>1332.4</v>
      </c>
      <c r="S43" s="121">
        <v>14281.27</v>
      </c>
      <c r="T43" s="121" t="str">
        <f>IF(AE43="",INDEX(Коэффициенты!$B$4:$S$59,MATCH('Ведомость расчета мин. платы'!AC43,Коэффициенты!$O$4:$O$59,0),9),"")</f>
        <v/>
      </c>
      <c r="U43" s="31"/>
      <c r="V43" s="184"/>
      <c r="W43" s="179" t="str">
        <f>IF(B43="",W42,INDEX('Такс. опис.'!$A$5:$BW$50,MATCH(CONCATENATE($C43,"/",$D43,"/",$E43),'Такс. опис.'!$C$5:$C$50,0),48))</f>
        <v>мл</v>
      </c>
      <c r="X43" s="179" t="str">
        <f>IF(B43="",X42,INDEX('Такс. опис.'!$A$5:$BW$50,MATCH(CONCATENATE($C43,"/",$D43,"/",$E43),'Такс. опис.'!$C$5:$C$50,0),26))</f>
        <v>7ОС2ЛП1ДН</v>
      </c>
      <c r="Y43" s="179">
        <f>IF(B43="",Y42,INDEX('Такс. опис.'!$A$5:$BW$50,MATCH(CONCATENATE($C43,"/",$D43,"/",$E43),'Такс. опис.'!$C$5:$C$50,0),49))</f>
        <v>45</v>
      </c>
      <c r="Z43" s="179" t="str">
        <f>IF(C43="",Z42,INDEX('Такс. опис.'!$A$5:$BW$50,MATCH(CONCATENATE($C43,"/",$D43,"/",$E43),'Такс. опис.'!$C$5:$C$50,0),47))</f>
        <v>Осина</v>
      </c>
      <c r="AA43" s="179" t="str">
        <f>IF(D43="","",INDEX('Такс. опис.'!$A$5:$BW$50,MATCH('Ведомость расчета мин. платы'!AC43,'Такс. опис.'!$C$5:$C$50,0),31))</f>
        <v/>
      </c>
      <c r="AB43" s="115"/>
      <c r="AC43" s="47" t="str">
        <f t="shared" si="16"/>
        <v>Вишнево-Полянское/90/1/1</v>
      </c>
      <c r="AD43" s="180">
        <f>INDEX(Периметр!$A$3:$Q$158,MATCH(AC43,Периметр!$A$3:$A$158,0),17)</f>
        <v>2.0299999999999998</v>
      </c>
      <c r="AE43" s="47" t="str">
        <f t="shared" si="15"/>
        <v>Вишнево-Полянское/90/1/1/Осина</v>
      </c>
      <c r="AF43" s="115"/>
      <c r="AG43" s="176"/>
      <c r="AH43" s="176"/>
      <c r="AI43" s="176"/>
      <c r="AK43" s="186" t="str">
        <f t="shared" si="4"/>
        <v>//</v>
      </c>
    </row>
    <row r="44" spans="2:38" ht="15.95" customHeight="1" x14ac:dyDescent="0.2">
      <c r="B44" s="179" t="str">
        <f>IF(E44="","",COUNTA($E$10:E44))</f>
        <v/>
      </c>
      <c r="C44" s="157"/>
      <c r="D44" s="113"/>
      <c r="E44" s="113"/>
      <c r="F44" s="113"/>
      <c r="G44" s="157"/>
      <c r="H44" s="113"/>
      <c r="I44" s="157"/>
      <c r="J44" s="187" t="s">
        <v>15</v>
      </c>
      <c r="K44" s="114">
        <f>SUM(K41:K43)</f>
        <v>380.46</v>
      </c>
      <c r="L44" s="114">
        <f t="shared" ref="L44:S44" si="17">SUM(L41:L43)</f>
        <v>450.75</v>
      </c>
      <c r="M44" s="114">
        <f t="shared" si="17"/>
        <v>60.05</v>
      </c>
      <c r="N44" s="114">
        <f t="shared" si="17"/>
        <v>891.26</v>
      </c>
      <c r="O44" s="114">
        <f t="shared" si="17"/>
        <v>712.44</v>
      </c>
      <c r="P44" s="114"/>
      <c r="Q44" s="370">
        <f t="shared" si="17"/>
        <v>1603.6999999999998</v>
      </c>
      <c r="R44" s="114">
        <f t="shared" si="17"/>
        <v>1846.3000000000002</v>
      </c>
      <c r="S44" s="114">
        <f t="shared" si="17"/>
        <v>52214.899999999994</v>
      </c>
      <c r="T44" s="116">
        <f>IF(AE44="",INDEX(Коэффициенты!$B$4:$S$59,MATCH('Ведомость расчета мин. платы'!AC44,Коэффициенты!$O$4:$O$59,0),9),"")</f>
        <v>85110.286999999982</v>
      </c>
      <c r="U44" s="31"/>
      <c r="V44" s="184"/>
      <c r="W44" s="179" t="str">
        <f>IF(B44="",W43,INDEX('Такс. опис.'!$A$5:$BW$50,MATCH(CONCATENATE($C44,"/",$D44,"/",$E44),'Такс. опис.'!$C$5:$C$50,0),48))</f>
        <v>мл</v>
      </c>
      <c r="X44" s="179" t="str">
        <f>IF(B44="",X43,INDEX('Такс. опис.'!$A$5:$BW$50,MATCH(CONCATENATE($C44,"/",$D44,"/",$E44),'Такс. опис.'!$C$5:$C$50,0),26))</f>
        <v>7ОС2ЛП1ДН</v>
      </c>
      <c r="Y44" s="179">
        <f>IF(B44="",Y43,INDEX('Такс. опис.'!$A$5:$BW$50,MATCH(CONCATENATE($C44,"/",$D44,"/",$E44),'Такс. опис.'!$C$5:$C$50,0),49))</f>
        <v>45</v>
      </c>
      <c r="Z44" s="179" t="str">
        <f>IF(C44="",Z43,INDEX('Такс. опис.'!$A$5:$BW$50,MATCH(CONCATENATE($C44,"/",$D44,"/",$E44),'Такс. опис.'!$C$5:$C$50,0),47))</f>
        <v>Осина</v>
      </c>
      <c r="AA44" s="179" t="str">
        <f>IF(D44="","",INDEX('Такс. опис.'!$A$5:$BW$50,MATCH('Ведомость расчета мин. платы'!AC44,'Такс. опис.'!$C$5:$C$50,0),31))</f>
        <v/>
      </c>
      <c r="AB44" s="115"/>
      <c r="AC44" s="47" t="str">
        <f t="shared" si="16"/>
        <v>Вишнево-Полянское/90/1/1</v>
      </c>
      <c r="AD44" s="180">
        <f>INDEX(Периметр!$A$3:$Q$158,MATCH(AC44,Периметр!$A$3:$A$158,0),17)</f>
        <v>2.0299999999999998</v>
      </c>
      <c r="AE44" s="47" t="str">
        <f t="shared" si="15"/>
        <v/>
      </c>
      <c r="AF44" s="115"/>
      <c r="AG44" s="176"/>
      <c r="AH44" s="176"/>
      <c r="AI44" s="176"/>
      <c r="AK44" s="186" t="str">
        <f t="shared" si="4"/>
        <v>//</v>
      </c>
    </row>
    <row r="45" spans="2:38" ht="15.95" customHeight="1" x14ac:dyDescent="0.2">
      <c r="B45" s="179">
        <f>IF(E45="","",COUNTA($E$10:E45))</f>
        <v>10</v>
      </c>
      <c r="C45" s="157" t="s">
        <v>26</v>
      </c>
      <c r="D45" s="113">
        <v>90</v>
      </c>
      <c r="E45" s="113">
        <v>18</v>
      </c>
      <c r="F45" s="113">
        <v>2</v>
      </c>
      <c r="G45" s="157">
        <v>4.9000000000000004</v>
      </c>
      <c r="H45" s="113" t="s">
        <v>2086</v>
      </c>
      <c r="I45" s="157" t="s">
        <v>23</v>
      </c>
      <c r="J45" s="182" t="s">
        <v>17</v>
      </c>
      <c r="K45" s="183">
        <v>4.9000000000000004</v>
      </c>
      <c r="L45" s="183">
        <v>31.01</v>
      </c>
      <c r="M45" s="183">
        <v>14.07</v>
      </c>
      <c r="N45" s="114">
        <f t="shared" si="12"/>
        <v>49.980000000000004</v>
      </c>
      <c r="O45" s="183">
        <v>54.74</v>
      </c>
      <c r="P45" s="183"/>
      <c r="Q45" s="370">
        <f t="shared" si="13"/>
        <v>104.72</v>
      </c>
      <c r="R45" s="183">
        <v>119</v>
      </c>
      <c r="S45" s="121">
        <v>4229.1499999999996</v>
      </c>
      <c r="T45" s="121" t="str">
        <f>IF(AE45="",INDEX(Коэффициенты!$B$4:$S$59,MATCH('Ведомость расчета мин. платы'!AC45,Коэффициенты!$O$4:$O$59,0),9),"")</f>
        <v/>
      </c>
      <c r="U45" s="31" t="s">
        <v>2108</v>
      </c>
      <c r="V45" s="184"/>
      <c r="W45" s="179" t="str">
        <f>IF(B45="",W44,INDEX('Такс. опис.'!$A$5:$BW$50,MATCH(CONCATENATE($C45,"/",$D45,"/",$E45),'Такс. опис.'!$C$5:$C$50,0),48))</f>
        <v>мл</v>
      </c>
      <c r="X45" s="179" t="str">
        <f>IF(B45="",X44,INDEX('Такс. опис.'!$A$5:$BW$50,MATCH(CONCATENATE($C45,"/",$D45,"/",$E45),'Такс. опис.'!$C$5:$C$50,0),26))</f>
        <v>5ОС3ЛП2ДН+Б</v>
      </c>
      <c r="Y45" s="179">
        <f>IF(B45="",Y44,INDEX('Такс. опис.'!$A$5:$BW$50,MATCH(CONCATENATE($C45,"/",$D45,"/",$E45),'Такс. опис.'!$C$5:$C$50,0),49))</f>
        <v>60</v>
      </c>
      <c r="Z45" s="179" t="str">
        <f>IF(C45="",Z44,INDEX('Такс. опис.'!$A$5:$BW$50,MATCH(CONCATENATE($C45,"/",$D45,"/",$E45),'Такс. опис.'!$C$5:$C$50,0),47))</f>
        <v>Осина</v>
      </c>
      <c r="AA45" s="179" t="e">
        <f>IF(D45="","",INDEX('Такс. опис.'!$A$5:$BW$50,MATCH('Ведомость расчета мин. платы'!AC45,'Такс. опис.'!$C$5:$C$50,0),31))</f>
        <v>#N/A</v>
      </c>
      <c r="AB45" s="115"/>
      <c r="AC45" s="47" t="str">
        <f t="shared" si="16"/>
        <v>Вишнево-Полянское/90/18/2</v>
      </c>
      <c r="AD45" s="180">
        <f>INDEX(Периметр!$A$3:$Q$158,MATCH(AC45,Периметр!$A$3:$A$158,0),17)</f>
        <v>1.1100000000000001</v>
      </c>
      <c r="AE45" s="47" t="str">
        <f t="shared" si="15"/>
        <v>Вишнево-Полянское/90/18/2/Береза</v>
      </c>
      <c r="AF45" s="115"/>
      <c r="AG45" s="176"/>
      <c r="AH45" s="176"/>
      <c r="AI45" s="176"/>
      <c r="AK45" s="186" t="str">
        <f t="shared" si="4"/>
        <v>Вишнево-Полянское/90/18</v>
      </c>
      <c r="AL45" s="181">
        <v>1</v>
      </c>
    </row>
    <row r="46" spans="2:38" ht="15.95" customHeight="1" x14ac:dyDescent="0.2">
      <c r="B46" s="179" t="str">
        <f>IF(E46="","",COUNTA($E$10:E46))</f>
        <v/>
      </c>
      <c r="C46" s="157"/>
      <c r="D46" s="113" t="s">
        <v>166</v>
      </c>
      <c r="E46" s="113"/>
      <c r="F46" s="113" t="s">
        <v>166</v>
      </c>
      <c r="G46" s="157" t="s">
        <v>166</v>
      </c>
      <c r="H46" s="113"/>
      <c r="I46" s="157"/>
      <c r="J46" s="182" t="s">
        <v>25</v>
      </c>
      <c r="K46" s="183">
        <v>1.4</v>
      </c>
      <c r="L46" s="183">
        <v>26.11</v>
      </c>
      <c r="M46" s="183">
        <v>6.51</v>
      </c>
      <c r="N46" s="114">
        <f t="shared" si="12"/>
        <v>34.019999999999996</v>
      </c>
      <c r="O46" s="183">
        <v>74.69</v>
      </c>
      <c r="P46" s="183"/>
      <c r="Q46" s="370">
        <f t="shared" si="13"/>
        <v>108.71</v>
      </c>
      <c r="R46" s="183">
        <v>121.45</v>
      </c>
      <c r="S46" s="121">
        <v>22216.38</v>
      </c>
      <c r="T46" s="121" t="str">
        <f>IF(AE46="",INDEX(Коэффициенты!$B$4:$S$59,MATCH('Ведомость расчета мин. платы'!AC46,Коэффициенты!$O$4:$O$59,0),9),"")</f>
        <v/>
      </c>
      <c r="U46" s="31"/>
      <c r="V46" s="184"/>
      <c r="W46" s="179" t="str">
        <f>IF(B46="",W45,INDEX('Такс. опис.'!$A$5:$BW$50,MATCH(CONCATENATE($C46,"/",$D46,"/",$E46),'Такс. опис.'!$C$5:$C$50,0),48))</f>
        <v>мл</v>
      </c>
      <c r="X46" s="179" t="str">
        <f>IF(B46="",X45,INDEX('Такс. опис.'!$A$5:$BW$50,MATCH(CONCATENATE($C46,"/",$D46,"/",$E46),'Такс. опис.'!$C$5:$C$50,0),26))</f>
        <v>5ОС3ЛП2ДН+Б</v>
      </c>
      <c r="Y46" s="179">
        <f>IF(B46="",Y45,INDEX('Такс. опис.'!$A$5:$BW$50,MATCH(CONCATENATE($C46,"/",$D46,"/",$E46),'Такс. опис.'!$C$5:$C$50,0),49))</f>
        <v>60</v>
      </c>
      <c r="Z46" s="179" t="str">
        <f>IF(C46="",Z45,INDEX('Такс. опис.'!$A$5:$BW$50,MATCH(CONCATENATE($C46,"/",$D46,"/",$E46),'Такс. опис.'!$C$5:$C$50,0),47))</f>
        <v>Осина</v>
      </c>
      <c r="AA46" s="179" t="str">
        <f>IF(D46="","",INDEX('Такс. опис.'!$A$5:$BW$50,MATCH('Ведомость расчета мин. платы'!AC46,'Такс. опис.'!$C$5:$C$50,0),31))</f>
        <v/>
      </c>
      <c r="AB46" s="115"/>
      <c r="AC46" s="47" t="str">
        <f t="shared" si="16"/>
        <v>Вишнево-Полянское/90/18/2</v>
      </c>
      <c r="AD46" s="180">
        <f>INDEX(Периметр!$A$3:$Q$158,MATCH(AC46,Периметр!$A$3:$A$158,0),17)</f>
        <v>1.1100000000000001</v>
      </c>
      <c r="AE46" s="47" t="str">
        <f t="shared" si="15"/>
        <v>Вишнево-Полянское/90/18/2/Дуб</v>
      </c>
      <c r="AF46" s="115"/>
      <c r="AG46" s="176"/>
      <c r="AH46" s="176"/>
      <c r="AI46" s="176"/>
      <c r="AK46" s="186" t="str">
        <f t="shared" si="4"/>
        <v>//</v>
      </c>
    </row>
    <row r="47" spans="2:38" ht="15.95" customHeight="1" x14ac:dyDescent="0.2">
      <c r="B47" s="179" t="str">
        <f>IF(E47="","",COUNTA($E$10:E47))</f>
        <v/>
      </c>
      <c r="C47" s="157"/>
      <c r="D47" s="113" t="s">
        <v>166</v>
      </c>
      <c r="E47" s="113"/>
      <c r="F47" s="113" t="s">
        <v>166</v>
      </c>
      <c r="G47" s="157" t="s">
        <v>166</v>
      </c>
      <c r="H47" s="113"/>
      <c r="I47" s="157"/>
      <c r="J47" s="182" t="s">
        <v>19</v>
      </c>
      <c r="K47" s="183">
        <v>9.66</v>
      </c>
      <c r="L47" s="183">
        <v>65.47</v>
      </c>
      <c r="M47" s="183">
        <v>16.14</v>
      </c>
      <c r="N47" s="114">
        <f t="shared" si="12"/>
        <v>91.27</v>
      </c>
      <c r="O47" s="183">
        <v>132.04</v>
      </c>
      <c r="P47" s="183"/>
      <c r="Q47" s="370">
        <f t="shared" si="13"/>
        <v>223.31</v>
      </c>
      <c r="R47" s="183">
        <v>253.68</v>
      </c>
      <c r="S47" s="121">
        <v>4706.92</v>
      </c>
      <c r="T47" s="121" t="str">
        <f>IF(AE47="",INDEX(Коэффициенты!$B$4:$S$59,MATCH('Ведомость расчета мин. платы'!AC47,Коэффициенты!$O$4:$O$59,0),9),"")</f>
        <v/>
      </c>
      <c r="U47" s="31"/>
      <c r="V47" s="184"/>
      <c r="W47" s="179" t="str">
        <f>IF(B47="",W46,INDEX('Такс. опис.'!$A$5:$BW$50,MATCH(CONCATENATE($C47,"/",$D47,"/",$E47),'Такс. опис.'!$C$5:$C$50,0),48))</f>
        <v>мл</v>
      </c>
      <c r="X47" s="179" t="str">
        <f>IF(B47="",X46,INDEX('Такс. опис.'!$A$5:$BW$50,MATCH(CONCATENATE($C47,"/",$D47,"/",$E47),'Такс. опис.'!$C$5:$C$50,0),26))</f>
        <v>5ОС3ЛП2ДН+Б</v>
      </c>
      <c r="Y47" s="179">
        <f>IF(B47="",Y46,INDEX('Такс. опис.'!$A$5:$BW$50,MATCH(CONCATENATE($C47,"/",$D47,"/",$E47),'Такс. опис.'!$C$5:$C$50,0),49))</f>
        <v>60</v>
      </c>
      <c r="Z47" s="179" t="str">
        <f>IF(C47="",Z46,INDEX('Такс. опис.'!$A$5:$BW$50,MATCH(CONCATENATE($C47,"/",$D47,"/",$E47),'Такс. опис.'!$C$5:$C$50,0),47))</f>
        <v>Осина</v>
      </c>
      <c r="AA47" s="179" t="str">
        <f>IF(D47="","",INDEX('Такс. опис.'!$A$5:$BW$50,MATCH('Ведомость расчета мин. платы'!AC47,'Такс. опис.'!$C$5:$C$50,0),31))</f>
        <v/>
      </c>
      <c r="AB47" s="115"/>
      <c r="AC47" s="47" t="str">
        <f t="shared" si="16"/>
        <v>Вишнево-Полянское/90/18/2</v>
      </c>
      <c r="AD47" s="180">
        <f>INDEX(Периметр!$A$3:$Q$158,MATCH(AC47,Периметр!$A$3:$A$158,0),17)</f>
        <v>1.1100000000000001</v>
      </c>
      <c r="AE47" s="47" t="str">
        <f t="shared" si="15"/>
        <v>Вишнево-Полянское/90/18/2/Липа</v>
      </c>
      <c r="AF47" s="115"/>
      <c r="AG47" s="176"/>
      <c r="AH47" s="176"/>
      <c r="AI47" s="176"/>
      <c r="AK47" s="186" t="str">
        <f t="shared" si="4"/>
        <v>//</v>
      </c>
    </row>
    <row r="48" spans="2:38" ht="15.95" customHeight="1" x14ac:dyDescent="0.2">
      <c r="B48" s="179" t="str">
        <f>IF(E48="","",COUNTA($E$10:E48))</f>
        <v/>
      </c>
      <c r="C48" s="157"/>
      <c r="D48" s="113" t="s">
        <v>166</v>
      </c>
      <c r="E48" s="113"/>
      <c r="F48" s="113" t="s">
        <v>166</v>
      </c>
      <c r="G48" s="157" t="s">
        <v>166</v>
      </c>
      <c r="H48" s="113"/>
      <c r="I48" s="157"/>
      <c r="J48" s="182" t="s">
        <v>18</v>
      </c>
      <c r="K48" s="183">
        <v>113.61</v>
      </c>
      <c r="L48" s="183">
        <v>152.25</v>
      </c>
      <c r="M48" s="183">
        <v>7.56</v>
      </c>
      <c r="N48" s="114">
        <f t="shared" si="12"/>
        <v>273.42</v>
      </c>
      <c r="O48" s="183">
        <v>188.51</v>
      </c>
      <c r="P48" s="183"/>
      <c r="Q48" s="370">
        <f t="shared" si="13"/>
        <v>461.93</v>
      </c>
      <c r="R48" s="183">
        <v>536.54999999999995</v>
      </c>
      <c r="S48" s="121">
        <v>5418.75</v>
      </c>
      <c r="T48" s="121" t="str">
        <f>IF(AE48="",INDEX(Коэффициенты!$B$4:$S$59,MATCH('Ведомость расчета мин. платы'!AC48,Коэффициенты!$O$4:$O$59,0),9),"")</f>
        <v/>
      </c>
      <c r="U48" s="31"/>
      <c r="V48" s="184"/>
      <c r="W48" s="179" t="str">
        <f>IF(B48="",W47,INDEX('Такс. опис.'!$A$5:$BW$50,MATCH(CONCATENATE($C48,"/",$D48,"/",$E48),'Такс. опис.'!$C$5:$C$50,0),48))</f>
        <v>мл</v>
      </c>
      <c r="X48" s="179" t="str">
        <f>IF(B48="",X47,INDEX('Такс. опис.'!$A$5:$BW$50,MATCH(CONCATENATE($C48,"/",$D48,"/",$E48),'Такс. опис.'!$C$5:$C$50,0),26))</f>
        <v>5ОС3ЛП2ДН+Б</v>
      </c>
      <c r="Y48" s="179">
        <f>IF(B48="",Y47,INDEX('Такс. опис.'!$A$5:$BW$50,MATCH(CONCATENATE($C48,"/",$D48,"/",$E48),'Такс. опис.'!$C$5:$C$50,0),49))</f>
        <v>60</v>
      </c>
      <c r="Z48" s="179" t="str">
        <f>IF(C48="",Z47,INDEX('Такс. опис.'!$A$5:$BW$50,MATCH(CONCATENATE($C48,"/",$D48,"/",$E48),'Такс. опис.'!$C$5:$C$50,0),47))</f>
        <v>Осина</v>
      </c>
      <c r="AA48" s="179" t="str">
        <f>IF(D48="","",INDEX('Такс. опис.'!$A$5:$BW$50,MATCH('Ведомость расчета мин. платы'!AC48,'Такс. опис.'!$C$5:$C$50,0),31))</f>
        <v/>
      </c>
      <c r="AB48" s="115"/>
      <c r="AC48" s="47" t="str">
        <f t="shared" si="16"/>
        <v>Вишнево-Полянское/90/18/2</v>
      </c>
      <c r="AD48" s="180">
        <f>INDEX(Периметр!$A$3:$Q$158,MATCH(AC48,Периметр!$A$3:$A$158,0),17)</f>
        <v>1.1100000000000001</v>
      </c>
      <c r="AE48" s="47" t="str">
        <f t="shared" si="15"/>
        <v>Вишнево-Полянское/90/18/2/Осина</v>
      </c>
      <c r="AF48" s="115"/>
      <c r="AG48" s="176"/>
      <c r="AH48" s="176"/>
      <c r="AI48" s="176"/>
      <c r="AK48" s="186" t="str">
        <f t="shared" si="4"/>
        <v>//</v>
      </c>
    </row>
    <row r="49" spans="2:38" ht="15.95" customHeight="1" x14ac:dyDescent="0.2">
      <c r="B49" s="179" t="str">
        <f>IF(E49="","",COUNTA($E$10:E49))</f>
        <v/>
      </c>
      <c r="C49" s="157"/>
      <c r="D49" s="113"/>
      <c r="E49" s="113"/>
      <c r="F49" s="113"/>
      <c r="G49" s="157"/>
      <c r="H49" s="113"/>
      <c r="I49" s="157"/>
      <c r="J49" s="187" t="s">
        <v>15</v>
      </c>
      <c r="K49" s="114">
        <f>SUM(K45:K48)</f>
        <v>129.57</v>
      </c>
      <c r="L49" s="114">
        <f t="shared" ref="L49:S49" si="18">SUM(L45:L48)</f>
        <v>274.84000000000003</v>
      </c>
      <c r="M49" s="114">
        <f t="shared" si="18"/>
        <v>44.28</v>
      </c>
      <c r="N49" s="114">
        <f t="shared" si="18"/>
        <v>448.69</v>
      </c>
      <c r="O49" s="114">
        <f t="shared" si="18"/>
        <v>449.98</v>
      </c>
      <c r="P49" s="114"/>
      <c r="Q49" s="370">
        <f t="shared" si="18"/>
        <v>898.67000000000007</v>
      </c>
      <c r="R49" s="114">
        <f t="shared" si="18"/>
        <v>1030.6799999999998</v>
      </c>
      <c r="S49" s="114">
        <f t="shared" si="18"/>
        <v>36571.199999999997</v>
      </c>
      <c r="T49" s="116">
        <f>IF(AE49="",INDEX(Коэффициенты!$B$4:$S$59,MATCH('Ведомость расчета мин. платы'!AC49,Коэффициенты!$O$4:$O$59,0),9),"")</f>
        <v>53393.951999999997</v>
      </c>
      <c r="U49" s="31"/>
      <c r="V49" s="184"/>
      <c r="W49" s="179" t="str">
        <f>IF(B49="",W48,INDEX('Такс. опис.'!$A$5:$BW$50,MATCH(CONCATENATE($C49,"/",$D49,"/",$E49),'Такс. опис.'!$C$5:$C$50,0),48))</f>
        <v>мл</v>
      </c>
      <c r="X49" s="179" t="str">
        <f>IF(B49="",X48,INDEX('Такс. опис.'!$A$5:$BW$50,MATCH(CONCATENATE($C49,"/",$D49,"/",$E49),'Такс. опис.'!$C$5:$C$50,0),26))</f>
        <v>5ОС3ЛП2ДН+Б</v>
      </c>
      <c r="Y49" s="179">
        <f>IF(B49="",Y48,INDEX('Такс. опис.'!$A$5:$BW$50,MATCH(CONCATENATE($C49,"/",$D49,"/",$E49),'Такс. опис.'!$C$5:$C$50,0),49))</f>
        <v>60</v>
      </c>
      <c r="Z49" s="179" t="str">
        <f>IF(C49="",Z48,INDEX('Такс. опис.'!$A$5:$BW$50,MATCH(CONCATENATE($C49,"/",$D49,"/",$E49),'Такс. опис.'!$C$5:$C$50,0),47))</f>
        <v>Осина</v>
      </c>
      <c r="AA49" s="179" t="str">
        <f>IF(D49="","",INDEX('Такс. опис.'!$A$5:$BW$50,MATCH('Ведомость расчета мин. платы'!AC49,'Такс. опис.'!$C$5:$C$50,0),31))</f>
        <v/>
      </c>
      <c r="AB49" s="115"/>
      <c r="AC49" s="47" t="str">
        <f t="shared" si="16"/>
        <v>Вишнево-Полянское/90/18/2</v>
      </c>
      <c r="AD49" s="180">
        <f>INDEX(Периметр!$A$3:$Q$158,MATCH(AC49,Периметр!$A$3:$A$158,0),17)</f>
        <v>1.1100000000000001</v>
      </c>
      <c r="AE49" s="47" t="str">
        <f t="shared" si="15"/>
        <v/>
      </c>
      <c r="AF49" s="115"/>
      <c r="AG49" s="176"/>
      <c r="AH49" s="176"/>
      <c r="AI49" s="176"/>
      <c r="AK49" s="186" t="str">
        <f t="shared" si="4"/>
        <v>//</v>
      </c>
    </row>
    <row r="50" spans="2:38" ht="15.95" customHeight="1" x14ac:dyDescent="0.2">
      <c r="B50" s="179">
        <f>IF(E50="","",COUNTA($E$10:E50))</f>
        <v>11</v>
      </c>
      <c r="C50" s="157" t="s">
        <v>310</v>
      </c>
      <c r="D50" s="113">
        <v>9</v>
      </c>
      <c r="E50" s="113">
        <v>19</v>
      </c>
      <c r="F50" s="113">
        <v>2</v>
      </c>
      <c r="G50" s="157">
        <v>4.8</v>
      </c>
      <c r="H50" s="113" t="s">
        <v>2086</v>
      </c>
      <c r="I50" s="157" t="s">
        <v>23</v>
      </c>
      <c r="J50" s="182" t="s">
        <v>17</v>
      </c>
      <c r="K50" s="183">
        <v>18</v>
      </c>
      <c r="L50" s="183">
        <v>54.48</v>
      </c>
      <c r="M50" s="183">
        <v>2.16</v>
      </c>
      <c r="N50" s="114">
        <f t="shared" si="12"/>
        <v>74.639999999999986</v>
      </c>
      <c r="O50" s="183">
        <v>46.56</v>
      </c>
      <c r="P50" s="183"/>
      <c r="Q50" s="370">
        <f t="shared" si="13"/>
        <v>121.19999999999999</v>
      </c>
      <c r="R50" s="183">
        <v>137.76</v>
      </c>
      <c r="S50" s="121">
        <v>7239.92</v>
      </c>
      <c r="T50" s="121" t="str">
        <f>IF(AE50="",INDEX(Коэффициенты!$B$4:$S$59,MATCH('Ведомость расчета мин. платы'!AC50,Коэффициенты!$O$4:$O$59,0),9),"")</f>
        <v/>
      </c>
      <c r="U50" s="31" t="s">
        <v>2109</v>
      </c>
      <c r="V50" s="184"/>
      <c r="W50" s="179" t="str">
        <f>IF(B50="",#REF!,INDEX('Такс. опис.'!$A$5:$BW$50,MATCH(CONCATENATE($C50,"/",$D50,"/",$E50),'Такс. опис.'!$C$5:$C$50,0),48))</f>
        <v>мл</v>
      </c>
      <c r="X50" s="179" t="str">
        <f>IF(B50="",#REF!,INDEX('Такс. опис.'!$A$5:$BW$50,MATCH(CONCATENATE($C50,"/",$D50,"/",$E50),'Такс. опис.'!$C$5:$C$50,0),26))</f>
        <v>8ОС2Б+ЛП</v>
      </c>
      <c r="Y50" s="179">
        <f>IF(B50="",#REF!,INDEX('Такс. опис.'!$A$5:$BW$50,MATCH(CONCATENATE($C50,"/",$D50,"/",$E50),'Такс. опис.'!$C$5:$C$50,0),49))</f>
        <v>60</v>
      </c>
      <c r="Z50" s="179" t="str">
        <f>IF(C50="",#REF!,INDEX('Такс. опис.'!$A$5:$BW$50,MATCH(CONCATENATE($C50,"/",$D50,"/",$E50),'Такс. опис.'!$C$5:$C$50,0),47))</f>
        <v>Осина</v>
      </c>
      <c r="AA50" s="179" t="e">
        <f>IF(D50="","",INDEX('Такс. опис.'!$A$5:$BW$50,MATCH('Ведомость расчета мин. платы'!AC50,'Такс. опис.'!$C$5:$C$50,0),31))</f>
        <v>#N/A</v>
      </c>
      <c r="AB50" s="115"/>
      <c r="AC50" s="47" t="str">
        <f>IF(B50="",#REF!,CONCATENATE($C50,"/",$D50,"/",$E50,"/",F50))</f>
        <v>Восходское/9/19/2</v>
      </c>
      <c r="AD50" s="180">
        <f>INDEX(Периметр!$A$3:$Q$158,MATCH(AC50,Периметр!$A$3:$A$158,0),17)</f>
        <v>1.1599999999999999</v>
      </c>
      <c r="AE50" s="47" t="str">
        <f t="shared" si="15"/>
        <v>Восходское/9/19/2/Береза</v>
      </c>
      <c r="AF50" s="115"/>
      <c r="AG50" s="176"/>
      <c r="AH50" s="176"/>
      <c r="AI50" s="176"/>
      <c r="AK50" s="186" t="str">
        <f t="shared" si="4"/>
        <v>Восходское/9/19</v>
      </c>
      <c r="AL50" s="181">
        <v>1</v>
      </c>
    </row>
    <row r="51" spans="2:38" ht="15.95" customHeight="1" x14ac:dyDescent="0.2">
      <c r="B51" s="179" t="str">
        <f>IF(E51="","",COUNTA($E$10:E51))</f>
        <v/>
      </c>
      <c r="C51" s="157"/>
      <c r="D51" s="113" t="s">
        <v>166</v>
      </c>
      <c r="E51" s="113"/>
      <c r="F51" s="113" t="s">
        <v>166</v>
      </c>
      <c r="G51" s="157" t="s">
        <v>166</v>
      </c>
      <c r="H51" s="113"/>
      <c r="I51" s="157"/>
      <c r="J51" s="182" t="s">
        <v>19</v>
      </c>
      <c r="K51" s="183"/>
      <c r="L51" s="183">
        <v>6.12</v>
      </c>
      <c r="M51" s="183">
        <v>10.85</v>
      </c>
      <c r="N51" s="114">
        <f t="shared" si="12"/>
        <v>16.97</v>
      </c>
      <c r="O51" s="183">
        <v>24.36</v>
      </c>
      <c r="P51" s="183"/>
      <c r="Q51" s="370">
        <f t="shared" si="13"/>
        <v>41.33</v>
      </c>
      <c r="R51" s="183">
        <v>45.12</v>
      </c>
      <c r="S51" s="121">
        <v>640.66</v>
      </c>
      <c r="T51" s="121" t="str">
        <f>IF(AE51="",INDEX(Коэффициенты!$B$4:$S$59,MATCH('Ведомость расчета мин. платы'!AC51,Коэффициенты!$O$4:$O$59,0),9),"")</f>
        <v/>
      </c>
      <c r="U51" s="31"/>
      <c r="V51" s="184"/>
      <c r="W51" s="179" t="str">
        <f>IF(B51="",W50,INDEX('Такс. опис.'!$A$5:$BW$50,MATCH(CONCATENATE($C51,"/",$D51,"/",$E51),'Такс. опис.'!$C$5:$C$50,0),48))</f>
        <v>мл</v>
      </c>
      <c r="X51" s="179" t="str">
        <f>IF(B51="",X50,INDEX('Такс. опис.'!$A$5:$BW$50,MATCH(CONCATENATE($C51,"/",$D51,"/",$E51),'Такс. опис.'!$C$5:$C$50,0),26))</f>
        <v>8ОС2Б+ЛП</v>
      </c>
      <c r="Y51" s="179">
        <f>IF(B51="",Y50,INDEX('Такс. опис.'!$A$5:$BW$50,MATCH(CONCATENATE($C51,"/",$D51,"/",$E51),'Такс. опис.'!$C$5:$C$50,0),49))</f>
        <v>60</v>
      </c>
      <c r="Z51" s="179" t="str">
        <f>IF(C51="",Z50,INDEX('Такс. опис.'!$A$5:$BW$50,MATCH(CONCATENATE($C51,"/",$D51,"/",$E51),'Такс. опис.'!$C$5:$C$50,0),47))</f>
        <v>Осина</v>
      </c>
      <c r="AA51" s="179" t="str">
        <f>IF(D51="","",INDEX('Такс. опис.'!$A$5:$BW$50,MATCH('Ведомость расчета мин. платы'!AC51,'Такс. опис.'!$C$5:$C$50,0),31))</f>
        <v/>
      </c>
      <c r="AB51" s="115"/>
      <c r="AC51" s="47" t="str">
        <f t="shared" si="16"/>
        <v>Восходское/9/19/2</v>
      </c>
      <c r="AD51" s="180">
        <f>INDEX(Периметр!$A$3:$Q$158,MATCH(AC51,Периметр!$A$3:$A$158,0),17)</f>
        <v>1.1599999999999999</v>
      </c>
      <c r="AE51" s="47" t="str">
        <f t="shared" si="15"/>
        <v>Восходское/9/19/2/Липа</v>
      </c>
      <c r="AF51" s="115"/>
      <c r="AG51" s="176"/>
      <c r="AH51" s="176"/>
      <c r="AI51" s="176"/>
      <c r="AK51" s="186" t="str">
        <f t="shared" si="4"/>
        <v>//</v>
      </c>
    </row>
    <row r="52" spans="2:38" ht="15.95" customHeight="1" x14ac:dyDescent="0.2">
      <c r="B52" s="179" t="str">
        <f>IF(E52="","",COUNTA($E$10:E52))</f>
        <v/>
      </c>
      <c r="C52" s="157"/>
      <c r="D52" s="113" t="s">
        <v>166</v>
      </c>
      <c r="E52" s="113"/>
      <c r="F52" s="113" t="s">
        <v>166</v>
      </c>
      <c r="G52" s="157" t="s">
        <v>166</v>
      </c>
      <c r="H52" s="113"/>
      <c r="I52" s="157"/>
      <c r="J52" s="182" t="s">
        <v>18</v>
      </c>
      <c r="K52" s="183">
        <v>414.48</v>
      </c>
      <c r="L52" s="183">
        <v>97.8</v>
      </c>
      <c r="M52" s="183">
        <v>1.44</v>
      </c>
      <c r="N52" s="114">
        <f t="shared" si="12"/>
        <v>513.72</v>
      </c>
      <c r="O52" s="183">
        <v>344.64</v>
      </c>
      <c r="P52" s="183"/>
      <c r="Q52" s="370">
        <f t="shared" si="13"/>
        <v>858.36</v>
      </c>
      <c r="R52" s="183">
        <v>997.68</v>
      </c>
      <c r="S52" s="121">
        <v>11374.46</v>
      </c>
      <c r="T52" s="121" t="str">
        <f>IF(AE52="",INDEX(Коэффициенты!$B$4:$S$59,MATCH('Ведомость расчета мин. платы'!AC52,Коэффициенты!$O$4:$O$59,0),9),"")</f>
        <v/>
      </c>
      <c r="U52" s="31"/>
      <c r="V52" s="184"/>
      <c r="W52" s="179" t="str">
        <f>IF(B52="",W51,INDEX('Такс. опис.'!$A$5:$BW$50,MATCH(CONCATENATE($C52,"/",$D52,"/",$E52),'Такс. опис.'!$C$5:$C$50,0),48))</f>
        <v>мл</v>
      </c>
      <c r="X52" s="179" t="str">
        <f>IF(B52="",X51,INDEX('Такс. опис.'!$A$5:$BW$50,MATCH(CONCATENATE($C52,"/",$D52,"/",$E52),'Такс. опис.'!$C$5:$C$50,0),26))</f>
        <v>8ОС2Б+ЛП</v>
      </c>
      <c r="Y52" s="179">
        <f>IF(B52="",Y51,INDEX('Такс. опис.'!$A$5:$BW$50,MATCH(CONCATENATE($C52,"/",$D52,"/",$E52),'Такс. опис.'!$C$5:$C$50,0),49))</f>
        <v>60</v>
      </c>
      <c r="Z52" s="179" t="str">
        <f>IF(C52="",Z51,INDEX('Такс. опис.'!$A$5:$BW$50,MATCH(CONCATENATE($C52,"/",$D52,"/",$E52),'Такс. опис.'!$C$5:$C$50,0),47))</f>
        <v>Осина</v>
      </c>
      <c r="AA52" s="179" t="str">
        <f>IF(D52="","",INDEX('Такс. опис.'!$A$5:$BW$50,MATCH('Ведомость расчета мин. платы'!AC52,'Такс. опис.'!$C$5:$C$50,0),31))</f>
        <v/>
      </c>
      <c r="AB52" s="115"/>
      <c r="AC52" s="47" t="str">
        <f t="shared" si="16"/>
        <v>Восходское/9/19/2</v>
      </c>
      <c r="AD52" s="180">
        <f>INDEX(Периметр!$A$3:$Q$158,MATCH(AC52,Периметр!$A$3:$A$158,0),17)</f>
        <v>1.1599999999999999</v>
      </c>
      <c r="AE52" s="47" t="str">
        <f t="shared" si="15"/>
        <v>Восходское/9/19/2/Осина</v>
      </c>
      <c r="AF52" s="115"/>
      <c r="AG52" s="176"/>
      <c r="AH52" s="176"/>
      <c r="AI52" s="176"/>
      <c r="AK52" s="186" t="str">
        <f t="shared" si="4"/>
        <v>//</v>
      </c>
    </row>
    <row r="53" spans="2:38" ht="15.95" customHeight="1" x14ac:dyDescent="0.2">
      <c r="B53" s="179" t="str">
        <f>IF(E53="","",COUNTA($E$10:E53))</f>
        <v/>
      </c>
      <c r="C53" s="157"/>
      <c r="D53" s="113"/>
      <c r="E53" s="113"/>
      <c r="F53" s="113"/>
      <c r="G53" s="157"/>
      <c r="H53" s="113"/>
      <c r="I53" s="157"/>
      <c r="J53" s="187" t="s">
        <v>15</v>
      </c>
      <c r="K53" s="114">
        <f>SUM(K50:K52)</f>
        <v>432.48</v>
      </c>
      <c r="L53" s="114">
        <f t="shared" ref="L53:S53" si="19">SUM(L50:L52)</f>
        <v>158.39999999999998</v>
      </c>
      <c r="M53" s="114">
        <f t="shared" si="19"/>
        <v>14.45</v>
      </c>
      <c r="N53" s="114">
        <f t="shared" si="19"/>
        <v>605.33000000000004</v>
      </c>
      <c r="O53" s="114">
        <f t="shared" si="19"/>
        <v>415.56</v>
      </c>
      <c r="P53" s="114"/>
      <c r="Q53" s="370">
        <f t="shared" si="19"/>
        <v>1020.89</v>
      </c>
      <c r="R53" s="114">
        <f t="shared" si="19"/>
        <v>1180.56</v>
      </c>
      <c r="S53" s="114">
        <f t="shared" si="19"/>
        <v>19255.04</v>
      </c>
      <c r="T53" s="116">
        <f>IF(AE53="",INDEX(Коэффициенты!$B$4:$S$59,MATCH('Ведомость расчета мин. платы'!AC53,Коэффициенты!$O$4:$O$59,0),9),"")</f>
        <v>35814.374400000008</v>
      </c>
      <c r="U53" s="31"/>
      <c r="V53" s="184"/>
      <c r="W53" s="179" t="str">
        <f>IF(B53="",W52,INDEX('Такс. опис.'!$A$5:$BW$50,MATCH(CONCATENATE($C53,"/",$D53,"/",$E53),'Такс. опис.'!$C$5:$C$50,0),48))</f>
        <v>мл</v>
      </c>
      <c r="X53" s="179" t="str">
        <f>IF(B53="",X52,INDEX('Такс. опис.'!$A$5:$BW$50,MATCH(CONCATENATE($C53,"/",$D53,"/",$E53),'Такс. опис.'!$C$5:$C$50,0),26))</f>
        <v>8ОС2Б+ЛП</v>
      </c>
      <c r="Y53" s="179">
        <f>IF(B53="",Y52,INDEX('Такс. опис.'!$A$5:$BW$50,MATCH(CONCATENATE($C53,"/",$D53,"/",$E53),'Такс. опис.'!$C$5:$C$50,0),49))</f>
        <v>60</v>
      </c>
      <c r="Z53" s="179" t="str">
        <f>IF(C53="",Z52,INDEX('Такс. опис.'!$A$5:$BW$50,MATCH(CONCATENATE($C53,"/",$D53,"/",$E53),'Такс. опис.'!$C$5:$C$50,0),47))</f>
        <v>Осина</v>
      </c>
      <c r="AA53" s="179" t="str">
        <f>IF(D53="","",INDEX('Такс. опис.'!$A$5:$BW$50,MATCH('Ведомость расчета мин. платы'!AC53,'Такс. опис.'!$C$5:$C$50,0),31))</f>
        <v/>
      </c>
      <c r="AB53" s="115"/>
      <c r="AC53" s="47" t="str">
        <f t="shared" si="16"/>
        <v>Восходское/9/19/2</v>
      </c>
      <c r="AD53" s="180">
        <f>INDEX(Периметр!$A$3:$Q$158,MATCH(AC53,Периметр!$A$3:$A$158,0),17)</f>
        <v>1.1599999999999999</v>
      </c>
      <c r="AE53" s="47" t="str">
        <f t="shared" si="15"/>
        <v/>
      </c>
      <c r="AF53" s="115"/>
      <c r="AG53" s="176"/>
      <c r="AH53" s="176"/>
      <c r="AI53" s="176"/>
      <c r="AK53" s="186" t="str">
        <f t="shared" si="4"/>
        <v>//</v>
      </c>
    </row>
    <row r="54" spans="2:38" ht="15.95" customHeight="1" x14ac:dyDescent="0.2">
      <c r="B54" s="179">
        <f>IF(E54="","",COUNTA($E$10:E54))</f>
        <v>12</v>
      </c>
      <c r="C54" s="157" t="s">
        <v>310</v>
      </c>
      <c r="D54" s="113">
        <v>24</v>
      </c>
      <c r="E54" s="113">
        <v>1</v>
      </c>
      <c r="F54" s="113">
        <v>1</v>
      </c>
      <c r="G54" s="157">
        <v>6</v>
      </c>
      <c r="H54" s="113" t="s">
        <v>2086</v>
      </c>
      <c r="I54" s="157" t="s">
        <v>23</v>
      </c>
      <c r="J54" s="182" t="s">
        <v>17</v>
      </c>
      <c r="K54" s="183">
        <v>8.4</v>
      </c>
      <c r="L54" s="183">
        <v>34.44</v>
      </c>
      <c r="M54" s="183">
        <v>6.12</v>
      </c>
      <c r="N54" s="114">
        <f t="shared" ref="N54:N85" si="20">SUM(K54:M54)</f>
        <v>48.959999999999994</v>
      </c>
      <c r="O54" s="183">
        <v>47.04</v>
      </c>
      <c r="P54" s="183"/>
      <c r="Q54" s="370">
        <f t="shared" ref="Q54:Q85" si="21">SUM(N54:P54)</f>
        <v>96</v>
      </c>
      <c r="R54" s="183">
        <v>108.96</v>
      </c>
      <c r="S54" s="121">
        <v>4545.7299999999996</v>
      </c>
      <c r="T54" s="121" t="str">
        <f>IF(AE54="",INDEX(Коэффициенты!$B$4:$S$59,MATCH('Ведомость расчета мин. платы'!AC54,Коэффициенты!$O$4:$O$59,0),9),"")</f>
        <v/>
      </c>
      <c r="U54" s="31" t="s">
        <v>2110</v>
      </c>
      <c r="V54" s="184"/>
      <c r="W54" s="179" t="str">
        <f>IF(B54="",W53,INDEX('Такс. опис.'!$A$5:$BW$50,MATCH(CONCATENATE($C54,"/",$D54,"/",$E54),'Такс. опис.'!$C$5:$C$50,0),48))</f>
        <v>мл</v>
      </c>
      <c r="X54" s="179" t="str">
        <f>IF(B54="",X53,INDEX('Такс. опис.'!$A$5:$BW$50,MATCH(CONCATENATE($C54,"/",$D54,"/",$E54),'Такс. опис.'!$C$5:$C$50,0),26))</f>
        <v>9ОС1Б</v>
      </c>
      <c r="Y54" s="179">
        <f>IF(B54="",Y53,INDEX('Такс. опис.'!$A$5:$BW$50,MATCH(CONCATENATE($C54,"/",$D54,"/",$E54),'Такс. опис.'!$C$5:$C$50,0),49))</f>
        <v>45</v>
      </c>
      <c r="Z54" s="179" t="str">
        <f>IF(C54="",Z53,INDEX('Такс. опис.'!$A$5:$BW$50,MATCH(CONCATENATE($C54,"/",$D54,"/",$E54),'Такс. опис.'!$C$5:$C$50,0),47))</f>
        <v>Осина</v>
      </c>
      <c r="AA54" s="179" t="e">
        <f>IF(D54="","",INDEX('Такс. опис.'!$A$5:$BW$50,MATCH('Ведомость расчета мин. платы'!AC54,'Такс. опис.'!$C$5:$C$50,0),31))</f>
        <v>#N/A</v>
      </c>
      <c r="AB54" s="115"/>
      <c r="AC54" s="47" t="str">
        <f t="shared" si="16"/>
        <v>Восходское/24/1/1</v>
      </c>
      <c r="AD54" s="180">
        <f>INDEX(Периметр!$A$3:$Q$158,MATCH(AC54,Периметр!$A$3:$A$158,0),17)</f>
        <v>1.4</v>
      </c>
      <c r="AE54" s="47" t="str">
        <f t="shared" si="15"/>
        <v>Восходское/24/1/1/Береза</v>
      </c>
      <c r="AF54" s="115"/>
      <c r="AG54" s="176"/>
      <c r="AH54" s="176"/>
      <c r="AI54" s="176"/>
      <c r="AK54" s="186" t="str">
        <f t="shared" si="4"/>
        <v>Восходское/24/1</v>
      </c>
      <c r="AL54" s="181">
        <v>1</v>
      </c>
    </row>
    <row r="55" spans="2:38" ht="15.95" customHeight="1" x14ac:dyDescent="0.2">
      <c r="B55" s="179" t="str">
        <f>IF(E55="","",COUNTA($E$10:E55))</f>
        <v/>
      </c>
      <c r="C55" s="157"/>
      <c r="D55" s="113" t="s">
        <v>166</v>
      </c>
      <c r="E55" s="113"/>
      <c r="F55" s="113" t="s">
        <v>166</v>
      </c>
      <c r="G55" s="157" t="s">
        <v>166</v>
      </c>
      <c r="H55" s="113"/>
      <c r="I55" s="157"/>
      <c r="J55" s="182" t="s">
        <v>18</v>
      </c>
      <c r="K55" s="183">
        <v>498.6</v>
      </c>
      <c r="L55" s="183">
        <v>185.76</v>
      </c>
      <c r="M55" s="183">
        <v>4.32</v>
      </c>
      <c r="N55" s="114">
        <f t="shared" si="20"/>
        <v>688.68000000000006</v>
      </c>
      <c r="O55" s="183">
        <v>508.68</v>
      </c>
      <c r="P55" s="183"/>
      <c r="Q55" s="370">
        <f t="shared" si="21"/>
        <v>1197.3600000000001</v>
      </c>
      <c r="R55" s="183">
        <v>1396.44</v>
      </c>
      <c r="S55" s="121">
        <v>14945.29</v>
      </c>
      <c r="T55" s="121" t="str">
        <f>IF(AE55="",INDEX(Коэффициенты!$B$4:$S$59,MATCH('Ведомость расчета мин. платы'!AC55,Коэффициенты!$O$4:$O$59,0),9),"")</f>
        <v/>
      </c>
      <c r="U55" s="31"/>
      <c r="V55" s="184"/>
      <c r="W55" s="179" t="str">
        <f>IF(B55="",W54,INDEX('Такс. опис.'!$A$5:$BW$50,MATCH(CONCATENATE($C55,"/",$D55,"/",$E55),'Такс. опис.'!$C$5:$C$50,0),48))</f>
        <v>мл</v>
      </c>
      <c r="X55" s="179" t="str">
        <f>IF(B55="",X54,INDEX('Такс. опис.'!$A$5:$BW$50,MATCH(CONCATENATE($C55,"/",$D55,"/",$E55),'Такс. опис.'!$C$5:$C$50,0),26))</f>
        <v>9ОС1Б</v>
      </c>
      <c r="Y55" s="179">
        <f>IF(B55="",Y54,INDEX('Такс. опис.'!$A$5:$BW$50,MATCH(CONCATENATE($C55,"/",$D55,"/",$E55),'Такс. опис.'!$C$5:$C$50,0),49))</f>
        <v>45</v>
      </c>
      <c r="Z55" s="179" t="str">
        <f>IF(C55="",Z54,INDEX('Такс. опис.'!$A$5:$BW$50,MATCH(CONCATENATE($C55,"/",$D55,"/",$E55),'Такс. опис.'!$C$5:$C$50,0),47))</f>
        <v>Осина</v>
      </c>
      <c r="AA55" s="179" t="str">
        <f>IF(D55="","",INDEX('Такс. опис.'!$A$5:$BW$50,MATCH('Ведомость расчета мин. платы'!AC55,'Такс. опис.'!$C$5:$C$50,0),31))</f>
        <v/>
      </c>
      <c r="AB55" s="115"/>
      <c r="AC55" s="47" t="str">
        <f t="shared" si="16"/>
        <v>Восходское/24/1/1</v>
      </c>
      <c r="AD55" s="180">
        <f>INDEX(Периметр!$A$3:$Q$158,MATCH(AC55,Периметр!$A$3:$A$158,0),17)</f>
        <v>1.4</v>
      </c>
      <c r="AE55" s="47" t="str">
        <f t="shared" ref="AE55:AE86" si="22">IF(J55="Итого","",CONCATENATE(AC55,"/",J55))</f>
        <v>Восходское/24/1/1/Осина</v>
      </c>
      <c r="AF55" s="115"/>
      <c r="AG55" s="176"/>
      <c r="AH55" s="176"/>
      <c r="AI55" s="176"/>
      <c r="AK55" s="186" t="str">
        <f t="shared" si="4"/>
        <v>//</v>
      </c>
    </row>
    <row r="56" spans="2:38" ht="15.95" customHeight="1" x14ac:dyDescent="0.2">
      <c r="B56" s="179" t="str">
        <f>IF(E56="","",COUNTA($E$10:E56))</f>
        <v/>
      </c>
      <c r="C56" s="157"/>
      <c r="D56" s="113"/>
      <c r="E56" s="113"/>
      <c r="F56" s="113"/>
      <c r="G56" s="157"/>
      <c r="H56" s="113"/>
      <c r="I56" s="157"/>
      <c r="J56" s="187" t="s">
        <v>15</v>
      </c>
      <c r="K56" s="114">
        <f>SUM(K54:K55)</f>
        <v>507</v>
      </c>
      <c r="L56" s="114">
        <f t="shared" ref="L56:S56" si="23">SUM(L54:L55)</f>
        <v>220.2</v>
      </c>
      <c r="M56" s="114">
        <f t="shared" si="23"/>
        <v>10.440000000000001</v>
      </c>
      <c r="N56" s="114">
        <f t="shared" si="23"/>
        <v>737.6400000000001</v>
      </c>
      <c r="O56" s="114">
        <f t="shared" si="23"/>
        <v>555.72</v>
      </c>
      <c r="P56" s="114"/>
      <c r="Q56" s="370">
        <f t="shared" si="23"/>
        <v>1293.3600000000001</v>
      </c>
      <c r="R56" s="114">
        <f t="shared" si="23"/>
        <v>1505.4</v>
      </c>
      <c r="S56" s="114">
        <f t="shared" si="23"/>
        <v>19491.02</v>
      </c>
      <c r="T56" s="116">
        <f>IF(AE56="",INDEX(Коэффициенты!$B$4:$S$59,MATCH('Ведомость расчета мин. платы'!AC56,Коэффициенты!$O$4:$O$59,0),9),"")</f>
        <v>40151.501199999992</v>
      </c>
      <c r="U56" s="31"/>
      <c r="V56" s="184"/>
      <c r="W56" s="179" t="str">
        <f>IF(B56="",W55,INDEX('Такс. опис.'!$A$5:$BW$50,MATCH(CONCATENATE($C56,"/",$D56,"/",$E56),'Такс. опис.'!$C$5:$C$50,0),48))</f>
        <v>мл</v>
      </c>
      <c r="X56" s="179" t="str">
        <f>IF(B56="",X55,INDEX('Такс. опис.'!$A$5:$BW$50,MATCH(CONCATENATE($C56,"/",$D56,"/",$E56),'Такс. опис.'!$C$5:$C$50,0),26))</f>
        <v>9ОС1Б</v>
      </c>
      <c r="Y56" s="179">
        <f>IF(B56="",Y55,INDEX('Такс. опис.'!$A$5:$BW$50,MATCH(CONCATENATE($C56,"/",$D56,"/",$E56),'Такс. опис.'!$C$5:$C$50,0),49))</f>
        <v>45</v>
      </c>
      <c r="Z56" s="179" t="str">
        <f>IF(C56="",Z55,INDEX('Такс. опис.'!$A$5:$BW$50,MATCH(CONCATENATE($C56,"/",$D56,"/",$E56),'Такс. опис.'!$C$5:$C$50,0),47))</f>
        <v>Осина</v>
      </c>
      <c r="AA56" s="179" t="str">
        <f>IF(D56="","",INDEX('Такс. опис.'!$A$5:$BW$50,MATCH('Ведомость расчета мин. платы'!AC56,'Такс. опис.'!$C$5:$C$50,0),31))</f>
        <v/>
      </c>
      <c r="AB56" s="115"/>
      <c r="AC56" s="47" t="str">
        <f t="shared" ref="AC56:AC87" si="24">IF(B56="",AC55,CONCATENATE($C56,"/",$D56,"/",$E56,"/",F56))</f>
        <v>Восходское/24/1/1</v>
      </c>
      <c r="AD56" s="180">
        <f>INDEX(Периметр!$A$3:$Q$158,MATCH(AC56,Периметр!$A$3:$A$158,0),17)</f>
        <v>1.4</v>
      </c>
      <c r="AE56" s="47" t="str">
        <f t="shared" si="22"/>
        <v/>
      </c>
      <c r="AF56" s="115"/>
      <c r="AG56" s="176"/>
      <c r="AH56" s="176"/>
      <c r="AI56" s="176"/>
      <c r="AK56" s="186" t="str">
        <f t="shared" si="4"/>
        <v>//</v>
      </c>
    </row>
    <row r="57" spans="2:38" ht="15.95" customHeight="1" x14ac:dyDescent="0.2">
      <c r="B57" s="179">
        <f>IF(E57="","",COUNTA($E$10:E57))</f>
        <v>13</v>
      </c>
      <c r="C57" s="157" t="s">
        <v>310</v>
      </c>
      <c r="D57" s="113">
        <v>36</v>
      </c>
      <c r="E57" s="113">
        <v>10</v>
      </c>
      <c r="F57" s="113">
        <v>1</v>
      </c>
      <c r="G57" s="157">
        <v>8.5</v>
      </c>
      <c r="H57" s="113" t="s">
        <v>2086</v>
      </c>
      <c r="I57" s="157" t="s">
        <v>23</v>
      </c>
      <c r="J57" s="182" t="s">
        <v>17</v>
      </c>
      <c r="K57" s="183">
        <v>14.57</v>
      </c>
      <c r="L57" s="183">
        <v>59.74</v>
      </c>
      <c r="M57" s="183">
        <v>13.84</v>
      </c>
      <c r="N57" s="114">
        <f t="shared" si="20"/>
        <v>88.15</v>
      </c>
      <c r="O57" s="183">
        <v>73.83</v>
      </c>
      <c r="P57" s="183"/>
      <c r="Q57" s="370">
        <f t="shared" si="21"/>
        <v>161.98000000000002</v>
      </c>
      <c r="R57" s="183">
        <v>183.48</v>
      </c>
      <c r="S57" s="121">
        <v>7971.65</v>
      </c>
      <c r="T57" s="121" t="str">
        <f>IF(AE57="",INDEX(Коэффициенты!$B$4:$S$59,MATCH('Ведомость расчета мин. платы'!AC57,Коэффициенты!$O$4:$O$59,0),9),"")</f>
        <v/>
      </c>
      <c r="U57" s="31" t="s">
        <v>2109</v>
      </c>
      <c r="V57" s="184"/>
      <c r="W57" s="179" t="str">
        <f>IF(B57="",#REF!,INDEX('Такс. опис.'!$A$5:$BW$50,MATCH(CONCATENATE($C57,"/",$D57,"/",$E57),'Такс. опис.'!$C$5:$C$50,0),48))</f>
        <v>мл</v>
      </c>
      <c r="X57" s="179" t="str">
        <f>IF(B57="",#REF!,INDEX('Такс. опис.'!$A$5:$BW$50,MATCH(CONCATENATE($C57,"/",$D57,"/",$E57),'Такс. опис.'!$C$5:$C$50,0),26))</f>
        <v>8ОС2Б+ЛП</v>
      </c>
      <c r="Y57" s="179">
        <f>IF(B57="",#REF!,INDEX('Такс. опис.'!$A$5:$BW$50,MATCH(CONCATENATE($C57,"/",$D57,"/",$E57),'Такс. опис.'!$C$5:$C$50,0),49))</f>
        <v>55</v>
      </c>
      <c r="Z57" s="179" t="str">
        <f>IF(C57="",#REF!,INDEX('Такс. опис.'!$A$5:$BW$50,MATCH(CONCATENATE($C57,"/",$D57,"/",$E57),'Такс. опис.'!$C$5:$C$50,0),47))</f>
        <v>Осина</v>
      </c>
      <c r="AA57" s="179" t="e">
        <f>IF(D57="","",INDEX('Такс. опис.'!$A$5:$BW$50,MATCH('Ведомость расчета мин. платы'!AC57,'Такс. опис.'!$C$5:$C$50,0),31))</f>
        <v>#N/A</v>
      </c>
      <c r="AB57" s="115"/>
      <c r="AC57" s="47" t="str">
        <f>IF(B57="",#REF!,CONCATENATE($C57,"/",$D57,"/",$E57,"/",F57))</f>
        <v>Восходское/36/10/1</v>
      </c>
      <c r="AD57" s="180">
        <f>INDEX(Периметр!$A$3:$Q$158,MATCH(AC57,Периметр!$A$3:$A$158,0),17)</f>
        <v>1.9</v>
      </c>
      <c r="AE57" s="47" t="str">
        <f t="shared" si="22"/>
        <v>Восходское/36/10/1/Береза</v>
      </c>
      <c r="AF57" s="115"/>
      <c r="AG57" s="176"/>
      <c r="AH57" s="176"/>
      <c r="AI57" s="176"/>
      <c r="AK57" s="186" t="str">
        <f t="shared" si="4"/>
        <v>Восходское/36/10</v>
      </c>
      <c r="AL57" s="181">
        <v>1</v>
      </c>
    </row>
    <row r="58" spans="2:38" ht="15.95" customHeight="1" x14ac:dyDescent="0.2">
      <c r="B58" s="179" t="str">
        <f>IF(E58="","",COUNTA($E$10:E58))</f>
        <v/>
      </c>
      <c r="C58" s="157"/>
      <c r="D58" s="113" t="s">
        <v>166</v>
      </c>
      <c r="E58" s="113"/>
      <c r="F58" s="113" t="s">
        <v>166</v>
      </c>
      <c r="G58" s="157" t="s">
        <v>166</v>
      </c>
      <c r="H58" s="113"/>
      <c r="I58" s="157"/>
      <c r="J58" s="182" t="s">
        <v>19</v>
      </c>
      <c r="K58" s="183"/>
      <c r="L58" s="183">
        <v>3.93</v>
      </c>
      <c r="M58" s="183">
        <v>11.83</v>
      </c>
      <c r="N58" s="114">
        <f t="shared" si="20"/>
        <v>15.76</v>
      </c>
      <c r="O58" s="183">
        <v>30.92</v>
      </c>
      <c r="P58" s="183"/>
      <c r="Q58" s="370">
        <f t="shared" si="21"/>
        <v>46.68</v>
      </c>
      <c r="R58" s="183">
        <v>50.76</v>
      </c>
      <c r="S58" s="121">
        <v>562.30999999999995</v>
      </c>
      <c r="T58" s="121" t="str">
        <f>IF(AE58="",INDEX(Коэффициенты!$B$4:$S$59,MATCH('Ведомость расчета мин. платы'!AC58,Коэффициенты!$O$4:$O$59,0),9),"")</f>
        <v/>
      </c>
      <c r="U58" s="31"/>
      <c r="V58" s="184"/>
      <c r="W58" s="179" t="str">
        <f>IF(B58="",W57,INDEX('Такс. опис.'!$A$5:$BW$50,MATCH(CONCATENATE($C58,"/",$D58,"/",$E58),'Такс. опис.'!$C$5:$C$50,0),48))</f>
        <v>мл</v>
      </c>
      <c r="X58" s="179" t="str">
        <f>IF(B58="",X57,INDEX('Такс. опис.'!$A$5:$BW$50,MATCH(CONCATENATE($C58,"/",$D58,"/",$E58),'Такс. опис.'!$C$5:$C$50,0),26))</f>
        <v>8ОС2Б+ЛП</v>
      </c>
      <c r="Y58" s="179">
        <f>IF(B58="",Y57,INDEX('Такс. опис.'!$A$5:$BW$50,MATCH(CONCATENATE($C58,"/",$D58,"/",$E58),'Такс. опис.'!$C$5:$C$50,0),49))</f>
        <v>55</v>
      </c>
      <c r="Z58" s="179" t="str">
        <f>IF(C58="",Z57,INDEX('Такс. опис.'!$A$5:$BW$50,MATCH(CONCATENATE($C58,"/",$D58,"/",$E58),'Такс. опис.'!$C$5:$C$50,0),47))</f>
        <v>Осина</v>
      </c>
      <c r="AA58" s="179" t="str">
        <f>IF(D58="","",INDEX('Такс. опис.'!$A$5:$BW$50,MATCH('Ведомость расчета мин. платы'!AC58,'Такс. опис.'!$C$5:$C$50,0),31))</f>
        <v/>
      </c>
      <c r="AB58" s="115"/>
      <c r="AC58" s="47" t="str">
        <f t="shared" si="24"/>
        <v>Восходское/36/10/1</v>
      </c>
      <c r="AD58" s="180">
        <f>INDEX(Периметр!$A$3:$Q$158,MATCH(AC58,Периметр!$A$3:$A$158,0),17)</f>
        <v>1.9</v>
      </c>
      <c r="AE58" s="47" t="str">
        <f t="shared" si="22"/>
        <v>Восходское/36/10/1/Липа</v>
      </c>
      <c r="AF58" s="115"/>
      <c r="AG58" s="176"/>
      <c r="AH58" s="176"/>
      <c r="AI58" s="176"/>
      <c r="AK58" s="186" t="str">
        <f t="shared" si="4"/>
        <v>//</v>
      </c>
    </row>
    <row r="59" spans="2:38" ht="15.95" customHeight="1" x14ac:dyDescent="0.2">
      <c r="B59" s="179" t="str">
        <f>IF(E59="","",COUNTA($E$10:E59))</f>
        <v/>
      </c>
      <c r="C59" s="157"/>
      <c r="D59" s="113" t="s">
        <v>166</v>
      </c>
      <c r="E59" s="113"/>
      <c r="F59" s="113" t="s">
        <v>166</v>
      </c>
      <c r="G59" s="157" t="s">
        <v>166</v>
      </c>
      <c r="H59" s="113"/>
      <c r="I59" s="157"/>
      <c r="J59" s="182" t="s">
        <v>18</v>
      </c>
      <c r="K59" s="183">
        <v>616.13</v>
      </c>
      <c r="L59" s="183">
        <v>334.78</v>
      </c>
      <c r="M59" s="183">
        <v>9.84</v>
      </c>
      <c r="N59" s="114">
        <f t="shared" si="20"/>
        <v>960.75</v>
      </c>
      <c r="O59" s="183">
        <v>677.93</v>
      </c>
      <c r="P59" s="183"/>
      <c r="Q59" s="370">
        <f t="shared" si="21"/>
        <v>1638.6799999999998</v>
      </c>
      <c r="R59" s="183">
        <v>1907.16</v>
      </c>
      <c r="S59" s="121">
        <v>20368.259999999998</v>
      </c>
      <c r="T59" s="121" t="str">
        <f>IF(AE59="",INDEX(Коэффициенты!$B$4:$S$59,MATCH('Ведомость расчета мин. платы'!AC59,Коэффициенты!$O$4:$O$59,0),9),"")</f>
        <v/>
      </c>
      <c r="U59" s="31"/>
      <c r="V59" s="184"/>
      <c r="W59" s="179" t="str">
        <f>IF(B59="",W58,INDEX('Такс. опис.'!$A$5:$BW$50,MATCH(CONCATENATE($C59,"/",$D59,"/",$E59),'Такс. опис.'!$C$5:$C$50,0),48))</f>
        <v>мл</v>
      </c>
      <c r="X59" s="179" t="str">
        <f>IF(B59="",X58,INDEX('Такс. опис.'!$A$5:$BW$50,MATCH(CONCATENATE($C59,"/",$D59,"/",$E59),'Такс. опис.'!$C$5:$C$50,0),26))</f>
        <v>8ОС2Б+ЛП</v>
      </c>
      <c r="Y59" s="179">
        <f>IF(B59="",Y58,INDEX('Такс. опис.'!$A$5:$BW$50,MATCH(CONCATENATE($C59,"/",$D59,"/",$E59),'Такс. опис.'!$C$5:$C$50,0),49))</f>
        <v>55</v>
      </c>
      <c r="Z59" s="179" t="str">
        <f>IF(C59="",Z58,INDEX('Такс. опис.'!$A$5:$BW$50,MATCH(CONCATENATE($C59,"/",$D59,"/",$E59),'Такс. опис.'!$C$5:$C$50,0),47))</f>
        <v>Осина</v>
      </c>
      <c r="AA59" s="179" t="str">
        <f>IF(D59="","",INDEX('Такс. опис.'!$A$5:$BW$50,MATCH('Ведомость расчета мин. платы'!AC59,'Такс. опис.'!$C$5:$C$50,0),31))</f>
        <v/>
      </c>
      <c r="AB59" s="115"/>
      <c r="AC59" s="47" t="str">
        <f t="shared" si="24"/>
        <v>Восходское/36/10/1</v>
      </c>
      <c r="AD59" s="180">
        <f>INDEX(Периметр!$A$3:$Q$158,MATCH(AC59,Периметр!$A$3:$A$158,0),17)</f>
        <v>1.9</v>
      </c>
      <c r="AE59" s="47" t="str">
        <f t="shared" si="22"/>
        <v>Восходское/36/10/1/Осина</v>
      </c>
      <c r="AF59" s="115"/>
      <c r="AG59" s="176"/>
      <c r="AH59" s="176"/>
      <c r="AI59" s="176"/>
      <c r="AK59" s="186" t="str">
        <f t="shared" si="4"/>
        <v>//</v>
      </c>
    </row>
    <row r="60" spans="2:38" ht="15.95" customHeight="1" x14ac:dyDescent="0.2">
      <c r="B60" s="179" t="str">
        <f>IF(E60="","",COUNTA($E$10:E60))</f>
        <v/>
      </c>
      <c r="C60" s="157"/>
      <c r="D60" s="113"/>
      <c r="E60" s="113"/>
      <c r="F60" s="113"/>
      <c r="G60" s="157"/>
      <c r="H60" s="113"/>
      <c r="I60" s="157"/>
      <c r="J60" s="187" t="s">
        <v>15</v>
      </c>
      <c r="K60" s="114">
        <f>SUM(K57:K59)</f>
        <v>630.70000000000005</v>
      </c>
      <c r="L60" s="114">
        <f t="shared" ref="L60:S60" si="25">SUM(L57:L59)</f>
        <v>398.45</v>
      </c>
      <c r="M60" s="114">
        <f t="shared" si="25"/>
        <v>35.510000000000005</v>
      </c>
      <c r="N60" s="114">
        <f t="shared" si="25"/>
        <v>1064.6600000000001</v>
      </c>
      <c r="O60" s="114">
        <f t="shared" si="25"/>
        <v>782.68</v>
      </c>
      <c r="P60" s="114"/>
      <c r="Q60" s="370">
        <f t="shared" si="25"/>
        <v>1847.34</v>
      </c>
      <c r="R60" s="114">
        <f t="shared" si="25"/>
        <v>2141.4</v>
      </c>
      <c r="S60" s="114">
        <f t="shared" si="25"/>
        <v>28902.219999999998</v>
      </c>
      <c r="T60" s="116">
        <f>IF(AE60="",INDEX(Коэффициенты!$B$4:$S$59,MATCH('Ведомость расчета мин. платы'!AC60,Коэффициенты!$O$4:$O$59,0),9),"")</f>
        <v>58093.462199999987</v>
      </c>
      <c r="U60" s="31"/>
      <c r="V60" s="184"/>
      <c r="W60" s="179" t="str">
        <f>IF(B60="",W59,INDEX('Такс. опис.'!$A$5:$BW$50,MATCH(CONCATENATE($C60,"/",$D60,"/",$E60),'Такс. опис.'!$C$5:$C$50,0),48))</f>
        <v>мл</v>
      </c>
      <c r="X60" s="179" t="str">
        <f>IF(B60="",X59,INDEX('Такс. опис.'!$A$5:$BW$50,MATCH(CONCATENATE($C60,"/",$D60,"/",$E60),'Такс. опис.'!$C$5:$C$50,0),26))</f>
        <v>8ОС2Б+ЛП</v>
      </c>
      <c r="Y60" s="179">
        <f>IF(B60="",Y59,INDEX('Такс. опис.'!$A$5:$BW$50,MATCH(CONCATENATE($C60,"/",$D60,"/",$E60),'Такс. опис.'!$C$5:$C$50,0),49))</f>
        <v>55</v>
      </c>
      <c r="Z60" s="179" t="str">
        <f>IF(C60="",Z59,INDEX('Такс. опис.'!$A$5:$BW$50,MATCH(CONCATENATE($C60,"/",$D60,"/",$E60),'Такс. опис.'!$C$5:$C$50,0),47))</f>
        <v>Осина</v>
      </c>
      <c r="AA60" s="179" t="str">
        <f>IF(D60="","",INDEX('Такс. опис.'!$A$5:$BW$50,MATCH('Ведомость расчета мин. платы'!AC60,'Такс. опис.'!$C$5:$C$50,0),31))</f>
        <v/>
      </c>
      <c r="AB60" s="115"/>
      <c r="AC60" s="47" t="str">
        <f t="shared" si="24"/>
        <v>Восходское/36/10/1</v>
      </c>
      <c r="AD60" s="180">
        <f>INDEX(Периметр!$A$3:$Q$158,MATCH(AC60,Периметр!$A$3:$A$158,0),17)</f>
        <v>1.9</v>
      </c>
      <c r="AE60" s="47" t="str">
        <f t="shared" si="22"/>
        <v/>
      </c>
      <c r="AF60" s="115"/>
      <c r="AG60" s="176"/>
      <c r="AH60" s="176"/>
      <c r="AI60" s="176"/>
      <c r="AK60" s="186" t="str">
        <f t="shared" si="4"/>
        <v>//</v>
      </c>
    </row>
    <row r="61" spans="2:38" ht="15.95" customHeight="1" x14ac:dyDescent="0.2">
      <c r="B61" s="179">
        <f>IF(E61="","",COUNTA($E$10:E61))</f>
        <v>14</v>
      </c>
      <c r="C61" s="157" t="s">
        <v>310</v>
      </c>
      <c r="D61" s="113">
        <v>36</v>
      </c>
      <c r="E61" s="113">
        <v>10</v>
      </c>
      <c r="F61" s="113">
        <v>2</v>
      </c>
      <c r="G61" s="157">
        <v>10</v>
      </c>
      <c r="H61" s="113" t="s">
        <v>2086</v>
      </c>
      <c r="I61" s="157" t="s">
        <v>23</v>
      </c>
      <c r="J61" s="182" t="s">
        <v>17</v>
      </c>
      <c r="K61" s="183">
        <v>16.88</v>
      </c>
      <c r="L61" s="183">
        <v>80.25</v>
      </c>
      <c r="M61" s="183">
        <v>16.13</v>
      </c>
      <c r="N61" s="114">
        <f t="shared" si="20"/>
        <v>113.25999999999999</v>
      </c>
      <c r="O61" s="183">
        <v>81.760000000000005</v>
      </c>
      <c r="P61" s="183"/>
      <c r="Q61" s="370">
        <f t="shared" si="21"/>
        <v>195.01999999999998</v>
      </c>
      <c r="R61" s="183">
        <v>221.5</v>
      </c>
      <c r="S61" s="121">
        <v>10158.91</v>
      </c>
      <c r="T61" s="121" t="str">
        <f>IF(AE61="",INDEX(Коэффициенты!$B$4:$S$59,MATCH('Ведомость расчета мин. платы'!AC61,Коэффициенты!$O$4:$O$59,0),9),"")</f>
        <v/>
      </c>
      <c r="U61" s="31" t="s">
        <v>2109</v>
      </c>
      <c r="V61" s="184"/>
      <c r="W61" s="179" t="str">
        <f>IF(B61="",W60,INDEX('Такс. опис.'!$A$5:$BW$50,MATCH(CONCATENATE($C61,"/",$D61,"/",$E61),'Такс. опис.'!$C$5:$C$50,0),48))</f>
        <v>мл</v>
      </c>
      <c r="X61" s="179" t="str">
        <f>IF(B61="",X60,INDEX('Такс. опис.'!$A$5:$BW$50,MATCH(CONCATENATE($C61,"/",$D61,"/",$E61),'Такс. опис.'!$C$5:$C$50,0),26))</f>
        <v>8ОС2Б+ЛП</v>
      </c>
      <c r="Y61" s="179">
        <f>IF(B61="",Y60,INDEX('Такс. опис.'!$A$5:$BW$50,MATCH(CONCATENATE($C61,"/",$D61,"/",$E61),'Такс. опис.'!$C$5:$C$50,0),49))</f>
        <v>55</v>
      </c>
      <c r="Z61" s="179" t="str">
        <f>IF(C61="",Z60,INDEX('Такс. опис.'!$A$5:$BW$50,MATCH(CONCATENATE($C61,"/",$D61,"/",$E61),'Такс. опис.'!$C$5:$C$50,0),47))</f>
        <v>Осина</v>
      </c>
      <c r="AA61" s="179" t="e">
        <f>IF(D61="","",INDEX('Такс. опис.'!$A$5:$BW$50,MATCH('Ведомость расчета мин. платы'!AC61,'Такс. опис.'!$C$5:$C$50,0),31))</f>
        <v>#N/A</v>
      </c>
      <c r="AB61" s="115"/>
      <c r="AC61" s="47" t="str">
        <f t="shared" si="24"/>
        <v>Восходское/36/10/2</v>
      </c>
      <c r="AD61" s="180">
        <f>INDEX(Периметр!$A$3:$Q$158,MATCH(AC61,Периметр!$A$3:$A$158,0),17)</f>
        <v>2.2000000000000002</v>
      </c>
      <c r="AE61" s="47" t="str">
        <f t="shared" si="22"/>
        <v>Восходское/36/10/2/Береза</v>
      </c>
      <c r="AF61" s="115"/>
      <c r="AG61" s="176"/>
      <c r="AH61" s="176"/>
      <c r="AI61" s="176"/>
      <c r="AK61" s="186" t="str">
        <f t="shared" si="4"/>
        <v>Восходское/36/10</v>
      </c>
      <c r="AL61" s="181">
        <v>1</v>
      </c>
    </row>
    <row r="62" spans="2:38" ht="15.95" customHeight="1" x14ac:dyDescent="0.2">
      <c r="B62" s="179" t="str">
        <f>IF(E62="","",COUNTA($E$10:E62))</f>
        <v/>
      </c>
      <c r="C62" s="157"/>
      <c r="D62" s="113" t="s">
        <v>166</v>
      </c>
      <c r="E62" s="113"/>
      <c r="F62" s="113" t="s">
        <v>166</v>
      </c>
      <c r="G62" s="157" t="s">
        <v>166</v>
      </c>
      <c r="H62" s="113"/>
      <c r="I62" s="157"/>
      <c r="J62" s="182" t="s">
        <v>19</v>
      </c>
      <c r="K62" s="183"/>
      <c r="L62" s="183">
        <v>4.97</v>
      </c>
      <c r="M62" s="183">
        <v>12.49</v>
      </c>
      <c r="N62" s="114">
        <f t="shared" si="20"/>
        <v>17.46</v>
      </c>
      <c r="O62" s="183">
        <v>34.89</v>
      </c>
      <c r="P62" s="183"/>
      <c r="Q62" s="370">
        <f t="shared" si="21"/>
        <v>52.35</v>
      </c>
      <c r="R62" s="183">
        <v>57</v>
      </c>
      <c r="S62" s="121">
        <v>639.52</v>
      </c>
      <c r="T62" s="121" t="str">
        <f>IF(AE62="",INDEX(Коэффициенты!$B$4:$S$59,MATCH('Ведомость расчета мин. платы'!AC62,Коэффициенты!$O$4:$O$59,0),9),"")</f>
        <v/>
      </c>
      <c r="U62" s="31"/>
      <c r="V62" s="184"/>
      <c r="W62" s="179" t="str">
        <f>IF(B62="",W61,INDEX('Такс. опис.'!$A$5:$BW$50,MATCH(CONCATENATE($C62,"/",$D62,"/",$E62),'Такс. опис.'!$C$5:$C$50,0),48))</f>
        <v>мл</v>
      </c>
      <c r="X62" s="179" t="str">
        <f>IF(B62="",X61,INDEX('Такс. опис.'!$A$5:$BW$50,MATCH(CONCATENATE($C62,"/",$D62,"/",$E62),'Такс. опис.'!$C$5:$C$50,0),26))</f>
        <v>8ОС2Б+ЛП</v>
      </c>
      <c r="Y62" s="179">
        <f>IF(B62="",Y61,INDEX('Такс. опис.'!$A$5:$BW$50,MATCH(CONCATENATE($C62,"/",$D62,"/",$E62),'Такс. опис.'!$C$5:$C$50,0),49))</f>
        <v>55</v>
      </c>
      <c r="Z62" s="179" t="str">
        <f>IF(C62="",Z61,INDEX('Такс. опис.'!$A$5:$BW$50,MATCH(CONCATENATE($C62,"/",$D62,"/",$E62),'Такс. опис.'!$C$5:$C$50,0),47))</f>
        <v>Осина</v>
      </c>
      <c r="AA62" s="179" t="str">
        <f>IF(D62="","",INDEX('Такс. опис.'!$A$5:$BW$50,MATCH('Ведомость расчета мин. платы'!AC62,'Такс. опис.'!$C$5:$C$50,0),31))</f>
        <v/>
      </c>
      <c r="AB62" s="115"/>
      <c r="AC62" s="47" t="str">
        <f t="shared" si="24"/>
        <v>Восходское/36/10/2</v>
      </c>
      <c r="AD62" s="180">
        <f>INDEX(Периметр!$A$3:$Q$158,MATCH(AC62,Периметр!$A$3:$A$158,0),17)</f>
        <v>2.2000000000000002</v>
      </c>
      <c r="AE62" s="47" t="str">
        <f t="shared" si="22"/>
        <v>Восходское/36/10/2/Липа</v>
      </c>
      <c r="AF62" s="115"/>
      <c r="AG62" s="176"/>
      <c r="AH62" s="176"/>
      <c r="AI62" s="176"/>
      <c r="AK62" s="186" t="str">
        <f t="shared" si="4"/>
        <v>//</v>
      </c>
    </row>
    <row r="63" spans="2:38" ht="15.95" customHeight="1" x14ac:dyDescent="0.2">
      <c r="B63" s="179" t="str">
        <f>IF(E63="","",COUNTA($E$10:E63))</f>
        <v/>
      </c>
      <c r="C63" s="157"/>
      <c r="D63" s="113" t="s">
        <v>166</v>
      </c>
      <c r="E63" s="113"/>
      <c r="F63" s="113" t="s">
        <v>166</v>
      </c>
      <c r="G63" s="157" t="s">
        <v>166</v>
      </c>
      <c r="H63" s="113"/>
      <c r="I63" s="157"/>
      <c r="J63" s="182" t="s">
        <v>18</v>
      </c>
      <c r="K63" s="183">
        <v>737.25</v>
      </c>
      <c r="L63" s="183">
        <v>384.75</v>
      </c>
      <c r="M63" s="183">
        <v>11.25</v>
      </c>
      <c r="N63" s="114">
        <f t="shared" si="20"/>
        <v>1133.25</v>
      </c>
      <c r="O63" s="183">
        <v>755.51</v>
      </c>
      <c r="P63" s="183"/>
      <c r="Q63" s="370">
        <f t="shared" si="21"/>
        <v>1888.76</v>
      </c>
      <c r="R63" s="183">
        <v>2192.38</v>
      </c>
      <c r="S63" s="121">
        <v>24060.12</v>
      </c>
      <c r="T63" s="121" t="str">
        <f>IF(AE63="",INDEX(Коэффициенты!$B$4:$S$59,MATCH('Ведомость расчета мин. платы'!AC63,Коэффициенты!$O$4:$O$59,0),9),"")</f>
        <v/>
      </c>
      <c r="U63" s="31"/>
      <c r="V63" s="184"/>
      <c r="W63" s="179" t="str">
        <f>IF(B63="",W62,INDEX('Такс. опис.'!$A$5:$BW$50,MATCH(CONCATENATE($C63,"/",$D63,"/",$E63),'Такс. опис.'!$C$5:$C$50,0),48))</f>
        <v>мл</v>
      </c>
      <c r="X63" s="179" t="str">
        <f>IF(B63="",X62,INDEX('Такс. опис.'!$A$5:$BW$50,MATCH(CONCATENATE($C63,"/",$D63,"/",$E63),'Такс. опис.'!$C$5:$C$50,0),26))</f>
        <v>8ОС2Б+ЛП</v>
      </c>
      <c r="Y63" s="179">
        <f>IF(B63="",Y62,INDEX('Такс. опис.'!$A$5:$BW$50,MATCH(CONCATENATE($C63,"/",$D63,"/",$E63),'Такс. опис.'!$C$5:$C$50,0),49))</f>
        <v>55</v>
      </c>
      <c r="Z63" s="179" t="str">
        <f>IF(C63="",Z62,INDEX('Такс. опис.'!$A$5:$BW$50,MATCH(CONCATENATE($C63,"/",$D63,"/",$E63),'Такс. опис.'!$C$5:$C$50,0),47))</f>
        <v>Осина</v>
      </c>
      <c r="AA63" s="179" t="str">
        <f>IF(D63="","",INDEX('Такс. опис.'!$A$5:$BW$50,MATCH('Ведомость расчета мин. платы'!AC63,'Такс. опис.'!$C$5:$C$50,0),31))</f>
        <v/>
      </c>
      <c r="AB63" s="115"/>
      <c r="AC63" s="47" t="str">
        <f t="shared" si="24"/>
        <v>Восходское/36/10/2</v>
      </c>
      <c r="AD63" s="180">
        <f>INDEX(Периметр!$A$3:$Q$158,MATCH(AC63,Периметр!$A$3:$A$158,0),17)</f>
        <v>2.2000000000000002</v>
      </c>
      <c r="AE63" s="47" t="str">
        <f t="shared" si="22"/>
        <v>Восходское/36/10/2/Осина</v>
      </c>
      <c r="AF63" s="115"/>
      <c r="AG63" s="176"/>
      <c r="AH63" s="176"/>
      <c r="AI63" s="176"/>
      <c r="AK63" s="186" t="str">
        <f t="shared" si="4"/>
        <v>//</v>
      </c>
    </row>
    <row r="64" spans="2:38" ht="15.95" customHeight="1" x14ac:dyDescent="0.2">
      <c r="B64" s="179" t="str">
        <f>IF(E64="","",COUNTA($E$10:E64))</f>
        <v/>
      </c>
      <c r="C64" s="157"/>
      <c r="D64" s="113"/>
      <c r="E64" s="113"/>
      <c r="F64" s="113"/>
      <c r="G64" s="157"/>
      <c r="H64" s="113"/>
      <c r="I64" s="157"/>
      <c r="J64" s="187" t="s">
        <v>15</v>
      </c>
      <c r="K64" s="114">
        <f>SUM(K61:K63)</f>
        <v>754.13</v>
      </c>
      <c r="L64" s="114">
        <f t="shared" ref="L64:S64" si="26">SUM(L61:L63)</f>
        <v>469.97</v>
      </c>
      <c r="M64" s="114">
        <f t="shared" si="26"/>
        <v>39.869999999999997</v>
      </c>
      <c r="N64" s="114">
        <f t="shared" si="26"/>
        <v>1263.97</v>
      </c>
      <c r="O64" s="114">
        <f t="shared" si="26"/>
        <v>872.16</v>
      </c>
      <c r="P64" s="114"/>
      <c r="Q64" s="370">
        <f t="shared" si="26"/>
        <v>2136.13</v>
      </c>
      <c r="R64" s="114">
        <f t="shared" si="26"/>
        <v>2470.88</v>
      </c>
      <c r="S64" s="114">
        <f t="shared" si="26"/>
        <v>34858.550000000003</v>
      </c>
      <c r="T64" s="116">
        <f>IF(AE64="",INDEX(Коэффициенты!$B$4:$S$59,MATCH('Ведомость расчета мин. платы'!AC64,Коэффициенты!$O$4:$O$59,0),9),"")</f>
        <v>69368.514500000019</v>
      </c>
      <c r="U64" s="31"/>
      <c r="V64" s="184"/>
      <c r="W64" s="179" t="str">
        <f>IF(B64="",W63,INDEX('Такс. опис.'!$A$5:$BW$50,MATCH(CONCATENATE($C64,"/",$D64,"/",$E64),'Такс. опис.'!$C$5:$C$50,0),48))</f>
        <v>мл</v>
      </c>
      <c r="X64" s="179" t="str">
        <f>IF(B64="",X63,INDEX('Такс. опис.'!$A$5:$BW$50,MATCH(CONCATENATE($C64,"/",$D64,"/",$E64),'Такс. опис.'!$C$5:$C$50,0),26))</f>
        <v>8ОС2Б+ЛП</v>
      </c>
      <c r="Y64" s="179">
        <f>IF(B64="",Y63,INDEX('Такс. опис.'!$A$5:$BW$50,MATCH(CONCATENATE($C64,"/",$D64,"/",$E64),'Такс. опис.'!$C$5:$C$50,0),49))</f>
        <v>55</v>
      </c>
      <c r="Z64" s="179" t="str">
        <f>IF(C64="",Z63,INDEX('Такс. опис.'!$A$5:$BW$50,MATCH(CONCATENATE($C64,"/",$D64,"/",$E64),'Такс. опис.'!$C$5:$C$50,0),47))</f>
        <v>Осина</v>
      </c>
      <c r="AA64" s="179" t="str">
        <f>IF(D64="","",INDEX('Такс. опис.'!$A$5:$BW$50,MATCH('Ведомость расчета мин. платы'!AC64,'Такс. опис.'!$C$5:$C$50,0),31))</f>
        <v/>
      </c>
      <c r="AB64" s="115"/>
      <c r="AC64" s="47" t="str">
        <f t="shared" si="24"/>
        <v>Восходское/36/10/2</v>
      </c>
      <c r="AD64" s="180">
        <f>INDEX(Периметр!$A$3:$Q$158,MATCH(AC64,Периметр!$A$3:$A$158,0),17)</f>
        <v>2.2000000000000002</v>
      </c>
      <c r="AE64" s="47" t="str">
        <f t="shared" si="22"/>
        <v/>
      </c>
      <c r="AF64" s="115"/>
      <c r="AG64" s="176"/>
      <c r="AH64" s="176"/>
      <c r="AI64" s="176"/>
      <c r="AK64" s="186" t="str">
        <f t="shared" si="4"/>
        <v>//</v>
      </c>
    </row>
    <row r="65" spans="2:38" ht="15.95" customHeight="1" x14ac:dyDescent="0.2">
      <c r="B65" s="179">
        <f>IF(E65="","",COUNTA($E$10:E65))</f>
        <v>15</v>
      </c>
      <c r="C65" s="157" t="s">
        <v>310</v>
      </c>
      <c r="D65" s="113">
        <v>40</v>
      </c>
      <c r="E65" s="113">
        <v>7</v>
      </c>
      <c r="F65" s="113">
        <v>1</v>
      </c>
      <c r="G65" s="157">
        <v>3.8</v>
      </c>
      <c r="H65" s="113" t="s">
        <v>2086</v>
      </c>
      <c r="I65" s="157" t="s">
        <v>23</v>
      </c>
      <c r="J65" s="182" t="s">
        <v>17</v>
      </c>
      <c r="K65" s="183">
        <v>32.869999999999997</v>
      </c>
      <c r="L65" s="183">
        <v>46.17</v>
      </c>
      <c r="M65" s="183">
        <v>2.85</v>
      </c>
      <c r="N65" s="114">
        <f t="shared" si="20"/>
        <v>81.889999999999986</v>
      </c>
      <c r="O65" s="183">
        <v>60.71</v>
      </c>
      <c r="P65" s="183"/>
      <c r="Q65" s="370">
        <f t="shared" si="21"/>
        <v>142.6</v>
      </c>
      <c r="R65" s="183">
        <v>162.16999999999999</v>
      </c>
      <c r="S65" s="121">
        <v>8441.9</v>
      </c>
      <c r="T65" s="121" t="str">
        <f>IF(AE65="",INDEX(Коэффициенты!$B$4:$S$59,MATCH('Ведомость расчета мин. платы'!AC65,Коэффициенты!$O$4:$O$59,0),9),"")</f>
        <v/>
      </c>
      <c r="U65" s="31" t="s">
        <v>2054</v>
      </c>
      <c r="V65" s="184"/>
      <c r="W65" s="179" t="str">
        <f>IF(B65="",W64,INDEX('Такс. опис.'!$A$5:$BW$50,MATCH(CONCATENATE($C65,"/",$D65,"/",$E65),'Такс. опис.'!$C$5:$C$50,0),48))</f>
        <v>мл</v>
      </c>
      <c r="X65" s="179" t="str">
        <f>IF(B65="",X64,INDEX('Такс. опис.'!$A$5:$BW$50,MATCH(CONCATENATE($C65,"/",$D65,"/",$E65),'Такс. опис.'!$C$5:$C$50,0),26))</f>
        <v>8ОС2Б</v>
      </c>
      <c r="Y65" s="179">
        <f>IF(B65="",Y64,INDEX('Такс. опис.'!$A$5:$BW$50,MATCH(CONCATENATE($C65,"/",$D65,"/",$E65),'Такс. опис.'!$C$5:$C$50,0),49))</f>
        <v>55</v>
      </c>
      <c r="Z65" s="179" t="str">
        <f>IF(C65="",Z64,INDEX('Такс. опис.'!$A$5:$BW$50,MATCH(CONCATENATE($C65,"/",$D65,"/",$E65),'Такс. опис.'!$C$5:$C$50,0),47))</f>
        <v>Осина</v>
      </c>
      <c r="AA65" s="179" t="e">
        <f>IF(D65="","",INDEX('Такс. опис.'!$A$5:$BW$50,MATCH('Ведомость расчета мин. платы'!AC65,'Такс. опис.'!$C$5:$C$50,0),31))</f>
        <v>#N/A</v>
      </c>
      <c r="AB65" s="115"/>
      <c r="AC65" s="47" t="str">
        <f t="shared" si="24"/>
        <v>Восходское/40/7/1</v>
      </c>
      <c r="AD65" s="180">
        <f>INDEX(Периметр!$A$3:$Q$158,MATCH(AC65,Периметр!$A$3:$A$158,0),17)</f>
        <v>0.96</v>
      </c>
      <c r="AE65" s="47" t="str">
        <f t="shared" si="22"/>
        <v>Восходское/40/7/1/Береза</v>
      </c>
      <c r="AF65" s="115"/>
      <c r="AG65" s="176"/>
      <c r="AH65" s="176"/>
      <c r="AI65" s="176"/>
      <c r="AK65" s="186" t="str">
        <f t="shared" si="4"/>
        <v>Восходское/40/7</v>
      </c>
      <c r="AL65" s="181">
        <v>1</v>
      </c>
    </row>
    <row r="66" spans="2:38" ht="15.95" customHeight="1" x14ac:dyDescent="0.2">
      <c r="B66" s="179" t="str">
        <f>IF(E66="","",COUNTA($E$10:E66))</f>
        <v/>
      </c>
      <c r="C66" s="157"/>
      <c r="D66" s="113" t="s">
        <v>166</v>
      </c>
      <c r="E66" s="113"/>
      <c r="F66" s="113" t="s">
        <v>166</v>
      </c>
      <c r="G66" s="157" t="s">
        <v>166</v>
      </c>
      <c r="H66" s="113"/>
      <c r="I66" s="157"/>
      <c r="J66" s="182" t="s">
        <v>19</v>
      </c>
      <c r="K66" s="183"/>
      <c r="L66" s="183">
        <v>1.26</v>
      </c>
      <c r="M66" s="183">
        <v>2.58</v>
      </c>
      <c r="N66" s="114">
        <f t="shared" si="20"/>
        <v>3.84</v>
      </c>
      <c r="O66" s="183">
        <v>8.09</v>
      </c>
      <c r="P66" s="183"/>
      <c r="Q66" s="370">
        <f t="shared" si="21"/>
        <v>11.93</v>
      </c>
      <c r="R66" s="183">
        <v>13.02</v>
      </c>
      <c r="S66" s="121">
        <v>145.47999999999999</v>
      </c>
      <c r="T66" s="121" t="str">
        <f>IF(AE66="",INDEX(Коэффициенты!$B$4:$S$59,MATCH('Ведомость расчета мин. платы'!AC66,Коэффициенты!$O$4:$O$59,0),9),"")</f>
        <v/>
      </c>
      <c r="U66" s="31"/>
      <c r="V66" s="184"/>
      <c r="W66" s="179" t="str">
        <f>IF(B66="",W65,INDEX('Такс. опис.'!$A$5:$BW$50,MATCH(CONCATENATE($C66,"/",$D66,"/",$E66),'Такс. опис.'!$C$5:$C$50,0),48))</f>
        <v>мл</v>
      </c>
      <c r="X66" s="179" t="str">
        <f>IF(B66="",X65,INDEX('Такс. опис.'!$A$5:$BW$50,MATCH(CONCATENATE($C66,"/",$D66,"/",$E66),'Такс. опис.'!$C$5:$C$50,0),26))</f>
        <v>8ОС2Б</v>
      </c>
      <c r="Y66" s="179">
        <f>IF(B66="",Y65,INDEX('Такс. опис.'!$A$5:$BW$50,MATCH(CONCATENATE($C66,"/",$D66,"/",$E66),'Такс. опис.'!$C$5:$C$50,0),49))</f>
        <v>55</v>
      </c>
      <c r="Z66" s="179" t="str">
        <f>IF(C66="",Z65,INDEX('Такс. опис.'!$A$5:$BW$50,MATCH(CONCATENATE($C66,"/",$D66,"/",$E66),'Такс. опис.'!$C$5:$C$50,0),47))</f>
        <v>Осина</v>
      </c>
      <c r="AA66" s="179" t="str">
        <f>IF(D66="","",INDEX('Такс. опис.'!$A$5:$BW$50,MATCH('Ведомость расчета мин. платы'!AC66,'Такс. опис.'!$C$5:$C$50,0),31))</f>
        <v/>
      </c>
      <c r="AB66" s="115"/>
      <c r="AC66" s="47" t="str">
        <f t="shared" si="24"/>
        <v>Восходское/40/7/1</v>
      </c>
      <c r="AD66" s="180">
        <f>INDEX(Периметр!$A$3:$Q$158,MATCH(AC66,Периметр!$A$3:$A$158,0),17)</f>
        <v>0.96</v>
      </c>
      <c r="AE66" s="47" t="str">
        <f t="shared" si="22"/>
        <v>Восходское/40/7/1/Липа</v>
      </c>
      <c r="AF66" s="115"/>
      <c r="AG66" s="176"/>
      <c r="AH66" s="176"/>
      <c r="AI66" s="176"/>
      <c r="AK66" s="186" t="str">
        <f t="shared" si="4"/>
        <v>//</v>
      </c>
    </row>
    <row r="67" spans="2:38" ht="15.95" customHeight="1" x14ac:dyDescent="0.2">
      <c r="B67" s="179" t="str">
        <f>IF(E67="","",COUNTA($E$10:E67))</f>
        <v/>
      </c>
      <c r="C67" s="157"/>
      <c r="D67" s="113" t="s">
        <v>166</v>
      </c>
      <c r="E67" s="113"/>
      <c r="F67" s="113" t="s">
        <v>166</v>
      </c>
      <c r="G67" s="157" t="s">
        <v>166</v>
      </c>
      <c r="H67" s="113"/>
      <c r="I67" s="157"/>
      <c r="J67" s="182" t="s">
        <v>18</v>
      </c>
      <c r="K67" s="183">
        <v>174.99</v>
      </c>
      <c r="L67" s="183">
        <v>149.72</v>
      </c>
      <c r="M67" s="183">
        <v>3.99</v>
      </c>
      <c r="N67" s="114">
        <f t="shared" si="20"/>
        <v>328.70000000000005</v>
      </c>
      <c r="O67" s="183">
        <v>277.5</v>
      </c>
      <c r="P67" s="183"/>
      <c r="Q67" s="370">
        <f t="shared" si="21"/>
        <v>606.20000000000005</v>
      </c>
      <c r="R67" s="183">
        <v>710.98</v>
      </c>
      <c r="S67" s="121">
        <v>6795.13</v>
      </c>
      <c r="T67" s="121" t="str">
        <f>IF(AE67="",INDEX(Коэффициенты!$B$4:$S$59,MATCH('Ведомость расчета мин. платы'!AC67,Коэффициенты!$O$4:$O$59,0),9),"")</f>
        <v/>
      </c>
      <c r="U67" s="31"/>
      <c r="V67" s="184"/>
      <c r="W67" s="179" t="str">
        <f>IF(B67="",W66,INDEX('Такс. опис.'!$A$5:$BW$50,MATCH(CONCATENATE($C67,"/",$D67,"/",$E67),'Такс. опис.'!$C$5:$C$50,0),48))</f>
        <v>мл</v>
      </c>
      <c r="X67" s="179" t="str">
        <f>IF(B67="",X66,INDEX('Такс. опис.'!$A$5:$BW$50,MATCH(CONCATENATE($C67,"/",$D67,"/",$E67),'Такс. опис.'!$C$5:$C$50,0),26))</f>
        <v>8ОС2Б</v>
      </c>
      <c r="Y67" s="179">
        <f>IF(B67="",Y66,INDEX('Такс. опис.'!$A$5:$BW$50,MATCH(CONCATENATE($C67,"/",$D67,"/",$E67),'Такс. опис.'!$C$5:$C$50,0),49))</f>
        <v>55</v>
      </c>
      <c r="Z67" s="179" t="str">
        <f>IF(C67="",Z66,INDEX('Такс. опис.'!$A$5:$BW$50,MATCH(CONCATENATE($C67,"/",$D67,"/",$E67),'Такс. опис.'!$C$5:$C$50,0),47))</f>
        <v>Осина</v>
      </c>
      <c r="AA67" s="179" t="str">
        <f>IF(D67="","",INDEX('Такс. опис.'!$A$5:$BW$50,MATCH('Ведомость расчета мин. платы'!AC67,'Такс. опис.'!$C$5:$C$50,0),31))</f>
        <v/>
      </c>
      <c r="AB67" s="115"/>
      <c r="AC67" s="47" t="str">
        <f t="shared" si="24"/>
        <v>Восходское/40/7/1</v>
      </c>
      <c r="AD67" s="180">
        <f>INDEX(Периметр!$A$3:$Q$158,MATCH(AC67,Периметр!$A$3:$A$158,0),17)</f>
        <v>0.96</v>
      </c>
      <c r="AE67" s="47" t="str">
        <f t="shared" si="22"/>
        <v>Восходское/40/7/1/Осина</v>
      </c>
      <c r="AF67" s="115"/>
      <c r="AG67" s="176"/>
      <c r="AH67" s="176"/>
      <c r="AI67" s="176"/>
      <c r="AK67" s="186" t="str">
        <f t="shared" si="4"/>
        <v>//</v>
      </c>
    </row>
    <row r="68" spans="2:38" ht="15.95" customHeight="1" x14ac:dyDescent="0.2">
      <c r="B68" s="179" t="str">
        <f>IF(E68="","",COUNTA($E$10:E68))</f>
        <v/>
      </c>
      <c r="C68" s="157"/>
      <c r="D68" s="113"/>
      <c r="E68" s="113"/>
      <c r="F68" s="113"/>
      <c r="G68" s="157"/>
      <c r="H68" s="113"/>
      <c r="I68" s="157"/>
      <c r="J68" s="187" t="s">
        <v>15</v>
      </c>
      <c r="K68" s="114">
        <f>SUM(K65:K67)</f>
        <v>207.86</v>
      </c>
      <c r="L68" s="114">
        <f t="shared" ref="L68:S68" si="27">SUM(L65:L67)</f>
        <v>197.15</v>
      </c>
      <c r="M68" s="114">
        <f t="shared" si="27"/>
        <v>9.42</v>
      </c>
      <c r="N68" s="114">
        <f t="shared" si="27"/>
        <v>414.43000000000006</v>
      </c>
      <c r="O68" s="114">
        <f t="shared" si="27"/>
        <v>346.3</v>
      </c>
      <c r="P68" s="114"/>
      <c r="Q68" s="370">
        <f t="shared" si="27"/>
        <v>760.73</v>
      </c>
      <c r="R68" s="114">
        <f t="shared" si="27"/>
        <v>886.17000000000007</v>
      </c>
      <c r="S68" s="114">
        <f t="shared" si="27"/>
        <v>15382.509999999998</v>
      </c>
      <c r="T68" s="116">
        <f>IF(AE68="",INDEX(Коэффициенты!$B$4:$S$59,MATCH('Ведомость расчета мин. платы'!AC68,Коэффициенты!$O$4:$O$59,0),9),"")</f>
        <v>28611.4686</v>
      </c>
      <c r="U68" s="31"/>
      <c r="V68" s="184"/>
      <c r="W68" s="179" t="str">
        <f>IF(B68="",W67,INDEX('Такс. опис.'!$A$5:$BW$50,MATCH(CONCATENATE($C68,"/",$D68,"/",$E68),'Такс. опис.'!$C$5:$C$50,0),48))</f>
        <v>мл</v>
      </c>
      <c r="X68" s="179" t="str">
        <f>IF(B68="",X67,INDEX('Такс. опис.'!$A$5:$BW$50,MATCH(CONCATENATE($C68,"/",$D68,"/",$E68),'Такс. опис.'!$C$5:$C$50,0),26))</f>
        <v>8ОС2Б</v>
      </c>
      <c r="Y68" s="179">
        <f>IF(B68="",Y67,INDEX('Такс. опис.'!$A$5:$BW$50,MATCH(CONCATENATE($C68,"/",$D68,"/",$E68),'Такс. опис.'!$C$5:$C$50,0),49))</f>
        <v>55</v>
      </c>
      <c r="Z68" s="179" t="str">
        <f>IF(C68="",Z67,INDEX('Такс. опис.'!$A$5:$BW$50,MATCH(CONCATENATE($C68,"/",$D68,"/",$E68),'Такс. опис.'!$C$5:$C$50,0),47))</f>
        <v>Осина</v>
      </c>
      <c r="AA68" s="179" t="str">
        <f>IF(D68="","",INDEX('Такс. опис.'!$A$5:$BW$50,MATCH('Ведомость расчета мин. платы'!AC68,'Такс. опис.'!$C$5:$C$50,0),31))</f>
        <v/>
      </c>
      <c r="AB68" s="115"/>
      <c r="AC68" s="47" t="str">
        <f t="shared" si="24"/>
        <v>Восходское/40/7/1</v>
      </c>
      <c r="AD68" s="180">
        <f>INDEX(Периметр!$A$3:$Q$158,MATCH(AC68,Периметр!$A$3:$A$158,0),17)</f>
        <v>0.96</v>
      </c>
      <c r="AE68" s="47" t="str">
        <f t="shared" si="22"/>
        <v/>
      </c>
      <c r="AF68" s="115"/>
      <c r="AG68" s="176"/>
      <c r="AH68" s="176"/>
      <c r="AI68" s="176"/>
      <c r="AK68" s="186" t="str">
        <f t="shared" si="4"/>
        <v>//</v>
      </c>
    </row>
    <row r="69" spans="2:38" ht="15.95" customHeight="1" x14ac:dyDescent="0.2">
      <c r="B69" s="179">
        <f>IF(E69="","",COUNTA($E$10:E69))</f>
        <v>16</v>
      </c>
      <c r="C69" s="157" t="s">
        <v>310</v>
      </c>
      <c r="D69" s="113">
        <v>41</v>
      </c>
      <c r="E69" s="113">
        <v>7</v>
      </c>
      <c r="F69" s="113">
        <v>1</v>
      </c>
      <c r="G69" s="157">
        <v>7.2</v>
      </c>
      <c r="H69" s="113" t="s">
        <v>2086</v>
      </c>
      <c r="I69" s="157" t="s">
        <v>23</v>
      </c>
      <c r="J69" s="182" t="s">
        <v>17</v>
      </c>
      <c r="K69" s="183">
        <v>16.8</v>
      </c>
      <c r="L69" s="183">
        <v>34.56</v>
      </c>
      <c r="M69" s="183">
        <v>7.2</v>
      </c>
      <c r="N69" s="114">
        <f t="shared" si="20"/>
        <v>58.56</v>
      </c>
      <c r="O69" s="183">
        <v>43.2</v>
      </c>
      <c r="P69" s="183"/>
      <c r="Q69" s="370">
        <f t="shared" si="21"/>
        <v>101.76</v>
      </c>
      <c r="R69" s="183">
        <v>115.68</v>
      </c>
      <c r="S69" s="121">
        <v>5585.81</v>
      </c>
      <c r="T69" s="121" t="str">
        <f>IF(AE69="",INDEX(Коэффициенты!$B$4:$S$59,MATCH('Ведомость расчета мин. платы'!AC69,Коэффициенты!$O$4:$O$59,0),9),"")</f>
        <v/>
      </c>
      <c r="U69" s="31" t="s">
        <v>2111</v>
      </c>
      <c r="V69" s="184"/>
      <c r="W69" s="179" t="str">
        <f>IF(B69="",#REF!,INDEX('Такс. опис.'!$A$5:$BW$50,MATCH(CONCATENATE($C69,"/",$D69,"/",$E69),'Такс. опис.'!$C$5:$C$50,0),48))</f>
        <v>мл</v>
      </c>
      <c r="X69" s="179" t="str">
        <f>IF(B69="",#REF!,INDEX('Такс. опис.'!$A$5:$BW$50,MATCH(CONCATENATE($C69,"/",$D69,"/",$E69),'Такс. опис.'!$C$5:$C$50,0),26))</f>
        <v>9ОС1Б+ЛП</v>
      </c>
      <c r="Y69" s="179">
        <f>IF(B69="",#REF!,INDEX('Такс. опис.'!$A$5:$BW$50,MATCH(CONCATENATE($C69,"/",$D69,"/",$E69),'Такс. опис.'!$C$5:$C$50,0),49))</f>
        <v>50</v>
      </c>
      <c r="Z69" s="179" t="str">
        <f>IF(C69="",#REF!,INDEX('Такс. опис.'!$A$5:$BW$50,MATCH(CONCATENATE($C69,"/",$D69,"/",$E69),'Такс. опис.'!$C$5:$C$50,0),47))</f>
        <v>Осина</v>
      </c>
      <c r="AA69" s="179" t="e">
        <f>IF(D69="","",INDEX('Такс. опис.'!$A$5:$BW$50,MATCH('Ведомость расчета мин. платы'!AC69,'Такс. опис.'!$C$5:$C$50,0),31))</f>
        <v>#N/A</v>
      </c>
      <c r="AB69" s="115"/>
      <c r="AC69" s="47" t="str">
        <f>IF(B69="",#REF!,CONCATENATE($C69,"/",$D69,"/",$E69,"/",F69))</f>
        <v>Восходское/41/7/1</v>
      </c>
      <c r="AD69" s="180">
        <f>INDEX(Периметр!$A$3:$Q$158,MATCH(AC69,Периметр!$A$3:$A$158,0),17)</f>
        <v>1.64</v>
      </c>
      <c r="AE69" s="47" t="str">
        <f t="shared" si="22"/>
        <v>Восходское/41/7/1/Береза</v>
      </c>
      <c r="AF69" s="115"/>
      <c r="AG69" s="176"/>
      <c r="AH69" s="176"/>
      <c r="AI69" s="176"/>
      <c r="AK69" s="186" t="str">
        <f t="shared" si="4"/>
        <v>Восходское/41/7</v>
      </c>
      <c r="AL69" s="181">
        <v>1</v>
      </c>
    </row>
    <row r="70" spans="2:38" ht="15.95" customHeight="1" x14ac:dyDescent="0.2">
      <c r="B70" s="179" t="str">
        <f>IF(E70="","",COUNTA($E$10:E70))</f>
        <v/>
      </c>
      <c r="C70" s="157"/>
      <c r="D70" s="113" t="s">
        <v>166</v>
      </c>
      <c r="E70" s="113"/>
      <c r="F70" s="113" t="s">
        <v>166</v>
      </c>
      <c r="G70" s="157" t="s">
        <v>166</v>
      </c>
      <c r="H70" s="113"/>
      <c r="I70" s="157"/>
      <c r="J70" s="182" t="s">
        <v>19</v>
      </c>
      <c r="K70" s="183"/>
      <c r="L70" s="183">
        <v>9.7899999999999991</v>
      </c>
      <c r="M70" s="183">
        <v>7.68</v>
      </c>
      <c r="N70" s="114">
        <f t="shared" si="20"/>
        <v>17.47</v>
      </c>
      <c r="O70" s="183">
        <v>19.21</v>
      </c>
      <c r="P70" s="183"/>
      <c r="Q70" s="370">
        <f t="shared" si="21"/>
        <v>36.68</v>
      </c>
      <c r="R70" s="183">
        <v>40.200000000000003</v>
      </c>
      <c r="S70" s="121">
        <v>739.79</v>
      </c>
      <c r="T70" s="121" t="str">
        <f>IF(AE70="",INDEX(Коэффициенты!$B$4:$S$59,MATCH('Ведомость расчета мин. платы'!AC70,Коэффициенты!$O$4:$O$59,0),9),"")</f>
        <v/>
      </c>
      <c r="U70" s="31"/>
      <c r="V70" s="184"/>
      <c r="W70" s="179" t="str">
        <f>IF(B70="",W69,INDEX('Такс. опис.'!$A$5:$BW$50,MATCH(CONCATENATE($C70,"/",$D70,"/",$E70),'Такс. опис.'!$C$5:$C$50,0),48))</f>
        <v>мл</v>
      </c>
      <c r="X70" s="179" t="str">
        <f>IF(B70="",X69,INDEX('Такс. опис.'!$A$5:$BW$50,MATCH(CONCATENATE($C70,"/",$D70,"/",$E70),'Такс. опис.'!$C$5:$C$50,0),26))</f>
        <v>9ОС1Б+ЛП</v>
      </c>
      <c r="Y70" s="179">
        <f>IF(B70="",Y69,INDEX('Такс. опис.'!$A$5:$BW$50,MATCH(CONCATENATE($C70,"/",$D70,"/",$E70),'Такс. опис.'!$C$5:$C$50,0),49))</f>
        <v>50</v>
      </c>
      <c r="Z70" s="179" t="str">
        <f>IF(C70="",Z69,INDEX('Такс. опис.'!$A$5:$BW$50,MATCH(CONCATENATE($C70,"/",$D70,"/",$E70),'Такс. опис.'!$C$5:$C$50,0),47))</f>
        <v>Осина</v>
      </c>
      <c r="AA70" s="179" t="str">
        <f>IF(D70="","",INDEX('Такс. опис.'!$A$5:$BW$50,MATCH('Ведомость расчета мин. платы'!AC70,'Такс. опис.'!$C$5:$C$50,0),31))</f>
        <v/>
      </c>
      <c r="AB70" s="115"/>
      <c r="AC70" s="47" t="str">
        <f t="shared" si="24"/>
        <v>Восходское/41/7/1</v>
      </c>
      <c r="AD70" s="180">
        <f>INDEX(Периметр!$A$3:$Q$158,MATCH(AC70,Периметр!$A$3:$A$158,0),17)</f>
        <v>1.64</v>
      </c>
      <c r="AE70" s="47" t="str">
        <f t="shared" si="22"/>
        <v>Восходское/41/7/1/Липа</v>
      </c>
      <c r="AF70" s="115"/>
      <c r="AG70" s="176"/>
      <c r="AH70" s="176"/>
      <c r="AI70" s="176"/>
      <c r="AK70" s="186" t="str">
        <f t="shared" si="4"/>
        <v>//</v>
      </c>
    </row>
    <row r="71" spans="2:38" ht="15.95" customHeight="1" x14ac:dyDescent="0.2">
      <c r="B71" s="179" t="str">
        <f>IF(E71="","",COUNTA($E$10:E71))</f>
        <v/>
      </c>
      <c r="C71" s="157"/>
      <c r="D71" s="113" t="s">
        <v>166</v>
      </c>
      <c r="E71" s="113"/>
      <c r="F71" s="113" t="s">
        <v>166</v>
      </c>
      <c r="G71" s="157" t="s">
        <v>166</v>
      </c>
      <c r="H71" s="113"/>
      <c r="I71" s="157"/>
      <c r="J71" s="182" t="s">
        <v>18</v>
      </c>
      <c r="K71" s="183">
        <v>482.52</v>
      </c>
      <c r="L71" s="183">
        <v>160.68</v>
      </c>
      <c r="M71" s="183">
        <v>5.76</v>
      </c>
      <c r="N71" s="114">
        <f t="shared" si="20"/>
        <v>648.96</v>
      </c>
      <c r="O71" s="183">
        <v>485.28</v>
      </c>
      <c r="P71" s="183"/>
      <c r="Q71" s="370">
        <f t="shared" si="21"/>
        <v>1134.24</v>
      </c>
      <c r="R71" s="183">
        <v>1322.88</v>
      </c>
      <c r="S71" s="121">
        <v>14140.96</v>
      </c>
      <c r="T71" s="121" t="str">
        <f>IF(AE71="",INDEX(Коэффициенты!$B$4:$S$59,MATCH('Ведомость расчета мин. платы'!AC71,Коэффициенты!$O$4:$O$59,0),9),"")</f>
        <v/>
      </c>
      <c r="U71" s="31"/>
      <c r="V71" s="184"/>
      <c r="W71" s="179" t="str">
        <f>IF(B71="",W70,INDEX('Такс. опис.'!$A$5:$BW$50,MATCH(CONCATENATE($C71,"/",$D71,"/",$E71),'Такс. опис.'!$C$5:$C$50,0),48))</f>
        <v>мл</v>
      </c>
      <c r="X71" s="179" t="str">
        <f>IF(B71="",X70,INDEX('Такс. опис.'!$A$5:$BW$50,MATCH(CONCATENATE($C71,"/",$D71,"/",$E71),'Такс. опис.'!$C$5:$C$50,0),26))</f>
        <v>9ОС1Б+ЛП</v>
      </c>
      <c r="Y71" s="179">
        <f>IF(B71="",Y70,INDEX('Такс. опис.'!$A$5:$BW$50,MATCH(CONCATENATE($C71,"/",$D71,"/",$E71),'Такс. опис.'!$C$5:$C$50,0),49))</f>
        <v>50</v>
      </c>
      <c r="Z71" s="179" t="str">
        <f>IF(C71="",Z70,INDEX('Такс. опис.'!$A$5:$BW$50,MATCH(CONCATENATE($C71,"/",$D71,"/",$E71),'Такс. опис.'!$C$5:$C$50,0),47))</f>
        <v>Осина</v>
      </c>
      <c r="AA71" s="179" t="str">
        <f>IF(D71="","",INDEX('Такс. опис.'!$A$5:$BW$50,MATCH('Ведомость расчета мин. платы'!AC71,'Такс. опис.'!$C$5:$C$50,0),31))</f>
        <v/>
      </c>
      <c r="AB71" s="115"/>
      <c r="AC71" s="47" t="str">
        <f t="shared" si="24"/>
        <v>Восходское/41/7/1</v>
      </c>
      <c r="AD71" s="180">
        <f>INDEX(Периметр!$A$3:$Q$158,MATCH(AC71,Периметр!$A$3:$A$158,0),17)</f>
        <v>1.64</v>
      </c>
      <c r="AE71" s="47" t="str">
        <f t="shared" si="22"/>
        <v>Восходское/41/7/1/Осина</v>
      </c>
      <c r="AF71" s="115"/>
      <c r="AG71" s="176"/>
      <c r="AH71" s="176"/>
      <c r="AI71" s="176"/>
      <c r="AK71" s="186" t="str">
        <f t="shared" si="4"/>
        <v>//</v>
      </c>
    </row>
    <row r="72" spans="2:38" ht="15.95" customHeight="1" x14ac:dyDescent="0.2">
      <c r="B72" s="179" t="str">
        <f>IF(E72="","",COUNTA($E$10:E72))</f>
        <v/>
      </c>
      <c r="C72" s="157"/>
      <c r="D72" s="113"/>
      <c r="E72" s="113"/>
      <c r="F72" s="113"/>
      <c r="G72" s="157"/>
      <c r="H72" s="113"/>
      <c r="I72" s="157"/>
      <c r="J72" s="187" t="s">
        <v>15</v>
      </c>
      <c r="K72" s="114">
        <f>SUM(K69:K71)</f>
        <v>499.32</v>
      </c>
      <c r="L72" s="114">
        <f t="shared" ref="L72:S72" si="28">SUM(L69:L71)</f>
        <v>205.03</v>
      </c>
      <c r="M72" s="114">
        <f t="shared" si="28"/>
        <v>20.64</v>
      </c>
      <c r="N72" s="114">
        <f t="shared" si="28"/>
        <v>724.99</v>
      </c>
      <c r="O72" s="114">
        <f t="shared" si="28"/>
        <v>547.68999999999994</v>
      </c>
      <c r="P72" s="114"/>
      <c r="Q72" s="370">
        <f t="shared" si="28"/>
        <v>1272.68</v>
      </c>
      <c r="R72" s="114">
        <f t="shared" si="28"/>
        <v>1478.7600000000002</v>
      </c>
      <c r="S72" s="114">
        <f t="shared" si="28"/>
        <v>20466.559999999998</v>
      </c>
      <c r="T72" s="116">
        <f>IF(AE72="",INDEX(Коэффициенты!$B$4:$S$59,MATCH('Ведомость расчета мин. платы'!AC72,Коэффициенты!$O$4:$O$59,0),9),"")</f>
        <v>45026.432000000001</v>
      </c>
      <c r="U72" s="31"/>
      <c r="V72" s="184"/>
      <c r="W72" s="179" t="str">
        <f>IF(B72="",W71,INDEX('Такс. опис.'!$A$5:$BW$50,MATCH(CONCATENATE($C72,"/",$D72,"/",$E72),'Такс. опис.'!$C$5:$C$50,0),48))</f>
        <v>мл</v>
      </c>
      <c r="X72" s="179" t="str">
        <f>IF(B72="",X71,INDEX('Такс. опис.'!$A$5:$BW$50,MATCH(CONCATENATE($C72,"/",$D72,"/",$E72),'Такс. опис.'!$C$5:$C$50,0),26))</f>
        <v>9ОС1Б+ЛП</v>
      </c>
      <c r="Y72" s="179">
        <f>IF(B72="",Y71,INDEX('Такс. опис.'!$A$5:$BW$50,MATCH(CONCATENATE($C72,"/",$D72,"/",$E72),'Такс. опис.'!$C$5:$C$50,0),49))</f>
        <v>50</v>
      </c>
      <c r="Z72" s="179" t="str">
        <f>IF(C72="",Z71,INDEX('Такс. опис.'!$A$5:$BW$50,MATCH(CONCATENATE($C72,"/",$D72,"/",$E72),'Такс. опис.'!$C$5:$C$50,0),47))</f>
        <v>Осина</v>
      </c>
      <c r="AA72" s="179" t="str">
        <f>IF(D72="","",INDEX('Такс. опис.'!$A$5:$BW$50,MATCH('Ведомость расчета мин. платы'!AC72,'Такс. опис.'!$C$5:$C$50,0),31))</f>
        <v/>
      </c>
      <c r="AB72" s="115"/>
      <c r="AC72" s="47" t="str">
        <f t="shared" si="24"/>
        <v>Восходское/41/7/1</v>
      </c>
      <c r="AD72" s="180">
        <f>INDEX(Периметр!$A$3:$Q$158,MATCH(AC72,Периметр!$A$3:$A$158,0),17)</f>
        <v>1.64</v>
      </c>
      <c r="AE72" s="47" t="str">
        <f t="shared" si="22"/>
        <v/>
      </c>
      <c r="AF72" s="115"/>
      <c r="AG72" s="176"/>
      <c r="AH72" s="176"/>
      <c r="AI72" s="176"/>
      <c r="AK72" s="186" t="str">
        <f t="shared" si="4"/>
        <v>//</v>
      </c>
    </row>
    <row r="73" spans="2:38" ht="15.95" customHeight="1" x14ac:dyDescent="0.2">
      <c r="B73" s="179">
        <f>IF(E73="","",COUNTA($E$10:E73))</f>
        <v>17</v>
      </c>
      <c r="C73" s="157" t="s">
        <v>310</v>
      </c>
      <c r="D73" s="113">
        <v>42</v>
      </c>
      <c r="E73" s="113">
        <v>10</v>
      </c>
      <c r="F73" s="113">
        <v>1</v>
      </c>
      <c r="G73" s="157">
        <v>4.2</v>
      </c>
      <c r="H73" s="113" t="s">
        <v>2086</v>
      </c>
      <c r="I73" s="157" t="s">
        <v>23</v>
      </c>
      <c r="J73" s="182" t="s">
        <v>17</v>
      </c>
      <c r="K73" s="183">
        <v>15.23</v>
      </c>
      <c r="L73" s="183">
        <v>30.45</v>
      </c>
      <c r="M73" s="183">
        <v>4.0999999999999996</v>
      </c>
      <c r="N73" s="114">
        <f t="shared" si="20"/>
        <v>49.78</v>
      </c>
      <c r="O73" s="183">
        <v>48.21</v>
      </c>
      <c r="P73" s="183"/>
      <c r="Q73" s="370">
        <f t="shared" si="21"/>
        <v>97.990000000000009</v>
      </c>
      <c r="R73" s="183">
        <v>111.2</v>
      </c>
      <c r="S73" s="121">
        <v>4945.1099999999997</v>
      </c>
      <c r="T73" s="121" t="str">
        <f>IF(AE73="",INDEX(Коэффициенты!$B$4:$S$59,MATCH('Ведомость расчета мин. платы'!AC73,Коэффициенты!$O$4:$O$59,0),9),"")</f>
        <v/>
      </c>
      <c r="U73" s="31" t="s">
        <v>2111</v>
      </c>
      <c r="V73" s="184"/>
      <c r="W73" s="179" t="str">
        <f>IF(B73="",W72,INDEX('Такс. опис.'!$A$5:$BW$50,MATCH(CONCATENATE($C73,"/",$D73,"/",$E73),'Такс. опис.'!$C$5:$C$50,0),48))</f>
        <v>мл</v>
      </c>
      <c r="X73" s="179" t="str">
        <f>IF(B73="",X72,INDEX('Такс. опис.'!$A$5:$BW$50,MATCH(CONCATENATE($C73,"/",$D73,"/",$E73),'Такс. опис.'!$C$5:$C$50,0),26))</f>
        <v>9ОС1Б+ЛП</v>
      </c>
      <c r="Y73" s="179">
        <f>IF(B73="",Y72,INDEX('Такс. опис.'!$A$5:$BW$50,MATCH(CONCATENATE($C73,"/",$D73,"/",$E73),'Такс. опис.'!$C$5:$C$50,0),49))</f>
        <v>50</v>
      </c>
      <c r="Z73" s="179" t="str">
        <f>IF(C73="",Z72,INDEX('Такс. опис.'!$A$5:$BW$50,MATCH(CONCATENATE($C73,"/",$D73,"/",$E73),'Такс. опис.'!$C$5:$C$50,0),47))</f>
        <v>Осина</v>
      </c>
      <c r="AA73" s="179" t="e">
        <f>IF(D73="","",INDEX('Такс. опис.'!$A$5:$BW$50,MATCH('Ведомость расчета мин. платы'!AC73,'Такс. опис.'!$C$5:$C$50,0),31))</f>
        <v>#N/A</v>
      </c>
      <c r="AB73" s="115"/>
      <c r="AC73" s="47" t="str">
        <f t="shared" si="24"/>
        <v>Восходское/42/10/1</v>
      </c>
      <c r="AD73" s="180">
        <f>INDEX(Периметр!$A$3:$Q$158,MATCH(AC73,Периметр!$A$3:$A$158,0),17)</f>
        <v>1.04</v>
      </c>
      <c r="AE73" s="47" t="str">
        <f t="shared" si="22"/>
        <v>Восходское/42/10/1/Береза</v>
      </c>
      <c r="AF73" s="115"/>
      <c r="AG73" s="176"/>
      <c r="AH73" s="176"/>
      <c r="AI73" s="176"/>
      <c r="AK73" s="186" t="str">
        <f t="shared" si="4"/>
        <v>Восходское/42/10</v>
      </c>
      <c r="AL73" s="181">
        <v>1</v>
      </c>
    </row>
    <row r="74" spans="2:38" ht="15.95" customHeight="1" x14ac:dyDescent="0.2">
      <c r="B74" s="179" t="str">
        <f>IF(E74="","",COUNTA($E$10:E74))</f>
        <v/>
      </c>
      <c r="C74" s="157"/>
      <c r="D74" s="113" t="s">
        <v>166</v>
      </c>
      <c r="E74" s="113"/>
      <c r="F74" s="113" t="s">
        <v>166</v>
      </c>
      <c r="G74" s="157" t="s">
        <v>166</v>
      </c>
      <c r="H74" s="113"/>
      <c r="I74" s="157"/>
      <c r="J74" s="182" t="s">
        <v>19</v>
      </c>
      <c r="K74" s="183"/>
      <c r="L74" s="183">
        <v>2.17</v>
      </c>
      <c r="M74" s="183">
        <v>3.12</v>
      </c>
      <c r="N74" s="114">
        <f t="shared" si="20"/>
        <v>5.29</v>
      </c>
      <c r="O74" s="183">
        <v>9.61</v>
      </c>
      <c r="P74" s="183"/>
      <c r="Q74" s="370">
        <f t="shared" si="21"/>
        <v>14.899999999999999</v>
      </c>
      <c r="R74" s="183">
        <v>16.28</v>
      </c>
      <c r="S74" s="121">
        <v>209.26</v>
      </c>
      <c r="T74" s="121" t="str">
        <f>IF(AE74="",INDEX(Коэффициенты!$B$4:$S$59,MATCH('Ведомость расчета мин. платы'!AC74,Коэффициенты!$O$4:$O$59,0),9),"")</f>
        <v/>
      </c>
      <c r="U74" s="31"/>
      <c r="V74" s="184"/>
      <c r="W74" s="179" t="str">
        <f>IF(B74="",W73,INDEX('Такс. опис.'!$A$5:$BW$50,MATCH(CONCATENATE($C74,"/",$D74,"/",$E74),'Такс. опис.'!$C$5:$C$50,0),48))</f>
        <v>мл</v>
      </c>
      <c r="X74" s="179" t="str">
        <f>IF(B74="",X73,INDEX('Такс. опис.'!$A$5:$BW$50,MATCH(CONCATENATE($C74,"/",$D74,"/",$E74),'Такс. опис.'!$C$5:$C$50,0),26))</f>
        <v>9ОС1Б+ЛП</v>
      </c>
      <c r="Y74" s="179">
        <f>IF(B74="",Y73,INDEX('Такс. опис.'!$A$5:$BW$50,MATCH(CONCATENATE($C74,"/",$D74,"/",$E74),'Такс. опис.'!$C$5:$C$50,0),49))</f>
        <v>50</v>
      </c>
      <c r="Z74" s="179" t="str">
        <f>IF(C74="",Z73,INDEX('Такс. опис.'!$A$5:$BW$50,MATCH(CONCATENATE($C74,"/",$D74,"/",$E74),'Такс. опис.'!$C$5:$C$50,0),47))</f>
        <v>Осина</v>
      </c>
      <c r="AA74" s="179" t="str">
        <f>IF(D74="","",INDEX('Такс. опис.'!$A$5:$BW$50,MATCH('Ведомость расчета мин. платы'!AC74,'Такс. опис.'!$C$5:$C$50,0),31))</f>
        <v/>
      </c>
      <c r="AB74" s="115"/>
      <c r="AC74" s="47" t="str">
        <f t="shared" si="24"/>
        <v>Восходское/42/10/1</v>
      </c>
      <c r="AD74" s="180">
        <f>INDEX(Периметр!$A$3:$Q$158,MATCH(AC74,Периметр!$A$3:$A$158,0),17)</f>
        <v>1.04</v>
      </c>
      <c r="AE74" s="47" t="str">
        <f t="shared" si="22"/>
        <v>Восходское/42/10/1/Липа</v>
      </c>
      <c r="AF74" s="115"/>
      <c r="AG74" s="176"/>
      <c r="AH74" s="176"/>
      <c r="AI74" s="176"/>
      <c r="AK74" s="186" t="str">
        <f t="shared" si="4"/>
        <v>//</v>
      </c>
    </row>
    <row r="75" spans="2:38" ht="15.95" customHeight="1" x14ac:dyDescent="0.2">
      <c r="B75" s="179" t="str">
        <f>IF(E75="","",COUNTA($E$10:E75))</f>
        <v/>
      </c>
      <c r="C75" s="157"/>
      <c r="D75" s="113" t="s">
        <v>166</v>
      </c>
      <c r="E75" s="113"/>
      <c r="F75" s="113" t="s">
        <v>166</v>
      </c>
      <c r="G75" s="157" t="s">
        <v>166</v>
      </c>
      <c r="H75" s="113"/>
      <c r="I75" s="157"/>
      <c r="J75" s="182" t="s">
        <v>18</v>
      </c>
      <c r="K75" s="183">
        <v>262.29000000000002</v>
      </c>
      <c r="L75" s="183">
        <v>120.02</v>
      </c>
      <c r="M75" s="183">
        <v>3.15</v>
      </c>
      <c r="N75" s="114">
        <f t="shared" si="20"/>
        <v>385.46</v>
      </c>
      <c r="O75" s="183">
        <v>281.93</v>
      </c>
      <c r="P75" s="183"/>
      <c r="Q75" s="370">
        <f t="shared" si="21"/>
        <v>667.39</v>
      </c>
      <c r="R75" s="183">
        <v>777.63</v>
      </c>
      <c r="S75" s="121">
        <v>8266.2099999999991</v>
      </c>
      <c r="T75" s="121" t="str">
        <f>IF(AE75="",INDEX(Коэффициенты!$B$4:$S$59,MATCH('Ведомость расчета мин. платы'!AC75,Коэффициенты!$O$4:$O$59,0),9),"")</f>
        <v/>
      </c>
      <c r="U75" s="31"/>
      <c r="V75" s="184"/>
      <c r="W75" s="179" t="str">
        <f>IF(B75="",W74,INDEX('Такс. опис.'!$A$5:$BW$50,MATCH(CONCATENATE($C75,"/",$D75,"/",$E75),'Такс. опис.'!$C$5:$C$50,0),48))</f>
        <v>мл</v>
      </c>
      <c r="X75" s="179" t="str">
        <f>IF(B75="",X74,INDEX('Такс. опис.'!$A$5:$BW$50,MATCH(CONCATENATE($C75,"/",$D75,"/",$E75),'Такс. опис.'!$C$5:$C$50,0),26))</f>
        <v>9ОС1Б+ЛП</v>
      </c>
      <c r="Y75" s="179">
        <f>IF(B75="",Y74,INDEX('Такс. опис.'!$A$5:$BW$50,MATCH(CONCATENATE($C75,"/",$D75,"/",$E75),'Такс. опис.'!$C$5:$C$50,0),49))</f>
        <v>50</v>
      </c>
      <c r="Z75" s="179" t="str">
        <f>IF(C75="",Z74,INDEX('Такс. опис.'!$A$5:$BW$50,MATCH(CONCATENATE($C75,"/",$D75,"/",$E75),'Такс. опис.'!$C$5:$C$50,0),47))</f>
        <v>Осина</v>
      </c>
      <c r="AA75" s="179" t="str">
        <f>IF(D75="","",INDEX('Такс. опис.'!$A$5:$BW$50,MATCH('Ведомость расчета мин. платы'!AC75,'Такс. опис.'!$C$5:$C$50,0),31))</f>
        <v/>
      </c>
      <c r="AB75" s="115"/>
      <c r="AC75" s="47" t="str">
        <f t="shared" si="24"/>
        <v>Восходское/42/10/1</v>
      </c>
      <c r="AD75" s="180">
        <f>INDEX(Периметр!$A$3:$Q$158,MATCH(AC75,Периметр!$A$3:$A$158,0),17)</f>
        <v>1.04</v>
      </c>
      <c r="AE75" s="47" t="str">
        <f t="shared" si="22"/>
        <v>Восходское/42/10/1/Осина</v>
      </c>
      <c r="AF75" s="115"/>
      <c r="AG75" s="176"/>
      <c r="AH75" s="176"/>
      <c r="AI75" s="176"/>
      <c r="AK75" s="186" t="str">
        <f t="shared" ref="AK75:AK138" si="29">CONCATENATE($C75,"/",$D75,"/",$E75)</f>
        <v>//</v>
      </c>
    </row>
    <row r="76" spans="2:38" ht="15.95" customHeight="1" x14ac:dyDescent="0.2">
      <c r="B76" s="179" t="str">
        <f>IF(E76="","",COUNTA($E$10:E76))</f>
        <v/>
      </c>
      <c r="C76" s="157"/>
      <c r="D76" s="113"/>
      <c r="E76" s="113"/>
      <c r="F76" s="113"/>
      <c r="G76" s="157"/>
      <c r="H76" s="113"/>
      <c r="I76" s="157"/>
      <c r="J76" s="187" t="s">
        <v>15</v>
      </c>
      <c r="K76" s="114">
        <f>SUM(K73:K75)</f>
        <v>277.52000000000004</v>
      </c>
      <c r="L76" s="114">
        <f t="shared" ref="L76:S76" si="30">SUM(L73:L75)</f>
        <v>152.63999999999999</v>
      </c>
      <c r="M76" s="114">
        <f t="shared" si="30"/>
        <v>10.37</v>
      </c>
      <c r="N76" s="114">
        <f t="shared" si="30"/>
        <v>440.53</v>
      </c>
      <c r="O76" s="114">
        <f t="shared" si="30"/>
        <v>339.75</v>
      </c>
      <c r="P76" s="114"/>
      <c r="Q76" s="370">
        <f t="shared" si="30"/>
        <v>780.28</v>
      </c>
      <c r="R76" s="114">
        <f t="shared" si="30"/>
        <v>905.11</v>
      </c>
      <c r="S76" s="114">
        <f t="shared" si="30"/>
        <v>13420.579999999998</v>
      </c>
      <c r="T76" s="116">
        <f>IF(AE76="",INDEX(Коэффициенты!$B$4:$S$59,MATCH('Ведомость расчета мин. платы'!AC76,Коэффициенты!$O$4:$O$59,0),9),"")</f>
        <v>27780.600600000002</v>
      </c>
      <c r="U76" s="31"/>
      <c r="V76" s="184"/>
      <c r="W76" s="179" t="str">
        <f>IF(B76="",W75,INDEX('Такс. опис.'!$A$5:$BW$50,MATCH(CONCATENATE($C76,"/",$D76,"/",$E76),'Такс. опис.'!$C$5:$C$50,0),48))</f>
        <v>мл</v>
      </c>
      <c r="X76" s="179" t="str">
        <f>IF(B76="",X75,INDEX('Такс. опис.'!$A$5:$BW$50,MATCH(CONCATENATE($C76,"/",$D76,"/",$E76),'Такс. опис.'!$C$5:$C$50,0),26))</f>
        <v>9ОС1Б+ЛП</v>
      </c>
      <c r="Y76" s="179">
        <f>IF(B76="",Y75,INDEX('Такс. опис.'!$A$5:$BW$50,MATCH(CONCATENATE($C76,"/",$D76,"/",$E76),'Такс. опис.'!$C$5:$C$50,0),49))</f>
        <v>50</v>
      </c>
      <c r="Z76" s="179" t="str">
        <f>IF(C76="",Z75,INDEX('Такс. опис.'!$A$5:$BW$50,MATCH(CONCATENATE($C76,"/",$D76,"/",$E76),'Такс. опис.'!$C$5:$C$50,0),47))</f>
        <v>Осина</v>
      </c>
      <c r="AA76" s="179" t="str">
        <f>IF(D76="","",INDEX('Такс. опис.'!$A$5:$BW$50,MATCH('Ведомость расчета мин. платы'!AC76,'Такс. опис.'!$C$5:$C$50,0),31))</f>
        <v/>
      </c>
      <c r="AB76" s="115"/>
      <c r="AC76" s="47" t="str">
        <f t="shared" si="24"/>
        <v>Восходское/42/10/1</v>
      </c>
      <c r="AD76" s="180">
        <f>INDEX(Периметр!$A$3:$Q$158,MATCH(AC76,Периметр!$A$3:$A$158,0),17)</f>
        <v>1.04</v>
      </c>
      <c r="AE76" s="47" t="str">
        <f t="shared" si="22"/>
        <v/>
      </c>
      <c r="AF76" s="115"/>
      <c r="AG76" s="176"/>
      <c r="AH76" s="176"/>
      <c r="AI76" s="176"/>
      <c r="AK76" s="186" t="str">
        <f t="shared" si="29"/>
        <v>//</v>
      </c>
    </row>
    <row r="77" spans="2:38" ht="15.95" customHeight="1" x14ac:dyDescent="0.2">
      <c r="B77" s="179">
        <f>IF(E77="","",COUNTA($E$10:E77))</f>
        <v>18</v>
      </c>
      <c r="C77" s="157" t="s">
        <v>310</v>
      </c>
      <c r="D77" s="113">
        <v>42</v>
      </c>
      <c r="E77" s="113">
        <v>12</v>
      </c>
      <c r="F77" s="113">
        <v>2</v>
      </c>
      <c r="G77" s="157">
        <v>4</v>
      </c>
      <c r="H77" s="113" t="s">
        <v>2086</v>
      </c>
      <c r="I77" s="157" t="s">
        <v>23</v>
      </c>
      <c r="J77" s="182" t="s">
        <v>17</v>
      </c>
      <c r="K77" s="183">
        <v>23.5</v>
      </c>
      <c r="L77" s="183">
        <v>45.9</v>
      </c>
      <c r="M77" s="183">
        <v>3</v>
      </c>
      <c r="N77" s="114">
        <f t="shared" si="20"/>
        <v>72.400000000000006</v>
      </c>
      <c r="O77" s="183">
        <v>71.099999999999994</v>
      </c>
      <c r="P77" s="183"/>
      <c r="Q77" s="370">
        <f t="shared" si="21"/>
        <v>143.5</v>
      </c>
      <c r="R77" s="183">
        <v>162.80000000000001</v>
      </c>
      <c r="S77" s="121">
        <v>7370.67</v>
      </c>
      <c r="T77" s="121" t="str">
        <f>IF(AE77="",INDEX(Коэффициенты!$B$4:$S$59,MATCH('Ведомость расчета мин. платы'!AC77,Коэффициенты!$O$4:$O$59,0),9),"")</f>
        <v/>
      </c>
      <c r="U77" s="31" t="s">
        <v>2111</v>
      </c>
      <c r="V77" s="184"/>
      <c r="W77" s="179" t="str">
        <f>IF(B77="",W76,INDEX('Такс. опис.'!$A$5:$BW$50,MATCH(CONCATENATE($C77,"/",$D77,"/",$E77),'Такс. опис.'!$C$5:$C$50,0),48))</f>
        <v>мл</v>
      </c>
      <c r="X77" s="179" t="str">
        <f>IF(B77="",X76,INDEX('Такс. опис.'!$A$5:$BW$50,MATCH(CONCATENATE($C77,"/",$D77,"/",$E77),'Такс. опис.'!$C$5:$C$50,0),26))</f>
        <v>8ОС2Б+ЛП</v>
      </c>
      <c r="Y77" s="179">
        <f>IF(B77="",Y76,INDEX('Такс. опис.'!$A$5:$BW$50,MATCH(CONCATENATE($C77,"/",$D77,"/",$E77),'Такс. опис.'!$C$5:$C$50,0),49))</f>
        <v>55</v>
      </c>
      <c r="Z77" s="179" t="str">
        <f>IF(C77="",Z76,INDEX('Такс. опис.'!$A$5:$BW$50,MATCH(CONCATENATE($C77,"/",$D77,"/",$E77),'Такс. опис.'!$C$5:$C$50,0),47))</f>
        <v>Осина</v>
      </c>
      <c r="AA77" s="179" t="e">
        <f>IF(D77="","",INDEX('Такс. опис.'!$A$5:$BW$50,MATCH('Ведомость расчета мин. платы'!AC77,'Такс. опис.'!$C$5:$C$50,0),31))</f>
        <v>#N/A</v>
      </c>
      <c r="AB77" s="115"/>
      <c r="AC77" s="47" t="str">
        <f t="shared" si="24"/>
        <v>Восходское/42/12/2</v>
      </c>
      <c r="AD77" s="180">
        <f>INDEX(Периметр!$A$3:$Q$158,MATCH(AC77,Периметр!$A$3:$A$158,0),17)</f>
        <v>1</v>
      </c>
      <c r="AE77" s="47" t="str">
        <f t="shared" si="22"/>
        <v>Восходское/42/12/2/Береза</v>
      </c>
      <c r="AF77" s="115"/>
      <c r="AG77" s="176"/>
      <c r="AH77" s="176"/>
      <c r="AI77" s="176"/>
      <c r="AK77" s="186" t="str">
        <f>CONCATENATE($C77,"/",$D77,"/",$E77)</f>
        <v>Восходское/42/12</v>
      </c>
      <c r="AL77" s="181">
        <v>1</v>
      </c>
    </row>
    <row r="78" spans="2:38" ht="15.95" customHeight="1" x14ac:dyDescent="0.2">
      <c r="B78" s="179" t="str">
        <f>IF(E78="","",COUNTA($E$10:E78))</f>
        <v/>
      </c>
      <c r="C78" s="157"/>
      <c r="D78" s="113" t="s">
        <v>166</v>
      </c>
      <c r="E78" s="113"/>
      <c r="F78" s="113" t="s">
        <v>166</v>
      </c>
      <c r="G78" s="157" t="s">
        <v>166</v>
      </c>
      <c r="H78" s="113"/>
      <c r="I78" s="157"/>
      <c r="J78" s="182" t="s">
        <v>19</v>
      </c>
      <c r="K78" s="183"/>
      <c r="L78" s="183">
        <v>6.58</v>
      </c>
      <c r="M78" s="183">
        <v>9.85</v>
      </c>
      <c r="N78" s="114">
        <f t="shared" si="20"/>
        <v>16.43</v>
      </c>
      <c r="O78" s="183">
        <v>34.46</v>
      </c>
      <c r="P78" s="183"/>
      <c r="Q78" s="370">
        <f t="shared" si="21"/>
        <v>50.89</v>
      </c>
      <c r="R78" s="183">
        <v>55.5</v>
      </c>
      <c r="S78" s="121">
        <v>652.47</v>
      </c>
      <c r="T78" s="121" t="str">
        <f>IF(AE78="",INDEX(Коэффициенты!$B$4:$S$59,MATCH('Ведомость расчета мин. платы'!AC78,Коэффициенты!$O$4:$O$59,0),9),"")</f>
        <v/>
      </c>
      <c r="U78" s="31"/>
      <c r="V78" s="184"/>
      <c r="W78" s="179" t="str">
        <f>IF(B78="",W77,INDEX('Такс. опис.'!$A$5:$BW$50,MATCH(CONCATENATE($C78,"/",$D78,"/",$E78),'Такс. опис.'!$C$5:$C$50,0),48))</f>
        <v>мл</v>
      </c>
      <c r="X78" s="179" t="str">
        <f>IF(B78="",X77,INDEX('Такс. опис.'!$A$5:$BW$50,MATCH(CONCATENATE($C78,"/",$D78,"/",$E78),'Такс. опис.'!$C$5:$C$50,0),26))</f>
        <v>8ОС2Б+ЛП</v>
      </c>
      <c r="Y78" s="179">
        <f>IF(B78="",Y77,INDEX('Такс. опис.'!$A$5:$BW$50,MATCH(CONCATENATE($C78,"/",$D78,"/",$E78),'Такс. опис.'!$C$5:$C$50,0),49))</f>
        <v>55</v>
      </c>
      <c r="Z78" s="179" t="str">
        <f>IF(C78="",Z77,INDEX('Такс. опис.'!$A$5:$BW$50,MATCH(CONCATENATE($C78,"/",$D78,"/",$E78),'Такс. опис.'!$C$5:$C$50,0),47))</f>
        <v>Осина</v>
      </c>
      <c r="AA78" s="179" t="str">
        <f>IF(D78="","",INDEX('Такс. опис.'!$A$5:$BW$50,MATCH('Ведомость расчета мин. платы'!AC78,'Такс. опис.'!$C$5:$C$50,0),31))</f>
        <v/>
      </c>
      <c r="AB78" s="115"/>
      <c r="AC78" s="47" t="str">
        <f t="shared" si="24"/>
        <v>Восходское/42/12/2</v>
      </c>
      <c r="AD78" s="180">
        <f>INDEX(Периметр!$A$3:$Q$158,MATCH(AC78,Периметр!$A$3:$A$158,0),17)</f>
        <v>1</v>
      </c>
      <c r="AE78" s="47" t="str">
        <f t="shared" si="22"/>
        <v>Восходское/42/12/2/Липа</v>
      </c>
      <c r="AF78" s="115"/>
      <c r="AG78" s="176"/>
      <c r="AH78" s="176"/>
      <c r="AI78" s="176"/>
      <c r="AK78" s="186" t="str">
        <f t="shared" si="29"/>
        <v>//</v>
      </c>
    </row>
    <row r="79" spans="2:38" ht="15.95" customHeight="1" x14ac:dyDescent="0.2">
      <c r="B79" s="179" t="str">
        <f>IF(E79="","",COUNTA($E$10:E79))</f>
        <v/>
      </c>
      <c r="C79" s="157"/>
      <c r="D79" s="113" t="s">
        <v>166</v>
      </c>
      <c r="E79" s="113"/>
      <c r="F79" s="113" t="s">
        <v>166</v>
      </c>
      <c r="G79" s="157" t="s">
        <v>166</v>
      </c>
      <c r="H79" s="113"/>
      <c r="I79" s="157"/>
      <c r="J79" s="182" t="s">
        <v>18</v>
      </c>
      <c r="K79" s="183">
        <v>131.69999999999999</v>
      </c>
      <c r="L79" s="183">
        <v>185.8</v>
      </c>
      <c r="M79" s="183">
        <v>5.7</v>
      </c>
      <c r="N79" s="114">
        <f t="shared" si="20"/>
        <v>323.2</v>
      </c>
      <c r="O79" s="183">
        <v>320.5</v>
      </c>
      <c r="P79" s="183"/>
      <c r="Q79" s="370">
        <f t="shared" si="21"/>
        <v>643.70000000000005</v>
      </c>
      <c r="R79" s="183">
        <v>759.6</v>
      </c>
      <c r="S79" s="121">
        <v>6474.63</v>
      </c>
      <c r="T79" s="121" t="str">
        <f>IF(AE79="",INDEX(Коэффициенты!$B$4:$S$59,MATCH('Ведомость расчета мин. платы'!AC79,Коэффициенты!$O$4:$O$59,0),9),"")</f>
        <v/>
      </c>
      <c r="U79" s="31"/>
      <c r="V79" s="184"/>
      <c r="W79" s="179" t="str">
        <f>IF(B79="",W78,INDEX('Такс. опис.'!$A$5:$BW$50,MATCH(CONCATENATE($C79,"/",$D79,"/",$E79),'Такс. опис.'!$C$5:$C$50,0),48))</f>
        <v>мл</v>
      </c>
      <c r="X79" s="179" t="str">
        <f>IF(B79="",X78,INDEX('Такс. опис.'!$A$5:$BW$50,MATCH(CONCATENATE($C79,"/",$D79,"/",$E79),'Такс. опис.'!$C$5:$C$50,0),26))</f>
        <v>8ОС2Б+ЛП</v>
      </c>
      <c r="Y79" s="179">
        <f>IF(B79="",Y78,INDEX('Такс. опис.'!$A$5:$BW$50,MATCH(CONCATENATE($C79,"/",$D79,"/",$E79),'Такс. опис.'!$C$5:$C$50,0),49))</f>
        <v>55</v>
      </c>
      <c r="Z79" s="179" t="str">
        <f>IF(C79="",Z78,INDEX('Такс. опис.'!$A$5:$BW$50,MATCH(CONCATENATE($C79,"/",$D79,"/",$E79),'Такс. опис.'!$C$5:$C$50,0),47))</f>
        <v>Осина</v>
      </c>
      <c r="AA79" s="179" t="str">
        <f>IF(D79="","",INDEX('Такс. опис.'!$A$5:$BW$50,MATCH('Ведомость расчета мин. платы'!AC79,'Такс. опис.'!$C$5:$C$50,0),31))</f>
        <v/>
      </c>
      <c r="AB79" s="115"/>
      <c r="AC79" s="47" t="str">
        <f t="shared" si="24"/>
        <v>Восходское/42/12/2</v>
      </c>
      <c r="AD79" s="180">
        <f>INDEX(Периметр!$A$3:$Q$158,MATCH(AC79,Периметр!$A$3:$A$158,0),17)</f>
        <v>1</v>
      </c>
      <c r="AE79" s="47" t="str">
        <f t="shared" si="22"/>
        <v>Восходское/42/12/2/Осина</v>
      </c>
      <c r="AF79" s="115"/>
      <c r="AG79" s="176"/>
      <c r="AH79" s="176"/>
      <c r="AI79" s="176"/>
      <c r="AK79" s="186" t="str">
        <f t="shared" si="29"/>
        <v>//</v>
      </c>
    </row>
    <row r="80" spans="2:38" ht="15.95" customHeight="1" x14ac:dyDescent="0.2">
      <c r="B80" s="179" t="str">
        <f>IF(E80="","",COUNTA($E$10:E80))</f>
        <v/>
      </c>
      <c r="C80" s="157"/>
      <c r="D80" s="113"/>
      <c r="E80" s="113"/>
      <c r="F80" s="113"/>
      <c r="G80" s="157"/>
      <c r="H80" s="113"/>
      <c r="I80" s="157"/>
      <c r="J80" s="187" t="s">
        <v>15</v>
      </c>
      <c r="K80" s="114">
        <f>SUM(K77:K79)</f>
        <v>155.19999999999999</v>
      </c>
      <c r="L80" s="114">
        <f t="shared" ref="L80:S80" si="31">SUM(L77:L79)</f>
        <v>238.28</v>
      </c>
      <c r="M80" s="114">
        <f t="shared" si="31"/>
        <v>18.55</v>
      </c>
      <c r="N80" s="114">
        <f t="shared" si="31"/>
        <v>412.03</v>
      </c>
      <c r="O80" s="114">
        <f t="shared" si="31"/>
        <v>426.06</v>
      </c>
      <c r="P80" s="114"/>
      <c r="Q80" s="370">
        <f t="shared" si="31"/>
        <v>838.09</v>
      </c>
      <c r="R80" s="114">
        <f t="shared" si="31"/>
        <v>977.90000000000009</v>
      </c>
      <c r="S80" s="114">
        <f t="shared" si="31"/>
        <v>14497.77</v>
      </c>
      <c r="T80" s="116">
        <f>IF(AE80="",INDEX(Коэффициенты!$B$4:$S$59,MATCH('Ведомость расчета мин. платы'!AC80,Коэффициенты!$O$4:$O$59,0),9),"")</f>
        <v>28270.651500000004</v>
      </c>
      <c r="U80" s="31"/>
      <c r="V80" s="184"/>
      <c r="W80" s="179" t="str">
        <f>IF(B80="",W79,INDEX('Такс. опис.'!$A$5:$BW$50,MATCH(CONCATENATE($C80,"/",$D80,"/",$E80),'Такс. опис.'!$C$5:$C$50,0),48))</f>
        <v>мл</v>
      </c>
      <c r="X80" s="179" t="str">
        <f>IF(B80="",X79,INDEX('Такс. опис.'!$A$5:$BW$50,MATCH(CONCATENATE($C80,"/",$D80,"/",$E80),'Такс. опис.'!$C$5:$C$50,0),26))</f>
        <v>8ОС2Б+ЛП</v>
      </c>
      <c r="Y80" s="179">
        <f>IF(B80="",Y79,INDEX('Такс. опис.'!$A$5:$BW$50,MATCH(CONCATENATE($C80,"/",$D80,"/",$E80),'Такс. опис.'!$C$5:$C$50,0),49))</f>
        <v>55</v>
      </c>
      <c r="Z80" s="179" t="str">
        <f>IF(C80="",Z79,INDEX('Такс. опис.'!$A$5:$BW$50,MATCH(CONCATENATE($C80,"/",$D80,"/",$E80),'Такс. опис.'!$C$5:$C$50,0),47))</f>
        <v>Осина</v>
      </c>
      <c r="AA80" s="179" t="str">
        <f>IF(D80="","",INDEX('Такс. опис.'!$A$5:$BW$50,MATCH('Ведомость расчета мин. платы'!AC80,'Такс. опис.'!$C$5:$C$50,0),31))</f>
        <v/>
      </c>
      <c r="AB80" s="115"/>
      <c r="AC80" s="47" t="str">
        <f t="shared" si="24"/>
        <v>Восходское/42/12/2</v>
      </c>
      <c r="AD80" s="180">
        <f>INDEX(Периметр!$A$3:$Q$158,MATCH(AC80,Периметр!$A$3:$A$158,0),17)</f>
        <v>1</v>
      </c>
      <c r="AE80" s="47" t="str">
        <f t="shared" si="22"/>
        <v/>
      </c>
      <c r="AF80" s="115"/>
      <c r="AG80" s="176"/>
      <c r="AH80" s="176"/>
      <c r="AI80" s="176"/>
      <c r="AK80" s="186" t="str">
        <f t="shared" si="29"/>
        <v>//</v>
      </c>
    </row>
    <row r="81" spans="2:38" ht="15.95" customHeight="1" x14ac:dyDescent="0.2">
      <c r="B81" s="179">
        <f>IF(E81="","",COUNTA($E$10:E81))</f>
        <v>19</v>
      </c>
      <c r="C81" s="157" t="s">
        <v>310</v>
      </c>
      <c r="D81" s="113">
        <v>45</v>
      </c>
      <c r="E81" s="113">
        <v>8</v>
      </c>
      <c r="F81" s="113">
        <v>1</v>
      </c>
      <c r="G81" s="157">
        <v>7</v>
      </c>
      <c r="H81" s="113" t="s">
        <v>2086</v>
      </c>
      <c r="I81" s="157" t="s">
        <v>23</v>
      </c>
      <c r="J81" s="182" t="s">
        <v>17</v>
      </c>
      <c r="K81" s="183">
        <v>25.08</v>
      </c>
      <c r="L81" s="183">
        <v>56.47</v>
      </c>
      <c r="M81" s="183">
        <v>4.55</v>
      </c>
      <c r="N81" s="114">
        <f t="shared" si="20"/>
        <v>86.1</v>
      </c>
      <c r="O81" s="183">
        <v>67.78</v>
      </c>
      <c r="P81" s="183"/>
      <c r="Q81" s="370">
        <f t="shared" si="21"/>
        <v>153.88</v>
      </c>
      <c r="R81" s="183">
        <v>174.88</v>
      </c>
      <c r="S81" s="121">
        <v>8510</v>
      </c>
      <c r="T81" s="121" t="str">
        <f>IF(AE81="",INDEX(Коэффициенты!$B$4:$S$59,MATCH('Ведомость расчета мин. платы'!AC81,Коэффициенты!$O$4:$O$59,0),9),"")</f>
        <v/>
      </c>
      <c r="U81" s="31" t="s">
        <v>2054</v>
      </c>
      <c r="V81" s="184"/>
      <c r="W81" s="179" t="str">
        <f>IF(B81="",W80,INDEX('Такс. опис.'!$A$5:$BW$50,MATCH(CONCATENATE($C81,"/",$D81,"/",$E81),'Такс. опис.'!$C$5:$C$50,0),48))</f>
        <v>мл</v>
      </c>
      <c r="X81" s="179" t="str">
        <f>IF(B81="",X80,INDEX('Такс. опис.'!$A$5:$BW$50,MATCH(CONCATENATE($C81,"/",$D81,"/",$E81),'Такс. опис.'!$C$5:$C$50,0),26))</f>
        <v>7ОС3Б+ЛП</v>
      </c>
      <c r="Y81" s="179">
        <f>IF(B81="",Y80,INDEX('Такс. опис.'!$A$5:$BW$50,MATCH(CONCATENATE($C81,"/",$D81,"/",$E81),'Такс. опис.'!$C$5:$C$50,0),49))</f>
        <v>55</v>
      </c>
      <c r="Z81" s="179" t="str">
        <f>IF(C81="",Z80,INDEX('Такс. опис.'!$A$5:$BW$50,MATCH(CONCATENATE($C81,"/",$D81,"/",$E81),'Такс. опис.'!$C$5:$C$50,0),47))</f>
        <v>Осина</v>
      </c>
      <c r="AA81" s="179" t="e">
        <f>IF(D81="","",INDEX('Такс. опис.'!$A$5:$BW$50,MATCH('Ведомость расчета мин. платы'!AC81,'Такс. опис.'!$C$5:$C$50,0),31))</f>
        <v>#N/A</v>
      </c>
      <c r="AB81" s="115"/>
      <c r="AC81" s="47" t="str">
        <f t="shared" si="24"/>
        <v>Восходское/45/8/1</v>
      </c>
      <c r="AD81" s="180">
        <f>INDEX(Периметр!$A$3:$Q$158,MATCH(AC81,Периметр!$A$3:$A$158,0),17)</f>
        <v>1.6</v>
      </c>
      <c r="AE81" s="47" t="str">
        <f t="shared" si="22"/>
        <v>Восходское/45/8/1/Береза</v>
      </c>
      <c r="AF81" s="115"/>
      <c r="AG81" s="176"/>
      <c r="AH81" s="176"/>
      <c r="AI81" s="176"/>
      <c r="AK81" s="186" t="str">
        <f t="shared" si="29"/>
        <v>Восходское/45/8</v>
      </c>
      <c r="AL81" s="181">
        <v>1</v>
      </c>
    </row>
    <row r="82" spans="2:38" ht="15.95" customHeight="1" x14ac:dyDescent="0.2">
      <c r="B82" s="179" t="str">
        <f>IF(E82="","",COUNTA($E$10:E82))</f>
        <v/>
      </c>
      <c r="C82" s="157"/>
      <c r="D82" s="113" t="s">
        <v>166</v>
      </c>
      <c r="E82" s="113"/>
      <c r="F82" s="113" t="s">
        <v>166</v>
      </c>
      <c r="G82" s="157" t="s">
        <v>166</v>
      </c>
      <c r="H82" s="113"/>
      <c r="I82" s="157"/>
      <c r="J82" s="182" t="s">
        <v>19</v>
      </c>
      <c r="K82" s="183"/>
      <c r="L82" s="183">
        <v>3.32</v>
      </c>
      <c r="M82" s="183">
        <v>9.2100000000000009</v>
      </c>
      <c r="N82" s="114">
        <f t="shared" si="20"/>
        <v>12.530000000000001</v>
      </c>
      <c r="O82" s="183">
        <v>25.86</v>
      </c>
      <c r="P82" s="183"/>
      <c r="Q82" s="370">
        <f t="shared" si="21"/>
        <v>38.39</v>
      </c>
      <c r="R82" s="183">
        <v>41.77</v>
      </c>
      <c r="S82" s="121">
        <v>453.85</v>
      </c>
      <c r="T82" s="121" t="str">
        <f>IF(AE82="",INDEX(Коэффициенты!$B$4:$S$59,MATCH('Ведомость расчета мин. платы'!AC82,Коэффициенты!$O$4:$O$59,0),9),"")</f>
        <v/>
      </c>
      <c r="U82" s="31"/>
      <c r="V82" s="184"/>
      <c r="W82" s="179" t="str">
        <f>IF(B82="",W81,INDEX('Такс. опис.'!$A$5:$BW$50,MATCH(CONCATENATE($C82,"/",$D82,"/",$E82),'Такс. опис.'!$C$5:$C$50,0),48))</f>
        <v>мл</v>
      </c>
      <c r="X82" s="179" t="str">
        <f>IF(B82="",X81,INDEX('Такс. опис.'!$A$5:$BW$50,MATCH(CONCATENATE($C82,"/",$D82,"/",$E82),'Такс. опис.'!$C$5:$C$50,0),26))</f>
        <v>7ОС3Б+ЛП</v>
      </c>
      <c r="Y82" s="179">
        <f>IF(B82="",Y81,INDEX('Такс. опис.'!$A$5:$BW$50,MATCH(CONCATENATE($C82,"/",$D82,"/",$E82),'Такс. опис.'!$C$5:$C$50,0),49))</f>
        <v>55</v>
      </c>
      <c r="Z82" s="179" t="str">
        <f>IF(C82="",Z81,INDEX('Такс. опис.'!$A$5:$BW$50,MATCH(CONCATENATE($C82,"/",$D82,"/",$E82),'Такс. опис.'!$C$5:$C$50,0),47))</f>
        <v>Осина</v>
      </c>
      <c r="AA82" s="179" t="str">
        <f>IF(D82="","",INDEX('Такс. опис.'!$A$5:$BW$50,MATCH('Ведомость расчета мин. платы'!AC82,'Такс. опис.'!$C$5:$C$50,0),31))</f>
        <v/>
      </c>
      <c r="AB82" s="115"/>
      <c r="AC82" s="47" t="str">
        <f t="shared" si="24"/>
        <v>Восходское/45/8/1</v>
      </c>
      <c r="AD82" s="180">
        <f>INDEX(Периметр!$A$3:$Q$158,MATCH(AC82,Периметр!$A$3:$A$158,0),17)</f>
        <v>1.6</v>
      </c>
      <c r="AE82" s="47" t="str">
        <f t="shared" si="22"/>
        <v>Восходское/45/8/1/Липа</v>
      </c>
      <c r="AF82" s="115"/>
      <c r="AG82" s="176"/>
      <c r="AH82" s="176"/>
      <c r="AI82" s="176"/>
      <c r="AK82" s="186" t="str">
        <f t="shared" si="29"/>
        <v>//</v>
      </c>
    </row>
    <row r="83" spans="2:38" ht="15.95" customHeight="1" x14ac:dyDescent="0.2">
      <c r="B83" s="179" t="str">
        <f>IF(E83="","",COUNTA($E$10:E83))</f>
        <v/>
      </c>
      <c r="C83" s="157"/>
      <c r="D83" s="113" t="s">
        <v>166</v>
      </c>
      <c r="E83" s="113"/>
      <c r="F83" s="113" t="s">
        <v>166</v>
      </c>
      <c r="G83" s="157" t="s">
        <v>166</v>
      </c>
      <c r="H83" s="113"/>
      <c r="I83" s="157"/>
      <c r="J83" s="182" t="s">
        <v>18</v>
      </c>
      <c r="K83" s="183">
        <v>554.4</v>
      </c>
      <c r="L83" s="183">
        <v>238.23</v>
      </c>
      <c r="M83" s="183">
        <v>2.8</v>
      </c>
      <c r="N83" s="114">
        <f t="shared" si="20"/>
        <v>795.43</v>
      </c>
      <c r="O83" s="183">
        <v>497.12</v>
      </c>
      <c r="P83" s="183"/>
      <c r="Q83" s="370">
        <f t="shared" si="21"/>
        <v>1292.55</v>
      </c>
      <c r="R83" s="183">
        <v>1496.83</v>
      </c>
      <c r="S83" s="121">
        <v>17112.669999999998</v>
      </c>
      <c r="T83" s="121" t="str">
        <f>IF(AE83="",INDEX(Коэффициенты!$B$4:$S$59,MATCH('Ведомость расчета мин. платы'!AC83,Коэффициенты!$O$4:$O$59,0),9),"")</f>
        <v/>
      </c>
      <c r="U83" s="31"/>
      <c r="V83" s="184"/>
      <c r="W83" s="179" t="str">
        <f>IF(B83="",W82,INDEX('Такс. опис.'!$A$5:$BW$50,MATCH(CONCATENATE($C83,"/",$D83,"/",$E83),'Такс. опис.'!$C$5:$C$50,0),48))</f>
        <v>мл</v>
      </c>
      <c r="X83" s="179" t="str">
        <f>IF(B83="",X82,INDEX('Такс. опис.'!$A$5:$BW$50,MATCH(CONCATENATE($C83,"/",$D83,"/",$E83),'Такс. опис.'!$C$5:$C$50,0),26))</f>
        <v>7ОС3Б+ЛП</v>
      </c>
      <c r="Y83" s="179">
        <f>IF(B83="",Y82,INDEX('Такс. опис.'!$A$5:$BW$50,MATCH(CONCATENATE($C83,"/",$D83,"/",$E83),'Такс. опис.'!$C$5:$C$50,0),49))</f>
        <v>55</v>
      </c>
      <c r="Z83" s="179" t="str">
        <f>IF(C83="",Z82,INDEX('Такс. опис.'!$A$5:$BW$50,MATCH(CONCATENATE($C83,"/",$D83,"/",$E83),'Такс. опис.'!$C$5:$C$50,0),47))</f>
        <v>Осина</v>
      </c>
      <c r="AA83" s="179" t="str">
        <f>IF(D83="","",INDEX('Такс. опис.'!$A$5:$BW$50,MATCH('Ведомость расчета мин. платы'!AC83,'Такс. опис.'!$C$5:$C$50,0),31))</f>
        <v/>
      </c>
      <c r="AB83" s="115"/>
      <c r="AC83" s="47" t="str">
        <f t="shared" si="24"/>
        <v>Восходское/45/8/1</v>
      </c>
      <c r="AD83" s="180">
        <f>INDEX(Периметр!$A$3:$Q$158,MATCH(AC83,Периметр!$A$3:$A$158,0),17)</f>
        <v>1.6</v>
      </c>
      <c r="AE83" s="47" t="str">
        <f t="shared" si="22"/>
        <v>Восходское/45/8/1/Осина</v>
      </c>
      <c r="AF83" s="115"/>
      <c r="AG83" s="176"/>
      <c r="AH83" s="176"/>
      <c r="AI83" s="176"/>
      <c r="AK83" s="186" t="str">
        <f t="shared" si="29"/>
        <v>//</v>
      </c>
    </row>
    <row r="84" spans="2:38" ht="15.95" customHeight="1" x14ac:dyDescent="0.2">
      <c r="B84" s="179" t="str">
        <f>IF(E84="","",COUNTA($E$10:E84))</f>
        <v/>
      </c>
      <c r="C84" s="157"/>
      <c r="D84" s="113"/>
      <c r="E84" s="113"/>
      <c r="F84" s="113"/>
      <c r="G84" s="157"/>
      <c r="H84" s="113"/>
      <c r="I84" s="157"/>
      <c r="J84" s="187" t="s">
        <v>15</v>
      </c>
      <c r="K84" s="114">
        <f>SUM(K81:K83)</f>
        <v>579.48</v>
      </c>
      <c r="L84" s="114">
        <f t="shared" ref="L84:S84" si="32">SUM(L81:L83)</f>
        <v>298.02</v>
      </c>
      <c r="M84" s="114">
        <f t="shared" si="32"/>
        <v>16.560000000000002</v>
      </c>
      <c r="N84" s="114">
        <f t="shared" si="32"/>
        <v>894.06</v>
      </c>
      <c r="O84" s="114">
        <f t="shared" si="32"/>
        <v>590.76</v>
      </c>
      <c r="P84" s="114"/>
      <c r="Q84" s="370">
        <f t="shared" si="32"/>
        <v>1484.82</v>
      </c>
      <c r="R84" s="114">
        <f t="shared" si="32"/>
        <v>1713.48</v>
      </c>
      <c r="S84" s="114">
        <f t="shared" si="32"/>
        <v>26076.519999999997</v>
      </c>
      <c r="T84" s="116">
        <f>IF(AE84="",INDEX(Коэффициенты!$B$4:$S$59,MATCH('Ведомость расчета мин. платы'!AC84,Коэффициенты!$O$4:$O$59,0),9),"")</f>
        <v>50066.918399999995</v>
      </c>
      <c r="U84" s="31"/>
      <c r="V84" s="184"/>
      <c r="W84" s="179" t="str">
        <f>IF(B84="",W83,INDEX('Такс. опис.'!$A$5:$BW$50,MATCH(CONCATENATE($C84,"/",$D84,"/",$E84),'Такс. опис.'!$C$5:$C$50,0),48))</f>
        <v>мл</v>
      </c>
      <c r="X84" s="179" t="str">
        <f>IF(B84="",X83,INDEX('Такс. опис.'!$A$5:$BW$50,MATCH(CONCATENATE($C84,"/",$D84,"/",$E84),'Такс. опис.'!$C$5:$C$50,0),26))</f>
        <v>7ОС3Б+ЛП</v>
      </c>
      <c r="Y84" s="179">
        <f>IF(B84="",Y83,INDEX('Такс. опис.'!$A$5:$BW$50,MATCH(CONCATENATE($C84,"/",$D84,"/",$E84),'Такс. опис.'!$C$5:$C$50,0),49))</f>
        <v>55</v>
      </c>
      <c r="Z84" s="179" t="str">
        <f>IF(C84="",Z83,INDEX('Такс. опис.'!$A$5:$BW$50,MATCH(CONCATENATE($C84,"/",$D84,"/",$E84),'Такс. опис.'!$C$5:$C$50,0),47))</f>
        <v>Осина</v>
      </c>
      <c r="AA84" s="179" t="str">
        <f>IF(D84="","",INDEX('Такс. опис.'!$A$5:$BW$50,MATCH('Ведомость расчета мин. платы'!AC84,'Такс. опис.'!$C$5:$C$50,0),31))</f>
        <v/>
      </c>
      <c r="AB84" s="115"/>
      <c r="AC84" s="47" t="str">
        <f t="shared" si="24"/>
        <v>Восходское/45/8/1</v>
      </c>
      <c r="AD84" s="180">
        <f>INDEX(Периметр!$A$3:$Q$158,MATCH(AC84,Периметр!$A$3:$A$158,0),17)</f>
        <v>1.6</v>
      </c>
      <c r="AE84" s="47" t="str">
        <f t="shared" si="22"/>
        <v/>
      </c>
      <c r="AF84" s="115"/>
      <c r="AG84" s="176"/>
      <c r="AH84" s="176"/>
      <c r="AI84" s="176"/>
      <c r="AK84" s="186" t="str">
        <f t="shared" si="29"/>
        <v>//</v>
      </c>
    </row>
    <row r="85" spans="2:38" ht="15.95" customHeight="1" x14ac:dyDescent="0.2">
      <c r="B85" s="179">
        <f>IF(E85="","",COUNTA($E$10:E85))</f>
        <v>20</v>
      </c>
      <c r="C85" s="157" t="s">
        <v>24</v>
      </c>
      <c r="D85" s="113">
        <v>8</v>
      </c>
      <c r="E85" s="113">
        <v>5</v>
      </c>
      <c r="F85" s="113">
        <v>1</v>
      </c>
      <c r="G85" s="157">
        <v>5.6</v>
      </c>
      <c r="H85" s="113" t="s">
        <v>2086</v>
      </c>
      <c r="I85" s="157" t="s">
        <v>23</v>
      </c>
      <c r="J85" s="182" t="s">
        <v>25</v>
      </c>
      <c r="K85" s="183">
        <v>15.2</v>
      </c>
      <c r="L85" s="183">
        <v>47.2</v>
      </c>
      <c r="M85" s="183">
        <v>6.5</v>
      </c>
      <c r="N85" s="114">
        <f t="shared" si="20"/>
        <v>68.900000000000006</v>
      </c>
      <c r="O85" s="183">
        <v>83.9</v>
      </c>
      <c r="P85" s="183"/>
      <c r="Q85" s="370">
        <f t="shared" si="21"/>
        <v>152.80000000000001</v>
      </c>
      <c r="R85" s="183">
        <v>174.3</v>
      </c>
      <c r="S85" s="121">
        <v>46109.85</v>
      </c>
      <c r="T85" s="116" t="str">
        <f>IF(AE85="",INDEX(Коэффициенты!$B$4:$S$59,MATCH('Ведомость расчета мин. платы'!AC85,Коэффициенты!$O$4:$O$59,0),9),"")</f>
        <v/>
      </c>
      <c r="U85" s="31" t="s">
        <v>2055</v>
      </c>
      <c r="V85" s="184"/>
      <c r="W85" s="179" t="str">
        <f>IF(B85="",#REF!,INDEX('Такс. опис.'!$A$5:$BW$50,MATCH(CONCATENATE($C85,"/",$D85,"/",$E85),'Такс. опис.'!$C$5:$C$50,0),48))</f>
        <v>мл</v>
      </c>
      <c r="X85" s="179" t="str">
        <f>IF(B85="",#REF!,INDEX('Такс. опис.'!$A$5:$BW$50,MATCH(CONCATENATE($C85,"/",$D85,"/",$E85),'Такс. опис.'!$C$5:$C$50,0),26))</f>
        <v>5ОС3ЛП2Д</v>
      </c>
      <c r="Y85" s="179">
        <f>IF(B85="",#REF!,INDEX('Такс. опис.'!$A$5:$BW$50,MATCH(CONCATENATE($C85,"/",$D85,"/",$E85),'Такс. опис.'!$C$5:$C$50,0),49))</f>
        <v>50</v>
      </c>
      <c r="Z85" s="179" t="str">
        <f>IF(C85="",#REF!,INDEX('Такс. опис.'!$A$5:$BW$50,MATCH(CONCATENATE($C85,"/",$D85,"/",$E85),'Такс. опис.'!$C$5:$C$50,0),47))</f>
        <v>Осина</v>
      </c>
      <c r="AA85" s="179" t="e">
        <f>IF(D85="","",INDEX('Такс. опис.'!$A$5:$BW$50,MATCH('Ведомость расчета мин. платы'!AC85,'Такс. опис.'!$C$5:$C$50,0),31))</f>
        <v>#N/A</v>
      </c>
      <c r="AB85" s="115"/>
      <c r="AC85" s="47" t="str">
        <f>IF(B85="",#REF!,CONCATENATE($C85,"/",$D85,"/",$E85,"/",F85))</f>
        <v>Мамыковское/8/5/1</v>
      </c>
      <c r="AD85" s="180">
        <f>INDEX(Периметр!$A$3:$Q$158,MATCH(AC85,Периметр!$A$3:$A$158,0),17)</f>
        <v>1.32</v>
      </c>
      <c r="AE85" s="47" t="str">
        <f t="shared" si="22"/>
        <v>Мамыковское/8/5/1/Дуб</v>
      </c>
      <c r="AF85" s="115"/>
      <c r="AG85" s="176"/>
      <c r="AH85" s="176"/>
      <c r="AI85" s="176"/>
      <c r="AK85" s="186" t="str">
        <f t="shared" si="29"/>
        <v>Мамыковское/8/5</v>
      </c>
      <c r="AL85" s="181">
        <v>1</v>
      </c>
    </row>
    <row r="86" spans="2:38" ht="15.95" customHeight="1" x14ac:dyDescent="0.2">
      <c r="B86" s="179" t="str">
        <f>IF(E86="","",COUNTA($E$10:E86))</f>
        <v/>
      </c>
      <c r="C86" s="157"/>
      <c r="D86" s="113" t="s">
        <v>166</v>
      </c>
      <c r="E86" s="113"/>
      <c r="F86" s="113" t="s">
        <v>166</v>
      </c>
      <c r="G86" s="157" t="s">
        <v>166</v>
      </c>
      <c r="H86" s="113"/>
      <c r="I86" s="157"/>
      <c r="J86" s="182" t="s">
        <v>19</v>
      </c>
      <c r="K86" s="183">
        <v>9.66</v>
      </c>
      <c r="L86" s="183">
        <v>48.48</v>
      </c>
      <c r="M86" s="183">
        <v>16.18</v>
      </c>
      <c r="N86" s="114">
        <f t="shared" ref="N86:N104" si="33">SUM(K86:M86)</f>
        <v>74.319999999999993</v>
      </c>
      <c r="O86" s="183">
        <v>140.94999999999999</v>
      </c>
      <c r="P86" s="183"/>
      <c r="Q86" s="370">
        <f t="shared" ref="Q86:Q104" si="34">SUM(N86:P86)</f>
        <v>215.26999999999998</v>
      </c>
      <c r="R86" s="183">
        <v>244</v>
      </c>
      <c r="S86" s="121">
        <v>3655.43</v>
      </c>
      <c r="T86" s="116" t="str">
        <f>IF(AE86="",INDEX(Коэффициенты!$B$4:$S$59,MATCH('Ведомость расчета мин. платы'!AC86,Коэффициенты!$O$4:$O$59,0),9),"")</f>
        <v/>
      </c>
      <c r="U86" s="31"/>
      <c r="V86" s="184"/>
      <c r="W86" s="179" t="str">
        <f>IF(B86="",W85,INDEX('Такс. опис.'!$A$5:$BW$50,MATCH(CONCATENATE($C86,"/",$D86,"/",$E86),'Такс. опис.'!$C$5:$C$50,0),48))</f>
        <v>мл</v>
      </c>
      <c r="X86" s="179" t="str">
        <f>IF(B86="",X85,INDEX('Такс. опис.'!$A$5:$BW$50,MATCH(CONCATENATE($C86,"/",$D86,"/",$E86),'Такс. опис.'!$C$5:$C$50,0),26))</f>
        <v>5ОС3ЛП2Д</v>
      </c>
      <c r="Y86" s="179">
        <f>IF(B86="",Y85,INDEX('Такс. опис.'!$A$5:$BW$50,MATCH(CONCATENATE($C86,"/",$D86,"/",$E86),'Такс. опис.'!$C$5:$C$50,0),49))</f>
        <v>50</v>
      </c>
      <c r="Z86" s="179" t="str">
        <f>IF(C86="",Z85,INDEX('Такс. опис.'!$A$5:$BW$50,MATCH(CONCATENATE($C86,"/",$D86,"/",$E86),'Такс. опис.'!$C$5:$C$50,0),47))</f>
        <v>Осина</v>
      </c>
      <c r="AA86" s="179" t="str">
        <f>IF(D86="","",INDEX('Такс. опис.'!$A$5:$BW$50,MATCH('Ведомость расчета мин. платы'!AC86,'Такс. опис.'!$C$5:$C$50,0),31))</f>
        <v/>
      </c>
      <c r="AB86" s="115"/>
      <c r="AC86" s="47" t="str">
        <f t="shared" si="24"/>
        <v>Мамыковское/8/5/1</v>
      </c>
      <c r="AD86" s="180">
        <f>INDEX(Периметр!$A$3:$Q$158,MATCH(AC86,Периметр!$A$3:$A$158,0),17)</f>
        <v>1.32</v>
      </c>
      <c r="AE86" s="47" t="str">
        <f t="shared" si="22"/>
        <v>Мамыковское/8/5/1/Липа</v>
      </c>
      <c r="AF86" s="115"/>
      <c r="AG86" s="176"/>
      <c r="AH86" s="176"/>
      <c r="AI86" s="176"/>
      <c r="AK86" s="186" t="str">
        <f t="shared" si="29"/>
        <v>//</v>
      </c>
    </row>
    <row r="87" spans="2:38" ht="15.95" customHeight="1" x14ac:dyDescent="0.2">
      <c r="B87" s="179" t="str">
        <f>IF(E87="","",COUNTA($E$10:E87))</f>
        <v/>
      </c>
      <c r="C87" s="157"/>
      <c r="D87" s="113" t="s">
        <v>166</v>
      </c>
      <c r="E87" s="113"/>
      <c r="F87" s="113" t="s">
        <v>166</v>
      </c>
      <c r="G87" s="157" t="s">
        <v>166</v>
      </c>
      <c r="H87" s="113"/>
      <c r="I87" s="157"/>
      <c r="J87" s="182" t="s">
        <v>18</v>
      </c>
      <c r="K87" s="183">
        <v>78.400000000000006</v>
      </c>
      <c r="L87" s="183">
        <v>71.2</v>
      </c>
      <c r="M87" s="183">
        <v>15.9</v>
      </c>
      <c r="N87" s="114">
        <f t="shared" si="33"/>
        <v>165.50000000000003</v>
      </c>
      <c r="O87" s="183">
        <v>212.2</v>
      </c>
      <c r="P87" s="183"/>
      <c r="Q87" s="370">
        <f t="shared" si="34"/>
        <v>377.70000000000005</v>
      </c>
      <c r="R87" s="183">
        <v>452.5</v>
      </c>
      <c r="S87" s="121">
        <v>3133.55</v>
      </c>
      <c r="T87" s="116" t="str">
        <f>IF(AE87="",INDEX(Коэффициенты!$B$4:$S$59,MATCH('Ведомость расчета мин. платы'!AC87,Коэффициенты!$O$4:$O$59,0),9),"")</f>
        <v/>
      </c>
      <c r="U87" s="31"/>
      <c r="V87" s="184"/>
      <c r="W87" s="179" t="str">
        <f>IF(B87="",W86,INDEX('Такс. опис.'!$A$5:$BW$50,MATCH(CONCATENATE($C87,"/",$D87,"/",$E87),'Такс. опис.'!$C$5:$C$50,0),48))</f>
        <v>мл</v>
      </c>
      <c r="X87" s="179" t="str">
        <f>IF(B87="",X86,INDEX('Такс. опис.'!$A$5:$BW$50,MATCH(CONCATENATE($C87,"/",$D87,"/",$E87),'Такс. опис.'!$C$5:$C$50,0),26))</f>
        <v>5ОС3ЛП2Д</v>
      </c>
      <c r="Y87" s="179">
        <f>IF(B87="",Y86,INDEX('Такс. опис.'!$A$5:$BW$50,MATCH(CONCATENATE($C87,"/",$D87,"/",$E87),'Такс. опис.'!$C$5:$C$50,0),49))</f>
        <v>50</v>
      </c>
      <c r="Z87" s="179" t="str">
        <f>IF(C87="",Z86,INDEX('Такс. опис.'!$A$5:$BW$50,MATCH(CONCATENATE($C87,"/",$D87,"/",$E87),'Такс. опис.'!$C$5:$C$50,0),47))</f>
        <v>Осина</v>
      </c>
      <c r="AA87" s="179" t="str">
        <f>IF(D87="","",INDEX('Такс. опис.'!$A$5:$BW$50,MATCH('Ведомость расчета мин. платы'!AC87,'Такс. опис.'!$C$5:$C$50,0),31))</f>
        <v/>
      </c>
      <c r="AB87" s="115"/>
      <c r="AC87" s="47" t="str">
        <f t="shared" si="24"/>
        <v>Мамыковское/8/5/1</v>
      </c>
      <c r="AD87" s="180">
        <f>INDEX(Периметр!$A$3:$Q$158,MATCH(AC87,Периметр!$A$3:$A$158,0),17)</f>
        <v>1.32</v>
      </c>
      <c r="AE87" s="47" t="str">
        <f t="shared" ref="AE87:AE105" si="35">IF(J87="Итого","",CONCATENATE(AC87,"/",J87))</f>
        <v>Мамыковское/8/5/1/Осина</v>
      </c>
      <c r="AF87" s="115"/>
      <c r="AG87" s="176"/>
      <c r="AH87" s="176"/>
      <c r="AI87" s="176"/>
      <c r="AK87" s="186" t="str">
        <f t="shared" si="29"/>
        <v>//</v>
      </c>
    </row>
    <row r="88" spans="2:38" ht="15.95" customHeight="1" x14ac:dyDescent="0.2">
      <c r="B88" s="179" t="str">
        <f>IF(E88="","",COUNTA($E$10:E88))</f>
        <v/>
      </c>
      <c r="C88" s="157"/>
      <c r="D88" s="113"/>
      <c r="E88" s="113"/>
      <c r="F88" s="113"/>
      <c r="G88" s="157"/>
      <c r="H88" s="113"/>
      <c r="I88" s="157"/>
      <c r="J88" s="187" t="s">
        <v>15</v>
      </c>
      <c r="K88" s="114">
        <f>SUM(K85:K87)</f>
        <v>103.26</v>
      </c>
      <c r="L88" s="114">
        <f t="shared" ref="L88:S88" si="36">SUM(L85:L87)</f>
        <v>166.88</v>
      </c>
      <c r="M88" s="114">
        <f t="shared" si="36"/>
        <v>38.58</v>
      </c>
      <c r="N88" s="114">
        <f t="shared" si="36"/>
        <v>308.72000000000003</v>
      </c>
      <c r="O88" s="114">
        <f t="shared" si="36"/>
        <v>437.04999999999995</v>
      </c>
      <c r="P88" s="114"/>
      <c r="Q88" s="370">
        <f t="shared" si="36"/>
        <v>745.77</v>
      </c>
      <c r="R88" s="114">
        <f t="shared" si="36"/>
        <v>870.8</v>
      </c>
      <c r="S88" s="114">
        <f t="shared" si="36"/>
        <v>52898.83</v>
      </c>
      <c r="T88" s="116">
        <f>IF(AE88="",INDEX(Коэффициенты!$B$4:$S$59,MATCH('Ведомость расчета мин. платы'!AC88,Коэффициенты!$O$4:$O$59,0),9),"")</f>
        <v>71942.408800000019</v>
      </c>
      <c r="U88" s="31"/>
      <c r="V88" s="184"/>
      <c r="W88" s="179" t="str">
        <f>IF(B88="",W87,INDEX('Такс. опис.'!$A$5:$BW$50,MATCH(CONCATENATE($C88,"/",$D88,"/",$E88),'Такс. опис.'!$C$5:$C$50,0),48))</f>
        <v>мл</v>
      </c>
      <c r="X88" s="179" t="str">
        <f>IF(B88="",X87,INDEX('Такс. опис.'!$A$5:$BW$50,MATCH(CONCATENATE($C88,"/",$D88,"/",$E88),'Такс. опис.'!$C$5:$C$50,0),26))</f>
        <v>5ОС3ЛП2Д</v>
      </c>
      <c r="Y88" s="179">
        <f>IF(B88="",Y87,INDEX('Такс. опис.'!$A$5:$BW$50,MATCH(CONCATENATE($C88,"/",$D88,"/",$E88),'Такс. опис.'!$C$5:$C$50,0),49))</f>
        <v>50</v>
      </c>
      <c r="Z88" s="179" t="str">
        <f>IF(C88="",Z87,INDEX('Такс. опис.'!$A$5:$BW$50,MATCH(CONCATENATE($C88,"/",$D88,"/",$E88),'Такс. опис.'!$C$5:$C$50,0),47))</f>
        <v>Осина</v>
      </c>
      <c r="AA88" s="179" t="str">
        <f>IF(D88="","",INDEX('Такс. опис.'!$A$5:$BW$50,MATCH('Ведомость расчета мин. платы'!AC88,'Такс. опис.'!$C$5:$C$50,0),31))</f>
        <v/>
      </c>
      <c r="AB88" s="115"/>
      <c r="AC88" s="47" t="str">
        <f t="shared" ref="AC88:AC105" si="37">IF(B88="",AC87,CONCATENATE($C88,"/",$D88,"/",$E88,"/",F88))</f>
        <v>Мамыковское/8/5/1</v>
      </c>
      <c r="AD88" s="180">
        <f>INDEX(Периметр!$A$3:$Q$158,MATCH(AC88,Периметр!$A$3:$A$158,0),17)</f>
        <v>1.32</v>
      </c>
      <c r="AE88" s="47" t="str">
        <f t="shared" si="35"/>
        <v/>
      </c>
      <c r="AF88" s="115"/>
      <c r="AG88" s="176"/>
      <c r="AH88" s="176"/>
      <c r="AI88" s="176"/>
      <c r="AK88" s="186" t="str">
        <f t="shared" si="29"/>
        <v>//</v>
      </c>
    </row>
    <row r="89" spans="2:38" ht="15.95" customHeight="1" x14ac:dyDescent="0.2">
      <c r="B89" s="179">
        <f>IF(E89="","",COUNTA($E$10:E89))</f>
        <v>21</v>
      </c>
      <c r="C89" s="157" t="s">
        <v>24</v>
      </c>
      <c r="D89" s="113">
        <v>25</v>
      </c>
      <c r="E89" s="113">
        <v>2</v>
      </c>
      <c r="F89" s="113">
        <v>1</v>
      </c>
      <c r="G89" s="157">
        <v>3.5</v>
      </c>
      <c r="H89" s="113" t="s">
        <v>2086</v>
      </c>
      <c r="I89" s="157" t="s">
        <v>23</v>
      </c>
      <c r="J89" s="182" t="s">
        <v>18</v>
      </c>
      <c r="K89" s="183">
        <v>237</v>
      </c>
      <c r="L89" s="183">
        <v>78.400000000000006</v>
      </c>
      <c r="M89" s="183">
        <v>7.8</v>
      </c>
      <c r="N89" s="114">
        <f t="shared" si="33"/>
        <v>323.2</v>
      </c>
      <c r="O89" s="183">
        <v>288.39999999999998</v>
      </c>
      <c r="P89" s="183"/>
      <c r="Q89" s="370">
        <f t="shared" si="34"/>
        <v>611.59999999999991</v>
      </c>
      <c r="R89" s="183">
        <v>719.5</v>
      </c>
      <c r="S89" s="121">
        <v>7009.06</v>
      </c>
      <c r="T89" s="116" t="str">
        <f>IF(AE89="",INDEX(Коэффициенты!$B$4:$S$59,MATCH('Ведомость расчета мин. платы'!AC89,Коэффициенты!$O$4:$O$59,0),9),"")</f>
        <v/>
      </c>
      <c r="U89" s="31" t="s">
        <v>2055</v>
      </c>
      <c r="V89" s="184"/>
      <c r="W89" s="179" t="str">
        <f>IF(B89="",#REF!,INDEX('Такс. опис.'!$A$5:$BW$50,MATCH(CONCATENATE($C89,"/",$D89,"/",$E89),'Такс. опис.'!$C$5:$C$50,0),48))</f>
        <v>мл</v>
      </c>
      <c r="X89" s="179" t="str">
        <f>IF(B89="",#REF!,INDEX('Такс. опис.'!$A$5:$BW$50,MATCH(CONCATENATE($C89,"/",$D89,"/",$E89),'Такс. опис.'!$C$5:$C$50,0),26))</f>
        <v>10ОС</v>
      </c>
      <c r="Y89" s="179">
        <f>IF(B89="",#REF!,INDEX('Такс. опис.'!$A$5:$BW$50,MATCH(CONCATENATE($C89,"/",$D89,"/",$E89),'Такс. опис.'!$C$5:$C$50,0),49))</f>
        <v>50</v>
      </c>
      <c r="Z89" s="179" t="str">
        <f>IF(C89="",#REF!,INDEX('Такс. опис.'!$A$5:$BW$50,MATCH(CONCATENATE($C89,"/",$D89,"/",$E89),'Такс. опис.'!$C$5:$C$50,0),47))</f>
        <v>Осина</v>
      </c>
      <c r="AA89" s="179" t="e">
        <f>IF(D89="","",INDEX('Такс. опис.'!$A$5:$BW$50,MATCH('Ведомость расчета мин. платы'!AC89,'Такс. опис.'!$C$5:$C$50,0),31))</f>
        <v>#N/A</v>
      </c>
      <c r="AB89" s="115"/>
      <c r="AC89" s="47" t="str">
        <f>IF(B89="",#REF!,CONCATENATE($C89,"/",$D89,"/",$E89,"/",F89))</f>
        <v>Мамыковское/25/2/1</v>
      </c>
      <c r="AD89" s="180">
        <f>INDEX(Периметр!$A$3:$Q$158,MATCH(AC89,Периметр!$A$3:$A$158,0),17)</f>
        <v>0.9</v>
      </c>
      <c r="AE89" s="47" t="str">
        <f t="shared" si="35"/>
        <v>Мамыковское/25/2/1/Осина</v>
      </c>
      <c r="AF89" s="115"/>
      <c r="AG89" s="176"/>
      <c r="AH89" s="176"/>
      <c r="AI89" s="176"/>
      <c r="AK89" s="186" t="str">
        <f t="shared" si="29"/>
        <v>Мамыковское/25/2</v>
      </c>
      <c r="AL89" s="181">
        <v>1</v>
      </c>
    </row>
    <row r="90" spans="2:38" ht="15.95" customHeight="1" x14ac:dyDescent="0.2">
      <c r="B90" s="179" t="str">
        <f>IF(E90="","",COUNTA($E$10:E90))</f>
        <v/>
      </c>
      <c r="C90" s="157"/>
      <c r="D90" s="113"/>
      <c r="E90" s="113"/>
      <c r="F90" s="113"/>
      <c r="G90" s="157"/>
      <c r="H90" s="113"/>
      <c r="I90" s="157"/>
      <c r="J90" s="187" t="s">
        <v>15</v>
      </c>
      <c r="K90" s="114">
        <f>SUM(K89)</f>
        <v>237</v>
      </c>
      <c r="L90" s="114">
        <f t="shared" ref="L90:S90" si="38">SUM(L89)</f>
        <v>78.400000000000006</v>
      </c>
      <c r="M90" s="114">
        <f t="shared" si="38"/>
        <v>7.8</v>
      </c>
      <c r="N90" s="114">
        <f t="shared" si="38"/>
        <v>323.2</v>
      </c>
      <c r="O90" s="114">
        <f t="shared" si="38"/>
        <v>288.39999999999998</v>
      </c>
      <c r="P90" s="114"/>
      <c r="Q90" s="370">
        <f t="shared" si="38"/>
        <v>611.59999999999991</v>
      </c>
      <c r="R90" s="114">
        <f t="shared" si="38"/>
        <v>719.5</v>
      </c>
      <c r="S90" s="114">
        <f t="shared" si="38"/>
        <v>7009.06</v>
      </c>
      <c r="T90" s="116">
        <f>IF(AE90="",INDEX(Коэффициенты!$B$4:$S$59,MATCH('Ведомость расчета мин. платы'!AC90,Коэффициенты!$O$4:$O$59,0),9),"")</f>
        <v>19134.733800000005</v>
      </c>
      <c r="U90" s="31"/>
      <c r="V90" s="184"/>
      <c r="W90" s="179" t="str">
        <f>IF(B90="",W89,INDEX('Такс. опис.'!$A$5:$BW$50,MATCH(CONCATENATE($C90,"/",$D90,"/",$E90),'Такс. опис.'!$C$5:$C$50,0),48))</f>
        <v>мл</v>
      </c>
      <c r="X90" s="179" t="str">
        <f>IF(B90="",X89,INDEX('Такс. опис.'!$A$5:$BW$50,MATCH(CONCATENATE($C90,"/",$D90,"/",$E90),'Такс. опис.'!$C$5:$C$50,0),26))</f>
        <v>10ОС</v>
      </c>
      <c r="Y90" s="179">
        <f>IF(B90="",Y89,INDEX('Такс. опис.'!$A$5:$BW$50,MATCH(CONCATENATE($C90,"/",$D90,"/",$E90),'Такс. опис.'!$C$5:$C$50,0),49))</f>
        <v>50</v>
      </c>
      <c r="Z90" s="179" t="str">
        <f>IF(C90="",Z89,INDEX('Такс. опис.'!$A$5:$BW$50,MATCH(CONCATENATE($C90,"/",$D90,"/",$E90),'Такс. опис.'!$C$5:$C$50,0),47))</f>
        <v>Осина</v>
      </c>
      <c r="AA90" s="179" t="str">
        <f>IF(D90="","",INDEX('Такс. опис.'!$A$5:$BW$50,MATCH('Ведомость расчета мин. платы'!AC90,'Такс. опис.'!$C$5:$C$50,0),31))</f>
        <v/>
      </c>
      <c r="AB90" s="115"/>
      <c r="AC90" s="47" t="str">
        <f t="shared" si="37"/>
        <v>Мамыковское/25/2/1</v>
      </c>
      <c r="AD90" s="180">
        <f>INDEX(Периметр!$A$3:$Q$158,MATCH(AC90,Периметр!$A$3:$A$158,0),17)</f>
        <v>0.9</v>
      </c>
      <c r="AE90" s="47" t="str">
        <f t="shared" si="35"/>
        <v/>
      </c>
      <c r="AF90" s="115"/>
      <c r="AG90" s="176"/>
      <c r="AH90" s="176"/>
      <c r="AI90" s="176"/>
      <c r="AK90" s="186" t="str">
        <f t="shared" si="29"/>
        <v>//</v>
      </c>
    </row>
    <row r="91" spans="2:38" ht="15.95" customHeight="1" x14ac:dyDescent="0.2">
      <c r="B91" s="179">
        <f>IF(E91="","",COUNTA($E$10:E91))</f>
        <v>22</v>
      </c>
      <c r="C91" s="157" t="s">
        <v>24</v>
      </c>
      <c r="D91" s="113">
        <v>52</v>
      </c>
      <c r="E91" s="113">
        <v>4</v>
      </c>
      <c r="F91" s="113">
        <v>1</v>
      </c>
      <c r="G91" s="157">
        <v>1.8</v>
      </c>
      <c r="H91" s="113" t="s">
        <v>2086</v>
      </c>
      <c r="I91" s="157" t="s">
        <v>23</v>
      </c>
      <c r="J91" s="182" t="s">
        <v>17</v>
      </c>
      <c r="K91" s="183">
        <v>4.95</v>
      </c>
      <c r="L91" s="183">
        <v>6.45</v>
      </c>
      <c r="M91" s="183">
        <v>2.34</v>
      </c>
      <c r="N91" s="114">
        <f t="shared" si="33"/>
        <v>13.74</v>
      </c>
      <c r="O91" s="183">
        <v>10.31</v>
      </c>
      <c r="P91" s="183"/>
      <c r="Q91" s="370">
        <f t="shared" si="34"/>
        <v>24.05</v>
      </c>
      <c r="R91" s="183">
        <v>27.4</v>
      </c>
      <c r="S91" s="121">
        <v>1256.25</v>
      </c>
      <c r="T91" s="116" t="str">
        <f>IF(AE91="",INDEX(Коэффициенты!$B$4:$S$59,MATCH('Ведомость расчета мин. платы'!AC91,Коэффициенты!$O$4:$O$59,0),9),"")</f>
        <v/>
      </c>
      <c r="U91" s="31" t="s">
        <v>2055</v>
      </c>
      <c r="V91" s="184"/>
      <c r="W91" s="179" t="str">
        <f>IF(B91="",#REF!,INDEX('Такс. опис.'!$A$5:$BW$50,MATCH(CONCATENATE($C91,"/",$D91,"/",$E91),'Такс. опис.'!$C$5:$C$50,0),48))</f>
        <v>мл</v>
      </c>
      <c r="X91" s="179" t="str">
        <f>IF(B91="",#REF!,INDEX('Такс. опис.'!$A$5:$BW$50,MATCH(CONCATENATE($C91,"/",$D91,"/",$E91),'Такс. опис.'!$C$5:$C$50,0),26))</f>
        <v>8ОС1Б1ЛП</v>
      </c>
      <c r="Y91" s="179">
        <f>IF(B91="",#REF!,INDEX('Такс. опис.'!$A$5:$BW$50,MATCH(CONCATENATE($C91,"/",$D91,"/",$E91),'Такс. опис.'!$C$5:$C$50,0),49))</f>
        <v>55</v>
      </c>
      <c r="Z91" s="179" t="str">
        <f>IF(C91="",#REF!,INDEX('Такс. опис.'!$A$5:$BW$50,MATCH(CONCATENATE($C91,"/",$D91,"/",$E91),'Такс. опис.'!$C$5:$C$50,0),47))</f>
        <v>Осина</v>
      </c>
      <c r="AA91" s="179" t="e">
        <f>IF(D91="","",INDEX('Такс. опис.'!$A$5:$BW$50,MATCH('Ведомость расчета мин. платы'!AC91,'Такс. опис.'!$C$5:$C$50,0),31))</f>
        <v>#N/A</v>
      </c>
      <c r="AB91" s="115"/>
      <c r="AC91" s="47" t="str">
        <f>IF(B91="",#REF!,CONCATENATE($C91,"/",$D91,"/",$E91,"/",F91))</f>
        <v>Мамыковское/52/4/1</v>
      </c>
      <c r="AD91" s="180">
        <f>INDEX(Периметр!$A$3:$Q$158,MATCH(AC91,Периметр!$A$3:$A$158,0),17)</f>
        <v>0.56999999999999995</v>
      </c>
      <c r="AE91" s="47" t="str">
        <f t="shared" si="35"/>
        <v>Мамыковское/52/4/1/Береза</v>
      </c>
      <c r="AF91" s="115"/>
      <c r="AG91" s="176"/>
      <c r="AH91" s="176"/>
      <c r="AI91" s="176"/>
      <c r="AK91" s="186" t="str">
        <f t="shared" si="29"/>
        <v>Мамыковское/52/4</v>
      </c>
      <c r="AL91" s="181">
        <v>1</v>
      </c>
    </row>
    <row r="92" spans="2:38" ht="15.95" customHeight="1" x14ac:dyDescent="0.2">
      <c r="B92" s="179" t="str">
        <f>IF(E92="","",COUNTA($E$10:E92))</f>
        <v/>
      </c>
      <c r="C92" s="157"/>
      <c r="D92" s="113" t="s">
        <v>166</v>
      </c>
      <c r="E92" s="113"/>
      <c r="F92" s="113" t="s">
        <v>166</v>
      </c>
      <c r="G92" s="157" t="s">
        <v>166</v>
      </c>
      <c r="H92" s="113"/>
      <c r="I92" s="157"/>
      <c r="J92" s="182" t="s">
        <v>19</v>
      </c>
      <c r="K92" s="183">
        <v>1.61</v>
      </c>
      <c r="L92" s="183">
        <v>4.41</v>
      </c>
      <c r="M92" s="183">
        <v>0.92</v>
      </c>
      <c r="N92" s="114">
        <f t="shared" si="33"/>
        <v>6.94</v>
      </c>
      <c r="O92" s="183">
        <v>17.420000000000002</v>
      </c>
      <c r="P92" s="183"/>
      <c r="Q92" s="370">
        <f t="shared" si="34"/>
        <v>24.360000000000003</v>
      </c>
      <c r="R92" s="183">
        <v>27.96</v>
      </c>
      <c r="S92" s="121">
        <v>374.51</v>
      </c>
      <c r="T92" s="116" t="str">
        <f>IF(AE92="",INDEX(Коэффициенты!$B$4:$S$59,MATCH('Ведомость расчета мин. платы'!AC92,Коэффициенты!$O$4:$O$59,0),9),"")</f>
        <v/>
      </c>
      <c r="U92" s="31"/>
      <c r="V92" s="184"/>
      <c r="W92" s="179" t="str">
        <f>IF(B92="",W91,INDEX('Такс. опис.'!$A$5:$BW$50,MATCH(CONCATENATE($C92,"/",$D92,"/",$E92),'Такс. опис.'!$C$5:$C$50,0),48))</f>
        <v>мл</v>
      </c>
      <c r="X92" s="179" t="str">
        <f>IF(B92="",X91,INDEX('Такс. опис.'!$A$5:$BW$50,MATCH(CONCATENATE($C92,"/",$D92,"/",$E92),'Такс. опис.'!$C$5:$C$50,0),26))</f>
        <v>8ОС1Б1ЛП</v>
      </c>
      <c r="Y92" s="179">
        <f>IF(B92="",Y91,INDEX('Такс. опис.'!$A$5:$BW$50,MATCH(CONCATENATE($C92,"/",$D92,"/",$E92),'Такс. опис.'!$C$5:$C$50,0),49))</f>
        <v>55</v>
      </c>
      <c r="Z92" s="179" t="str">
        <f>IF(C92="",Z91,INDEX('Такс. опис.'!$A$5:$BW$50,MATCH(CONCATENATE($C92,"/",$D92,"/",$E92),'Такс. опис.'!$C$5:$C$50,0),47))</f>
        <v>Осина</v>
      </c>
      <c r="AA92" s="179" t="str">
        <f>IF(D92="","",INDEX('Такс. опис.'!$A$5:$BW$50,MATCH('Ведомость расчета мин. платы'!AC92,'Такс. опис.'!$C$5:$C$50,0),31))</f>
        <v/>
      </c>
      <c r="AB92" s="115"/>
      <c r="AC92" s="47" t="str">
        <f t="shared" si="37"/>
        <v>Мамыковское/52/4/1</v>
      </c>
      <c r="AD92" s="180">
        <f>INDEX(Периметр!$A$3:$Q$158,MATCH(AC92,Периметр!$A$3:$A$158,0),17)</f>
        <v>0.56999999999999995</v>
      </c>
      <c r="AE92" s="47" t="str">
        <f t="shared" si="35"/>
        <v>Мамыковское/52/4/1/Липа</v>
      </c>
      <c r="AF92" s="115"/>
      <c r="AG92" s="176"/>
      <c r="AH92" s="176"/>
      <c r="AI92" s="176"/>
      <c r="AK92" s="186" t="str">
        <f t="shared" si="29"/>
        <v>//</v>
      </c>
    </row>
    <row r="93" spans="2:38" ht="15.95" customHeight="1" x14ac:dyDescent="0.2">
      <c r="B93" s="179" t="str">
        <f>IF(E93="","",COUNTA($E$10:E93))</f>
        <v/>
      </c>
      <c r="C93" s="157"/>
      <c r="D93" s="113" t="s">
        <v>166</v>
      </c>
      <c r="E93" s="113"/>
      <c r="F93" s="113" t="s">
        <v>166</v>
      </c>
      <c r="G93" s="157" t="s">
        <v>166</v>
      </c>
      <c r="H93" s="113"/>
      <c r="I93" s="157"/>
      <c r="J93" s="182" t="s">
        <v>18</v>
      </c>
      <c r="K93" s="183">
        <v>43.47</v>
      </c>
      <c r="L93" s="183">
        <v>44.74</v>
      </c>
      <c r="M93" s="183">
        <v>4.17</v>
      </c>
      <c r="N93" s="114">
        <f t="shared" si="33"/>
        <v>92.38000000000001</v>
      </c>
      <c r="O93" s="183">
        <v>105.81</v>
      </c>
      <c r="P93" s="183"/>
      <c r="Q93" s="370">
        <f t="shared" si="34"/>
        <v>198.19</v>
      </c>
      <c r="R93" s="183">
        <v>235.67</v>
      </c>
      <c r="S93" s="121">
        <v>1779.11</v>
      </c>
      <c r="T93" s="116" t="str">
        <f>IF(AE93="",INDEX(Коэффициенты!$B$4:$S$59,MATCH('Ведомость расчета мин. платы'!AC93,Коэффициенты!$O$4:$O$59,0),9),"")</f>
        <v/>
      </c>
      <c r="U93" s="31"/>
      <c r="V93" s="184"/>
      <c r="W93" s="179" t="str">
        <f>IF(B93="",W92,INDEX('Такс. опис.'!$A$5:$BW$50,MATCH(CONCATENATE($C93,"/",$D93,"/",$E93),'Такс. опис.'!$C$5:$C$50,0),48))</f>
        <v>мл</v>
      </c>
      <c r="X93" s="179" t="str">
        <f>IF(B93="",X92,INDEX('Такс. опис.'!$A$5:$BW$50,MATCH(CONCATENATE($C93,"/",$D93,"/",$E93),'Такс. опис.'!$C$5:$C$50,0),26))</f>
        <v>8ОС1Б1ЛП</v>
      </c>
      <c r="Y93" s="179">
        <f>IF(B93="",Y92,INDEX('Такс. опис.'!$A$5:$BW$50,MATCH(CONCATENATE($C93,"/",$D93,"/",$E93),'Такс. опис.'!$C$5:$C$50,0),49))</f>
        <v>55</v>
      </c>
      <c r="Z93" s="179" t="str">
        <f>IF(C93="",Z92,INDEX('Такс. опис.'!$A$5:$BW$50,MATCH(CONCATENATE($C93,"/",$D93,"/",$E93),'Такс. опис.'!$C$5:$C$50,0),47))</f>
        <v>Осина</v>
      </c>
      <c r="AA93" s="179" t="str">
        <f>IF(D93="","",INDEX('Такс. опис.'!$A$5:$BW$50,MATCH('Ведомость расчета мин. платы'!AC93,'Такс. опис.'!$C$5:$C$50,0),31))</f>
        <v/>
      </c>
      <c r="AB93" s="115"/>
      <c r="AC93" s="47" t="str">
        <f t="shared" si="37"/>
        <v>Мамыковское/52/4/1</v>
      </c>
      <c r="AD93" s="180">
        <f>INDEX(Периметр!$A$3:$Q$158,MATCH(AC93,Периметр!$A$3:$A$158,0),17)</f>
        <v>0.56999999999999995</v>
      </c>
      <c r="AE93" s="47" t="str">
        <f t="shared" si="35"/>
        <v>Мамыковское/52/4/1/Осина</v>
      </c>
      <c r="AF93" s="115"/>
      <c r="AG93" s="176"/>
      <c r="AH93" s="176"/>
      <c r="AI93" s="176"/>
      <c r="AK93" s="186" t="str">
        <f t="shared" si="29"/>
        <v>//</v>
      </c>
    </row>
    <row r="94" spans="2:38" ht="15.95" customHeight="1" x14ac:dyDescent="0.2">
      <c r="B94" s="179" t="str">
        <f>IF(E94="","",COUNTA($E$10:E94))</f>
        <v/>
      </c>
      <c r="C94" s="157"/>
      <c r="D94" s="113"/>
      <c r="E94" s="113"/>
      <c r="F94" s="113"/>
      <c r="G94" s="157"/>
      <c r="H94" s="113"/>
      <c r="I94" s="157"/>
      <c r="J94" s="187" t="s">
        <v>15</v>
      </c>
      <c r="K94" s="114">
        <f>SUM(K91:K93)</f>
        <v>50.03</v>
      </c>
      <c r="L94" s="114">
        <f t="shared" ref="L94:S94" si="39">SUM(L91:L93)</f>
        <v>55.6</v>
      </c>
      <c r="M94" s="114">
        <f t="shared" si="39"/>
        <v>7.43</v>
      </c>
      <c r="N94" s="114">
        <f t="shared" si="39"/>
        <v>113.06</v>
      </c>
      <c r="O94" s="114">
        <f t="shared" si="39"/>
        <v>133.54000000000002</v>
      </c>
      <c r="P94" s="114"/>
      <c r="Q94" s="370">
        <f t="shared" si="39"/>
        <v>246.6</v>
      </c>
      <c r="R94" s="114">
        <f t="shared" si="39"/>
        <v>291.02999999999997</v>
      </c>
      <c r="S94" s="114">
        <f t="shared" si="39"/>
        <v>3409.87</v>
      </c>
      <c r="T94" s="116">
        <f>IF(AE94="",INDEX(Коэффициенты!$B$4:$S$59,MATCH('Ведомость расчета мин. платы'!AC94,Коэффициенты!$O$4:$O$59,0),9),"")</f>
        <v>9649.9321</v>
      </c>
      <c r="U94" s="31"/>
      <c r="V94" s="184"/>
      <c r="W94" s="179" t="str">
        <f>IF(B94="",W93,INDEX('Такс. опис.'!$A$5:$BW$50,MATCH(CONCATENATE($C94,"/",$D94,"/",$E94),'Такс. опис.'!$C$5:$C$50,0),48))</f>
        <v>мл</v>
      </c>
      <c r="X94" s="179" t="str">
        <f>IF(B94="",X93,INDEX('Такс. опис.'!$A$5:$BW$50,MATCH(CONCATENATE($C94,"/",$D94,"/",$E94),'Такс. опис.'!$C$5:$C$50,0),26))</f>
        <v>8ОС1Б1ЛП</v>
      </c>
      <c r="Y94" s="179">
        <f>IF(B94="",Y93,INDEX('Такс. опис.'!$A$5:$BW$50,MATCH(CONCATENATE($C94,"/",$D94,"/",$E94),'Такс. опис.'!$C$5:$C$50,0),49))</f>
        <v>55</v>
      </c>
      <c r="Z94" s="179" t="str">
        <f>IF(C94="",Z93,INDEX('Такс. опис.'!$A$5:$BW$50,MATCH(CONCATENATE($C94,"/",$D94,"/",$E94),'Такс. опис.'!$C$5:$C$50,0),47))</f>
        <v>Осина</v>
      </c>
      <c r="AA94" s="179" t="str">
        <f>IF(D94="","",INDEX('Такс. опис.'!$A$5:$BW$50,MATCH('Ведомость расчета мин. платы'!AC94,'Такс. опис.'!$C$5:$C$50,0),31))</f>
        <v/>
      </c>
      <c r="AB94" s="115"/>
      <c r="AC94" s="47" t="str">
        <f t="shared" si="37"/>
        <v>Мамыковское/52/4/1</v>
      </c>
      <c r="AD94" s="180">
        <f>INDEX(Периметр!$A$3:$Q$158,MATCH(AC94,Периметр!$A$3:$A$158,0),17)</f>
        <v>0.56999999999999995</v>
      </c>
      <c r="AE94" s="47" t="str">
        <f t="shared" si="35"/>
        <v/>
      </c>
      <c r="AF94" s="115"/>
      <c r="AG94" s="176"/>
      <c r="AH94" s="176"/>
      <c r="AI94" s="176"/>
      <c r="AK94" s="186" t="str">
        <f t="shared" si="29"/>
        <v>//</v>
      </c>
    </row>
    <row r="95" spans="2:38" ht="15.95" customHeight="1" x14ac:dyDescent="0.2">
      <c r="B95" s="179">
        <f>IF(E95="","",COUNTA($E$10:E95))</f>
        <v>23</v>
      </c>
      <c r="C95" s="157" t="s">
        <v>24</v>
      </c>
      <c r="D95" s="113">
        <v>52</v>
      </c>
      <c r="E95" s="113">
        <v>22</v>
      </c>
      <c r="F95" s="113">
        <v>2</v>
      </c>
      <c r="G95" s="157">
        <v>7</v>
      </c>
      <c r="H95" s="113" t="s">
        <v>2086</v>
      </c>
      <c r="I95" s="157" t="s">
        <v>23</v>
      </c>
      <c r="J95" s="182" t="s">
        <v>17</v>
      </c>
      <c r="K95" s="183">
        <v>25</v>
      </c>
      <c r="L95" s="183">
        <v>28.2</v>
      </c>
      <c r="M95" s="183">
        <v>6</v>
      </c>
      <c r="N95" s="114">
        <f t="shared" si="33"/>
        <v>59.2</v>
      </c>
      <c r="O95" s="183">
        <v>57.7</v>
      </c>
      <c r="P95" s="183"/>
      <c r="Q95" s="370">
        <f t="shared" si="34"/>
        <v>116.9</v>
      </c>
      <c r="R95" s="183">
        <v>132.4</v>
      </c>
      <c r="S95" s="121">
        <v>5784.24</v>
      </c>
      <c r="T95" s="116" t="str">
        <f>IF(AE95="",INDEX(Коэффициенты!$B$4:$S$59,MATCH('Ведомость расчета мин. платы'!AC95,Коэффициенты!$O$4:$O$59,0),9),"")</f>
        <v/>
      </c>
      <c r="U95" s="31" t="s">
        <v>2055</v>
      </c>
      <c r="V95" s="184"/>
      <c r="W95" s="179" t="str">
        <f>IF(B95="",W94,INDEX('Такс. опис.'!$A$5:$BW$50,MATCH(CONCATENATE($C95,"/",$D95,"/",$E95),'Такс. опис.'!$C$5:$C$50,0),48))</f>
        <v>мл</v>
      </c>
      <c r="X95" s="179" t="str">
        <f>IF(B95="",X94,INDEX('Такс. опис.'!$A$5:$BW$50,MATCH(CONCATENATE($C95,"/",$D95,"/",$E95),'Такс. опис.'!$C$5:$C$50,0),26))</f>
        <v>8ОС1Б1ЛП</v>
      </c>
      <c r="Y95" s="179">
        <f>IF(B95="",Y94,INDEX('Такс. опис.'!$A$5:$BW$50,MATCH(CONCATENATE($C95,"/",$D95,"/",$E95),'Такс. опис.'!$C$5:$C$50,0),49))</f>
        <v>55</v>
      </c>
      <c r="Z95" s="179" t="str">
        <f>IF(C95="",Z94,INDEX('Такс. опис.'!$A$5:$BW$50,MATCH(CONCATENATE($C95,"/",$D95,"/",$E95),'Такс. опис.'!$C$5:$C$50,0),47))</f>
        <v>Осина</v>
      </c>
      <c r="AA95" s="179" t="e">
        <f>IF(D95="","",INDEX('Такс. опис.'!$A$5:$BW$50,MATCH('Ведомость расчета мин. платы'!AC95,'Такс. опис.'!$C$5:$C$50,0),31))</f>
        <v>#N/A</v>
      </c>
      <c r="AB95" s="115"/>
      <c r="AC95" s="47" t="str">
        <f t="shared" si="37"/>
        <v>Мамыковское/52/22/2</v>
      </c>
      <c r="AD95" s="180">
        <f>INDEX(Периметр!$A$3:$Q$158,MATCH(AC95,Периметр!$A$3:$A$158,0),17)</f>
        <v>1.6</v>
      </c>
      <c r="AE95" s="47" t="str">
        <f t="shared" si="35"/>
        <v>Мамыковское/52/22/2/Береза</v>
      </c>
      <c r="AF95" s="115"/>
      <c r="AG95" s="176"/>
      <c r="AH95" s="176"/>
      <c r="AI95" s="176"/>
      <c r="AK95" s="186" t="str">
        <f t="shared" si="29"/>
        <v>Мамыковское/52/22</v>
      </c>
      <c r="AL95" s="181">
        <v>1</v>
      </c>
    </row>
    <row r="96" spans="2:38" ht="15.95" customHeight="1" x14ac:dyDescent="0.2">
      <c r="B96" s="179" t="str">
        <f>IF(E96="","",COUNTA($E$10:E96))</f>
        <v/>
      </c>
      <c r="C96" s="157"/>
      <c r="D96" s="113" t="s">
        <v>166</v>
      </c>
      <c r="E96" s="113"/>
      <c r="F96" s="113" t="s">
        <v>166</v>
      </c>
      <c r="G96" s="157" t="s">
        <v>166</v>
      </c>
      <c r="H96" s="113"/>
      <c r="I96" s="157"/>
      <c r="J96" s="182" t="s">
        <v>19</v>
      </c>
      <c r="K96" s="183"/>
      <c r="L96" s="183">
        <v>23.8</v>
      </c>
      <c r="M96" s="183">
        <v>12.53</v>
      </c>
      <c r="N96" s="114">
        <f t="shared" si="33"/>
        <v>36.33</v>
      </c>
      <c r="O96" s="183">
        <v>59.45</v>
      </c>
      <c r="P96" s="183"/>
      <c r="Q96" s="370">
        <f t="shared" si="34"/>
        <v>95.78</v>
      </c>
      <c r="R96" s="183">
        <v>107.2</v>
      </c>
      <c r="S96" s="121">
        <v>1575</v>
      </c>
      <c r="T96" s="116" t="str">
        <f>IF(AE96="",INDEX(Коэффициенты!$B$4:$S$59,MATCH('Ведомость расчета мин. платы'!AC96,Коэффициенты!$O$4:$O$59,0),9),"")</f>
        <v/>
      </c>
      <c r="U96" s="31"/>
      <c r="V96" s="184"/>
      <c r="W96" s="179" t="str">
        <f>IF(B96="",W95,INDEX('Такс. опис.'!$A$5:$BW$50,MATCH(CONCATENATE($C96,"/",$D96,"/",$E96),'Такс. опис.'!$C$5:$C$50,0),48))</f>
        <v>мл</v>
      </c>
      <c r="X96" s="179" t="str">
        <f>IF(B96="",X95,INDEX('Такс. опис.'!$A$5:$BW$50,MATCH(CONCATENATE($C96,"/",$D96,"/",$E96),'Такс. опис.'!$C$5:$C$50,0),26))</f>
        <v>8ОС1Б1ЛП</v>
      </c>
      <c r="Y96" s="179">
        <f>IF(B96="",Y95,INDEX('Такс. опис.'!$A$5:$BW$50,MATCH(CONCATENATE($C96,"/",$D96,"/",$E96),'Такс. опис.'!$C$5:$C$50,0),49))</f>
        <v>55</v>
      </c>
      <c r="Z96" s="179" t="str">
        <f>IF(C96="",Z95,INDEX('Такс. опис.'!$A$5:$BW$50,MATCH(CONCATENATE($C96,"/",$D96,"/",$E96),'Такс. опис.'!$C$5:$C$50,0),47))</f>
        <v>Осина</v>
      </c>
      <c r="AA96" s="179" t="str">
        <f>IF(D96="","",INDEX('Такс. опис.'!$A$5:$BW$50,MATCH('Ведомость расчета мин. платы'!AC96,'Такс. опис.'!$C$5:$C$50,0),31))</f>
        <v/>
      </c>
      <c r="AB96" s="115"/>
      <c r="AC96" s="47" t="str">
        <f t="shared" si="37"/>
        <v>Мамыковское/52/22/2</v>
      </c>
      <c r="AD96" s="180">
        <f>INDEX(Периметр!$A$3:$Q$158,MATCH(AC96,Периметр!$A$3:$A$158,0),17)</f>
        <v>1.6</v>
      </c>
      <c r="AE96" s="47" t="str">
        <f t="shared" si="35"/>
        <v>Мамыковское/52/22/2/Липа</v>
      </c>
      <c r="AF96" s="115"/>
      <c r="AG96" s="176"/>
      <c r="AH96" s="176"/>
      <c r="AI96" s="176"/>
      <c r="AK96" s="186" t="str">
        <f t="shared" si="29"/>
        <v>//</v>
      </c>
    </row>
    <row r="97" spans="2:38" ht="15.95" customHeight="1" x14ac:dyDescent="0.2">
      <c r="B97" s="179" t="str">
        <f>IF(E97="","",COUNTA($E$10:E97))</f>
        <v/>
      </c>
      <c r="C97" s="157"/>
      <c r="D97" s="113" t="s">
        <v>166</v>
      </c>
      <c r="E97" s="113"/>
      <c r="F97" s="113" t="s">
        <v>166</v>
      </c>
      <c r="G97" s="157" t="s">
        <v>166</v>
      </c>
      <c r="H97" s="113"/>
      <c r="I97" s="157"/>
      <c r="J97" s="182" t="s">
        <v>18</v>
      </c>
      <c r="K97" s="183">
        <v>358.6</v>
      </c>
      <c r="L97" s="183">
        <v>66.900000000000006</v>
      </c>
      <c r="M97" s="183">
        <v>3.9</v>
      </c>
      <c r="N97" s="114">
        <f t="shared" si="33"/>
        <v>429.4</v>
      </c>
      <c r="O97" s="183">
        <v>356.1</v>
      </c>
      <c r="P97" s="183"/>
      <c r="Q97" s="370">
        <f t="shared" si="34"/>
        <v>785.5</v>
      </c>
      <c r="R97" s="183">
        <v>920.8</v>
      </c>
      <c r="S97" s="121">
        <v>9130.34</v>
      </c>
      <c r="T97" s="116" t="str">
        <f>IF(AE97="",INDEX(Коэффициенты!$B$4:$S$59,MATCH('Ведомость расчета мин. платы'!AC97,Коэффициенты!$O$4:$O$59,0),9),"")</f>
        <v/>
      </c>
      <c r="U97" s="31"/>
      <c r="V97" s="184"/>
      <c r="W97" s="179" t="str">
        <f>IF(B97="",W96,INDEX('Такс. опис.'!$A$5:$BW$50,MATCH(CONCATENATE($C97,"/",$D97,"/",$E97),'Такс. опис.'!$C$5:$C$50,0),48))</f>
        <v>мл</v>
      </c>
      <c r="X97" s="179" t="str">
        <f>IF(B97="",X96,INDEX('Такс. опис.'!$A$5:$BW$50,MATCH(CONCATENATE($C97,"/",$D97,"/",$E97),'Такс. опис.'!$C$5:$C$50,0),26))</f>
        <v>8ОС1Б1ЛП</v>
      </c>
      <c r="Y97" s="179">
        <f>IF(B97="",Y96,INDEX('Такс. опис.'!$A$5:$BW$50,MATCH(CONCATENATE($C97,"/",$D97,"/",$E97),'Такс. опис.'!$C$5:$C$50,0),49))</f>
        <v>55</v>
      </c>
      <c r="Z97" s="179" t="str">
        <f>IF(C97="",Z96,INDEX('Такс. опис.'!$A$5:$BW$50,MATCH(CONCATENATE($C97,"/",$D97,"/",$E97),'Такс. опис.'!$C$5:$C$50,0),47))</f>
        <v>Осина</v>
      </c>
      <c r="AA97" s="179" t="str">
        <f>IF(D97="","",INDEX('Такс. опис.'!$A$5:$BW$50,MATCH('Ведомость расчета мин. платы'!AC97,'Такс. опис.'!$C$5:$C$50,0),31))</f>
        <v/>
      </c>
      <c r="AB97" s="115"/>
      <c r="AC97" s="47" t="str">
        <f t="shared" si="37"/>
        <v>Мамыковское/52/22/2</v>
      </c>
      <c r="AD97" s="180">
        <f>INDEX(Периметр!$A$3:$Q$158,MATCH(AC97,Периметр!$A$3:$A$158,0),17)</f>
        <v>1.6</v>
      </c>
      <c r="AE97" s="47" t="str">
        <f t="shared" si="35"/>
        <v>Мамыковское/52/22/2/Осина</v>
      </c>
      <c r="AF97" s="115"/>
      <c r="AG97" s="176"/>
      <c r="AH97" s="176"/>
      <c r="AI97" s="176"/>
      <c r="AK97" s="186" t="str">
        <f t="shared" si="29"/>
        <v>//</v>
      </c>
    </row>
    <row r="98" spans="2:38" ht="15.95" customHeight="1" x14ac:dyDescent="0.2">
      <c r="B98" s="179" t="str">
        <f>IF(E98="","",COUNTA($E$10:E98))</f>
        <v/>
      </c>
      <c r="C98" s="157"/>
      <c r="D98" s="113"/>
      <c r="E98" s="113"/>
      <c r="F98" s="113"/>
      <c r="G98" s="157"/>
      <c r="H98" s="113"/>
      <c r="I98" s="157"/>
      <c r="J98" s="187" t="s">
        <v>15</v>
      </c>
      <c r="K98" s="114">
        <f>SUM(K95:K97)</f>
        <v>383.6</v>
      </c>
      <c r="L98" s="114">
        <f t="shared" ref="L98:S98" si="40">SUM(L95:L97)</f>
        <v>118.9</v>
      </c>
      <c r="M98" s="114">
        <f t="shared" si="40"/>
        <v>22.43</v>
      </c>
      <c r="N98" s="114">
        <f t="shared" si="40"/>
        <v>524.92999999999995</v>
      </c>
      <c r="O98" s="114">
        <f t="shared" si="40"/>
        <v>473.25</v>
      </c>
      <c r="P98" s="114"/>
      <c r="Q98" s="370">
        <f t="shared" si="40"/>
        <v>998.18000000000006</v>
      </c>
      <c r="R98" s="114">
        <f t="shared" si="40"/>
        <v>1160.4000000000001</v>
      </c>
      <c r="S98" s="114">
        <f t="shared" si="40"/>
        <v>16489.580000000002</v>
      </c>
      <c r="T98" s="116">
        <f>IF(AE98="",INDEX(Коэффициенты!$B$4:$S$59,MATCH('Ведомость расчета мин. платы'!AC98,Коэффициенты!$O$4:$O$59,0),9),"")</f>
        <v>40399.471000000005</v>
      </c>
      <c r="U98" s="31"/>
      <c r="V98" s="184"/>
      <c r="W98" s="179" t="str">
        <f>IF(B98="",W97,INDEX('Такс. опис.'!$A$5:$BW$50,MATCH(CONCATENATE($C98,"/",$D98,"/",$E98),'Такс. опис.'!$C$5:$C$50,0),48))</f>
        <v>мл</v>
      </c>
      <c r="X98" s="179" t="str">
        <f>IF(B98="",X97,INDEX('Такс. опис.'!$A$5:$BW$50,MATCH(CONCATENATE($C98,"/",$D98,"/",$E98),'Такс. опис.'!$C$5:$C$50,0),26))</f>
        <v>8ОС1Б1ЛП</v>
      </c>
      <c r="Y98" s="179">
        <f>IF(B98="",Y97,INDEX('Такс. опис.'!$A$5:$BW$50,MATCH(CONCATENATE($C98,"/",$D98,"/",$E98),'Такс. опис.'!$C$5:$C$50,0),49))</f>
        <v>55</v>
      </c>
      <c r="Z98" s="179" t="str">
        <f>IF(C98="",Z97,INDEX('Такс. опис.'!$A$5:$BW$50,MATCH(CONCATENATE($C98,"/",$D98,"/",$E98),'Такс. опис.'!$C$5:$C$50,0),47))</f>
        <v>Осина</v>
      </c>
      <c r="AA98" s="179" t="str">
        <f>IF(D98="","",INDEX('Такс. опис.'!$A$5:$BW$50,MATCH('Ведомость расчета мин. платы'!AC98,'Такс. опис.'!$C$5:$C$50,0),31))</f>
        <v/>
      </c>
      <c r="AB98" s="115"/>
      <c r="AC98" s="47" t="str">
        <f t="shared" si="37"/>
        <v>Мамыковское/52/22/2</v>
      </c>
      <c r="AD98" s="180">
        <f>INDEX(Периметр!$A$3:$Q$158,MATCH(AC98,Периметр!$A$3:$A$158,0),17)</f>
        <v>1.6</v>
      </c>
      <c r="AE98" s="47" t="str">
        <f t="shared" si="35"/>
        <v/>
      </c>
      <c r="AF98" s="115"/>
      <c r="AG98" s="176"/>
      <c r="AH98" s="176"/>
      <c r="AI98" s="176"/>
      <c r="AK98" s="186" t="str">
        <f t="shared" si="29"/>
        <v>//</v>
      </c>
    </row>
    <row r="99" spans="2:38" ht="15.95" customHeight="1" x14ac:dyDescent="0.2">
      <c r="B99" s="179">
        <f>IF(E99="","",COUNTA($E$10:E99))</f>
        <v>24</v>
      </c>
      <c r="C99" s="157" t="s">
        <v>24</v>
      </c>
      <c r="D99" s="113">
        <v>52</v>
      </c>
      <c r="E99" s="113">
        <v>35</v>
      </c>
      <c r="F99" s="113">
        <v>4</v>
      </c>
      <c r="G99" s="157">
        <v>3.6</v>
      </c>
      <c r="H99" s="113" t="s">
        <v>2086</v>
      </c>
      <c r="I99" s="157" t="s">
        <v>23</v>
      </c>
      <c r="J99" s="182" t="s">
        <v>17</v>
      </c>
      <c r="K99" s="183">
        <v>14</v>
      </c>
      <c r="L99" s="183">
        <v>23.6</v>
      </c>
      <c r="M99" s="183">
        <v>6</v>
      </c>
      <c r="N99" s="114">
        <f t="shared" si="33"/>
        <v>43.6</v>
      </c>
      <c r="O99" s="183">
        <v>34.299999999999997</v>
      </c>
      <c r="P99" s="183"/>
      <c r="Q99" s="370">
        <f t="shared" si="34"/>
        <v>77.900000000000006</v>
      </c>
      <c r="R99" s="183">
        <v>88.4</v>
      </c>
      <c r="S99" s="121">
        <v>3997.86</v>
      </c>
      <c r="T99" s="116" t="str">
        <f>IF(AE99="",INDEX(Коэффициенты!$B$4:$S$59,MATCH('Ведомость расчета мин. платы'!AC99,Коэффициенты!$O$4:$O$59,0),9),"")</f>
        <v/>
      </c>
      <c r="U99" s="31" t="s">
        <v>2055</v>
      </c>
      <c r="V99" s="184"/>
      <c r="W99" s="179" t="str">
        <f>IF(B99="",W98,INDEX('Такс. опис.'!$A$5:$BW$50,MATCH(CONCATENATE($C99,"/",$D99,"/",$E99),'Такс. опис.'!$C$5:$C$50,0),48))</f>
        <v>мл</v>
      </c>
      <c r="X99" s="179" t="str">
        <f>IF(B99="",X98,INDEX('Такс. опис.'!$A$5:$BW$50,MATCH(CONCATENATE($C99,"/",$D99,"/",$E99),'Такс. опис.'!$C$5:$C$50,0),26))</f>
        <v>10ОС+Б</v>
      </c>
      <c r="Y99" s="179">
        <f>IF(B99="",Y98,INDEX('Такс. опис.'!$A$5:$BW$50,MATCH(CONCATENATE($C99,"/",$D99,"/",$E99),'Такс. опис.'!$C$5:$C$50,0),49))</f>
        <v>55</v>
      </c>
      <c r="Z99" s="179" t="str">
        <f>IF(C99="",Z98,INDEX('Такс. опис.'!$A$5:$BW$50,MATCH(CONCATENATE($C99,"/",$D99,"/",$E99),'Такс. опис.'!$C$5:$C$50,0),47))</f>
        <v>Осина</v>
      </c>
      <c r="AA99" s="179" t="e">
        <f>IF(D99="","",INDEX('Такс. опис.'!$A$5:$BW$50,MATCH('Ведомость расчета мин. платы'!AC99,'Такс. опис.'!$C$5:$C$50,0),31))</f>
        <v>#N/A</v>
      </c>
      <c r="AB99" s="115"/>
      <c r="AC99" s="47" t="str">
        <f t="shared" si="37"/>
        <v>Мамыковское/52/35/4</v>
      </c>
      <c r="AD99" s="180">
        <f>INDEX(Периметр!$A$3:$Q$158,MATCH(AC99,Периметр!$A$3:$A$158,0),17)</f>
        <v>0.92</v>
      </c>
      <c r="AE99" s="47" t="str">
        <f t="shared" si="35"/>
        <v>Мамыковское/52/35/4/Береза</v>
      </c>
      <c r="AF99" s="115"/>
      <c r="AG99" s="176"/>
      <c r="AH99" s="176"/>
      <c r="AI99" s="176"/>
      <c r="AK99" s="186" t="str">
        <f t="shared" si="29"/>
        <v>Мамыковское/52/35</v>
      </c>
      <c r="AL99" s="181">
        <v>1</v>
      </c>
    </row>
    <row r="100" spans="2:38" ht="15.95" customHeight="1" x14ac:dyDescent="0.2">
      <c r="B100" s="179" t="str">
        <f>IF(E100="","",COUNTA($E$10:E100))</f>
        <v/>
      </c>
      <c r="C100" s="157"/>
      <c r="D100" s="113" t="s">
        <v>166</v>
      </c>
      <c r="E100" s="113"/>
      <c r="F100" s="113" t="s">
        <v>166</v>
      </c>
      <c r="G100" s="157" t="s">
        <v>166</v>
      </c>
      <c r="H100" s="113"/>
      <c r="I100" s="157"/>
      <c r="J100" s="182" t="s">
        <v>18</v>
      </c>
      <c r="K100" s="183">
        <v>131.80000000000001</v>
      </c>
      <c r="L100" s="183">
        <v>42</v>
      </c>
      <c r="M100" s="183">
        <v>3.9</v>
      </c>
      <c r="N100" s="114">
        <f t="shared" si="33"/>
        <v>177.70000000000002</v>
      </c>
      <c r="O100" s="183">
        <v>220.7</v>
      </c>
      <c r="P100" s="183"/>
      <c r="Q100" s="370">
        <f t="shared" si="34"/>
        <v>398.4</v>
      </c>
      <c r="R100" s="183">
        <v>475.1</v>
      </c>
      <c r="S100" s="121">
        <v>3713.75</v>
      </c>
      <c r="T100" s="116" t="str">
        <f>IF(AE100="",INDEX(Коэффициенты!$B$4:$S$59,MATCH('Ведомость расчета мин. платы'!AC100,Коэффициенты!$O$4:$O$59,0),9),"")</f>
        <v/>
      </c>
      <c r="U100" s="31"/>
      <c r="V100" s="184"/>
      <c r="W100" s="179" t="str">
        <f>IF(B100="",W99,INDEX('Такс. опис.'!$A$5:$BW$50,MATCH(CONCATENATE($C100,"/",$D100,"/",$E100),'Такс. опис.'!$C$5:$C$50,0),48))</f>
        <v>мл</v>
      </c>
      <c r="X100" s="179" t="str">
        <f>IF(B100="",X99,INDEX('Такс. опис.'!$A$5:$BW$50,MATCH(CONCATENATE($C100,"/",$D100,"/",$E100),'Такс. опис.'!$C$5:$C$50,0),26))</f>
        <v>10ОС+Б</v>
      </c>
      <c r="Y100" s="179">
        <f>IF(B100="",Y99,INDEX('Такс. опис.'!$A$5:$BW$50,MATCH(CONCATENATE($C100,"/",$D100,"/",$E100),'Такс. опис.'!$C$5:$C$50,0),49))</f>
        <v>55</v>
      </c>
      <c r="Z100" s="179" t="str">
        <f>IF(C100="",Z99,INDEX('Такс. опис.'!$A$5:$BW$50,MATCH(CONCATENATE($C100,"/",$D100,"/",$E100),'Такс. опис.'!$C$5:$C$50,0),47))</f>
        <v>Осина</v>
      </c>
      <c r="AA100" s="179" t="str">
        <f>IF(D100="","",INDEX('Такс. опис.'!$A$5:$BW$50,MATCH('Ведомость расчета мин. платы'!AC100,'Такс. опис.'!$C$5:$C$50,0),31))</f>
        <v/>
      </c>
      <c r="AB100" s="115"/>
      <c r="AC100" s="47" t="str">
        <f t="shared" si="37"/>
        <v>Мамыковское/52/35/4</v>
      </c>
      <c r="AD100" s="180">
        <f>INDEX(Периметр!$A$3:$Q$158,MATCH(AC100,Периметр!$A$3:$A$158,0),17)</f>
        <v>0.92</v>
      </c>
      <c r="AE100" s="47" t="str">
        <f t="shared" si="35"/>
        <v>Мамыковское/52/35/4/Осина</v>
      </c>
      <c r="AF100" s="115"/>
      <c r="AG100" s="176"/>
      <c r="AH100" s="176"/>
      <c r="AI100" s="176"/>
      <c r="AK100" s="186" t="str">
        <f t="shared" si="29"/>
        <v>//</v>
      </c>
    </row>
    <row r="101" spans="2:38" ht="15.95" customHeight="1" x14ac:dyDescent="0.2">
      <c r="B101" s="179" t="str">
        <f>IF(E101="","",COUNTA($E$10:E101))</f>
        <v/>
      </c>
      <c r="C101" s="157"/>
      <c r="D101" s="113"/>
      <c r="E101" s="113"/>
      <c r="F101" s="113"/>
      <c r="G101" s="157"/>
      <c r="H101" s="113"/>
      <c r="I101" s="157"/>
      <c r="J101" s="187" t="s">
        <v>15</v>
      </c>
      <c r="K101" s="114">
        <f>SUM(K99:K100)</f>
        <v>145.80000000000001</v>
      </c>
      <c r="L101" s="114">
        <f t="shared" ref="L101:S101" si="41">SUM(L99:L100)</f>
        <v>65.599999999999994</v>
      </c>
      <c r="M101" s="114">
        <f t="shared" si="41"/>
        <v>9.9</v>
      </c>
      <c r="N101" s="114">
        <f t="shared" si="41"/>
        <v>221.3</v>
      </c>
      <c r="O101" s="114">
        <f t="shared" si="41"/>
        <v>255</v>
      </c>
      <c r="P101" s="114"/>
      <c r="Q101" s="370">
        <f t="shared" si="41"/>
        <v>476.29999999999995</v>
      </c>
      <c r="R101" s="114">
        <f t="shared" si="41"/>
        <v>563.5</v>
      </c>
      <c r="S101" s="114">
        <f t="shared" si="41"/>
        <v>7711.6100000000006</v>
      </c>
      <c r="T101" s="116">
        <f>IF(AE101="",INDEX(Коэффициенты!$B$4:$S$59,MATCH('Ведомость расчета мин. платы'!AC101,Коэффициенты!$O$4:$O$59,0),9),"")</f>
        <v>20127.302100000004</v>
      </c>
      <c r="U101" s="31"/>
      <c r="V101" s="184"/>
      <c r="W101" s="179" t="str">
        <f>IF(B101="",W100,INDEX('Такс. опис.'!$A$5:$BW$50,MATCH(CONCATENATE($C101,"/",$D101,"/",$E101),'Такс. опис.'!$C$5:$C$50,0),48))</f>
        <v>мл</v>
      </c>
      <c r="X101" s="179" t="str">
        <f>IF(B101="",X100,INDEX('Такс. опис.'!$A$5:$BW$50,MATCH(CONCATENATE($C101,"/",$D101,"/",$E101),'Такс. опис.'!$C$5:$C$50,0),26))</f>
        <v>10ОС+Б</v>
      </c>
      <c r="Y101" s="179">
        <f>IF(B101="",Y100,INDEX('Такс. опис.'!$A$5:$BW$50,MATCH(CONCATENATE($C101,"/",$D101,"/",$E101),'Такс. опис.'!$C$5:$C$50,0),49))</f>
        <v>55</v>
      </c>
      <c r="Z101" s="179" t="str">
        <f>IF(C101="",Z100,INDEX('Такс. опис.'!$A$5:$BW$50,MATCH(CONCATENATE($C101,"/",$D101,"/",$E101),'Такс. опис.'!$C$5:$C$50,0),47))</f>
        <v>Осина</v>
      </c>
      <c r="AA101" s="179" t="str">
        <f>IF(D101="","",INDEX('Такс. опис.'!$A$5:$BW$50,MATCH('Ведомость расчета мин. платы'!AC101,'Такс. опис.'!$C$5:$C$50,0),31))</f>
        <v/>
      </c>
      <c r="AB101" s="115"/>
      <c r="AC101" s="47" t="str">
        <f t="shared" si="37"/>
        <v>Мамыковское/52/35/4</v>
      </c>
      <c r="AD101" s="180">
        <f>INDEX(Периметр!$A$3:$Q$158,MATCH(AC101,Периметр!$A$3:$A$158,0),17)</f>
        <v>0.92</v>
      </c>
      <c r="AE101" s="47" t="str">
        <f t="shared" si="35"/>
        <v/>
      </c>
      <c r="AF101" s="115"/>
      <c r="AG101" s="176"/>
      <c r="AH101" s="176"/>
      <c r="AI101" s="176"/>
      <c r="AK101" s="186" t="str">
        <f t="shared" si="29"/>
        <v>//</v>
      </c>
    </row>
    <row r="102" spans="2:38" ht="15.95" customHeight="1" x14ac:dyDescent="0.2">
      <c r="B102" s="179">
        <f>IF(E102="","",COUNTA($E$10:E102))</f>
        <v>25</v>
      </c>
      <c r="C102" s="157" t="s">
        <v>24</v>
      </c>
      <c r="D102" s="113">
        <v>53</v>
      </c>
      <c r="E102" s="113">
        <v>10</v>
      </c>
      <c r="F102" s="113">
        <v>1</v>
      </c>
      <c r="G102" s="157">
        <v>4.0999999999999996</v>
      </c>
      <c r="H102" s="113" t="s">
        <v>2086</v>
      </c>
      <c r="I102" s="157" t="s">
        <v>23</v>
      </c>
      <c r="J102" s="182" t="s">
        <v>17</v>
      </c>
      <c r="K102" s="183">
        <v>1.5</v>
      </c>
      <c r="L102" s="183">
        <v>16.399999999999999</v>
      </c>
      <c r="M102" s="183">
        <v>19.5</v>
      </c>
      <c r="N102" s="114">
        <f t="shared" si="33"/>
        <v>37.4</v>
      </c>
      <c r="O102" s="183">
        <v>50.5</v>
      </c>
      <c r="P102" s="183"/>
      <c r="Q102" s="370">
        <f t="shared" si="34"/>
        <v>87.9</v>
      </c>
      <c r="R102" s="183">
        <v>99.8</v>
      </c>
      <c r="S102" s="121">
        <v>2643.73</v>
      </c>
      <c r="T102" s="116" t="str">
        <f>IF(AE102="",INDEX(Коэффициенты!$B$4:$S$59,MATCH('Ведомость расчета мин. платы'!AC102,Коэффициенты!$O$4:$O$59,0),9),"")</f>
        <v/>
      </c>
      <c r="U102" s="31" t="s">
        <v>2055</v>
      </c>
      <c r="V102" s="184"/>
      <c r="W102" s="179" t="str">
        <f>IF(B102="",W101,INDEX('Такс. опис.'!$A$5:$BW$50,MATCH(CONCATENATE($C102,"/",$D102,"/",$E102),'Такс. опис.'!$C$5:$C$50,0),48))</f>
        <v>мл</v>
      </c>
      <c r="X102" s="179" t="str">
        <f>IF(B102="",X101,INDEX('Такс. опис.'!$A$5:$BW$50,MATCH(CONCATENATE($C102,"/",$D102,"/",$E102),'Такс. опис.'!$C$5:$C$50,0),26))</f>
        <v>9ОС1ЛП+Б</v>
      </c>
      <c r="Y102" s="179">
        <f>IF(B102="",Y101,INDEX('Такс. опис.'!$A$5:$BW$50,MATCH(CONCATENATE($C102,"/",$D102,"/",$E102),'Такс. опис.'!$C$5:$C$50,0),49))</f>
        <v>55</v>
      </c>
      <c r="Z102" s="179" t="str">
        <f>IF(C102="",Z101,INDEX('Такс. опис.'!$A$5:$BW$50,MATCH(CONCATENATE($C102,"/",$D102,"/",$E102),'Такс. опис.'!$C$5:$C$50,0),47))</f>
        <v>Осина</v>
      </c>
      <c r="AA102" s="179" t="e">
        <f>IF(D102="","",INDEX('Такс. опис.'!$A$5:$BW$50,MATCH('Ведомость расчета мин. платы'!AC102,'Такс. опис.'!$C$5:$C$50,0),31))</f>
        <v>#N/A</v>
      </c>
      <c r="AB102" s="115"/>
      <c r="AC102" s="47" t="str">
        <f t="shared" si="37"/>
        <v>Мамыковское/53/10/1</v>
      </c>
      <c r="AD102" s="180">
        <f>INDEX(Периметр!$A$3:$Q$158,MATCH(AC102,Периметр!$A$3:$A$158,0),17)</f>
        <v>1.02</v>
      </c>
      <c r="AE102" s="47" t="str">
        <f t="shared" si="35"/>
        <v>Мамыковское/53/10/1/Береза</v>
      </c>
      <c r="AF102" s="115"/>
      <c r="AG102" s="176"/>
      <c r="AH102" s="176"/>
      <c r="AI102" s="176"/>
      <c r="AK102" s="186" t="str">
        <f t="shared" si="29"/>
        <v>Мамыковское/53/10</v>
      </c>
      <c r="AL102" s="181">
        <v>1</v>
      </c>
    </row>
    <row r="103" spans="2:38" ht="15.95" customHeight="1" x14ac:dyDescent="0.2">
      <c r="B103" s="179" t="str">
        <f>IF(E103="","",COUNTA($E$10:E103))</f>
        <v/>
      </c>
      <c r="C103" s="157"/>
      <c r="D103" s="113" t="s">
        <v>166</v>
      </c>
      <c r="E103" s="113"/>
      <c r="F103" s="113" t="s">
        <v>166</v>
      </c>
      <c r="G103" s="157" t="s">
        <v>166</v>
      </c>
      <c r="H103" s="113"/>
      <c r="I103" s="157"/>
      <c r="J103" s="182" t="s">
        <v>19</v>
      </c>
      <c r="K103" s="183"/>
      <c r="L103" s="183">
        <v>14.06</v>
      </c>
      <c r="M103" s="183">
        <v>10.28</v>
      </c>
      <c r="N103" s="114">
        <f t="shared" si="33"/>
        <v>24.34</v>
      </c>
      <c r="O103" s="183">
        <v>46.85</v>
      </c>
      <c r="P103" s="183"/>
      <c r="Q103" s="370">
        <f t="shared" si="34"/>
        <v>71.19</v>
      </c>
      <c r="R103" s="183">
        <v>79.400000000000006</v>
      </c>
      <c r="S103" s="121">
        <v>1019.14</v>
      </c>
      <c r="T103" s="116" t="str">
        <f>IF(AE103="",INDEX(Коэффициенты!$B$4:$S$59,MATCH('Ведомость расчета мин. платы'!AC103,Коэффициенты!$O$4:$O$59,0),9),"")</f>
        <v/>
      </c>
      <c r="U103" s="31"/>
      <c r="V103" s="184"/>
      <c r="W103" s="179" t="str">
        <f>IF(B103="",W102,INDEX('Такс. опис.'!$A$5:$BW$50,MATCH(CONCATENATE($C103,"/",$D103,"/",$E103),'Такс. опис.'!$C$5:$C$50,0),48))</f>
        <v>мл</v>
      </c>
      <c r="X103" s="179" t="str">
        <f>IF(B103="",X102,INDEX('Такс. опис.'!$A$5:$BW$50,MATCH(CONCATENATE($C103,"/",$D103,"/",$E103),'Такс. опис.'!$C$5:$C$50,0),26))</f>
        <v>9ОС1ЛП+Б</v>
      </c>
      <c r="Y103" s="179">
        <f>IF(B103="",Y102,INDEX('Такс. опис.'!$A$5:$BW$50,MATCH(CONCATENATE($C103,"/",$D103,"/",$E103),'Такс. опис.'!$C$5:$C$50,0),49))</f>
        <v>55</v>
      </c>
      <c r="Z103" s="179" t="str">
        <f>IF(C103="",Z102,INDEX('Такс. опис.'!$A$5:$BW$50,MATCH(CONCATENATE($C103,"/",$D103,"/",$E103),'Такс. опис.'!$C$5:$C$50,0),47))</f>
        <v>Осина</v>
      </c>
      <c r="AA103" s="179" t="str">
        <f>IF(D103="","",INDEX('Такс. опис.'!$A$5:$BW$50,MATCH('Ведомость расчета мин. платы'!AC103,'Такс. опис.'!$C$5:$C$50,0),31))</f>
        <v/>
      </c>
      <c r="AB103" s="115"/>
      <c r="AC103" s="47" t="str">
        <f t="shared" si="37"/>
        <v>Мамыковское/53/10/1</v>
      </c>
      <c r="AD103" s="180">
        <f>INDEX(Периметр!$A$3:$Q$158,MATCH(AC103,Периметр!$A$3:$A$158,0),17)</f>
        <v>1.02</v>
      </c>
      <c r="AE103" s="47" t="str">
        <f t="shared" si="35"/>
        <v>Мамыковское/53/10/1/Липа</v>
      </c>
      <c r="AF103" s="115"/>
      <c r="AG103" s="176"/>
      <c r="AH103" s="176"/>
      <c r="AI103" s="176"/>
      <c r="AK103" s="186" t="str">
        <f t="shared" si="29"/>
        <v>//</v>
      </c>
    </row>
    <row r="104" spans="2:38" ht="15.95" customHeight="1" x14ac:dyDescent="0.2">
      <c r="B104" s="179" t="str">
        <f>IF(E104="","",COUNTA($E$10:E104))</f>
        <v/>
      </c>
      <c r="C104" s="157"/>
      <c r="D104" s="113" t="s">
        <v>166</v>
      </c>
      <c r="E104" s="113"/>
      <c r="F104" s="113" t="s">
        <v>166</v>
      </c>
      <c r="G104" s="157" t="s">
        <v>166</v>
      </c>
      <c r="H104" s="113"/>
      <c r="I104" s="157"/>
      <c r="J104" s="182" t="s">
        <v>18</v>
      </c>
      <c r="K104" s="183">
        <v>97.2</v>
      </c>
      <c r="L104" s="183">
        <v>92.8</v>
      </c>
      <c r="M104" s="183">
        <v>15</v>
      </c>
      <c r="N104" s="114">
        <f t="shared" si="33"/>
        <v>205</v>
      </c>
      <c r="O104" s="183">
        <v>217.7</v>
      </c>
      <c r="P104" s="183"/>
      <c r="Q104" s="370">
        <f t="shared" si="34"/>
        <v>422.7</v>
      </c>
      <c r="R104" s="183">
        <v>501.2</v>
      </c>
      <c r="S104" s="121">
        <v>3895.76</v>
      </c>
      <c r="T104" s="116" t="str">
        <f>IF(AE104="",INDEX(Коэффициенты!$B$4:$S$59,MATCH('Ведомость расчета мин. платы'!AC104,Коэффициенты!$O$4:$O$59,0),9),"")</f>
        <v/>
      </c>
      <c r="U104" s="31"/>
      <c r="V104" s="184"/>
      <c r="W104" s="179" t="str">
        <f>IF(B104="",W103,INDEX('Такс. опис.'!$A$5:$BW$50,MATCH(CONCATENATE($C104,"/",$D104,"/",$E104),'Такс. опис.'!$C$5:$C$50,0),48))</f>
        <v>мл</v>
      </c>
      <c r="X104" s="179" t="str">
        <f>IF(B104="",X103,INDEX('Такс. опис.'!$A$5:$BW$50,MATCH(CONCATENATE($C104,"/",$D104,"/",$E104),'Такс. опис.'!$C$5:$C$50,0),26))</f>
        <v>9ОС1ЛП+Б</v>
      </c>
      <c r="Y104" s="179">
        <f>IF(B104="",Y103,INDEX('Такс. опис.'!$A$5:$BW$50,MATCH(CONCATENATE($C104,"/",$D104,"/",$E104),'Такс. опис.'!$C$5:$C$50,0),49))</f>
        <v>55</v>
      </c>
      <c r="Z104" s="179" t="str">
        <f>IF(C104="",Z103,INDEX('Такс. опис.'!$A$5:$BW$50,MATCH(CONCATENATE($C104,"/",$D104,"/",$E104),'Такс. опис.'!$C$5:$C$50,0),47))</f>
        <v>Осина</v>
      </c>
      <c r="AA104" s="179" t="str">
        <f>IF(D104="","",INDEX('Такс. опис.'!$A$5:$BW$50,MATCH('Ведомость расчета мин. платы'!AC104,'Такс. опис.'!$C$5:$C$50,0),31))</f>
        <v/>
      </c>
      <c r="AB104" s="115"/>
      <c r="AC104" s="47" t="str">
        <f t="shared" si="37"/>
        <v>Мамыковское/53/10/1</v>
      </c>
      <c r="AD104" s="180">
        <f>INDEX(Периметр!$A$3:$Q$158,MATCH(AC104,Периметр!$A$3:$A$158,0),17)</f>
        <v>1.02</v>
      </c>
      <c r="AE104" s="47" t="str">
        <f t="shared" si="35"/>
        <v>Мамыковское/53/10/1/Осина</v>
      </c>
      <c r="AF104" s="115"/>
      <c r="AG104" s="176"/>
      <c r="AH104" s="176"/>
      <c r="AI104" s="176"/>
      <c r="AK104" s="186" t="str">
        <f t="shared" si="29"/>
        <v>//</v>
      </c>
    </row>
    <row r="105" spans="2:38" ht="15.95" customHeight="1" x14ac:dyDescent="0.2">
      <c r="B105" s="179" t="str">
        <f>IF(E105="","",COUNTA($E$10:E105))</f>
        <v/>
      </c>
      <c r="C105" s="157"/>
      <c r="D105" s="113"/>
      <c r="E105" s="113"/>
      <c r="F105" s="113"/>
      <c r="G105" s="157"/>
      <c r="H105" s="113"/>
      <c r="I105" s="157"/>
      <c r="J105" s="187" t="s">
        <v>15</v>
      </c>
      <c r="K105" s="114">
        <f>SUM(K102:K104)</f>
        <v>98.7</v>
      </c>
      <c r="L105" s="114">
        <f t="shared" ref="L105:S105" si="42">SUM(L102:L104)</f>
        <v>123.25999999999999</v>
      </c>
      <c r="M105" s="114">
        <f t="shared" si="42"/>
        <v>44.78</v>
      </c>
      <c r="N105" s="114">
        <f t="shared" si="42"/>
        <v>266.74</v>
      </c>
      <c r="O105" s="114">
        <f t="shared" si="42"/>
        <v>315.04999999999995</v>
      </c>
      <c r="P105" s="114"/>
      <c r="Q105" s="370">
        <f t="shared" si="42"/>
        <v>581.79</v>
      </c>
      <c r="R105" s="114">
        <f t="shared" si="42"/>
        <v>680.4</v>
      </c>
      <c r="S105" s="114">
        <f t="shared" si="42"/>
        <v>7558.63</v>
      </c>
      <c r="T105" s="116">
        <f>IF(AE105="",INDEX(Коэффициенты!$B$4:$S$59,MATCH('Ведомость расчета мин. платы'!AC105,Коэффициенты!$O$4:$O$59,0),9),"")</f>
        <v>21693.268100000001</v>
      </c>
      <c r="U105" s="31"/>
      <c r="V105" s="184"/>
      <c r="W105" s="179" t="str">
        <f>IF(B105="",W104,INDEX('Такс. опис.'!$A$5:$BW$50,MATCH(CONCATENATE($C105,"/",$D105,"/",$E105),'Такс. опис.'!$C$5:$C$50,0),48))</f>
        <v>мл</v>
      </c>
      <c r="X105" s="179" t="str">
        <f>IF(B105="",X104,INDEX('Такс. опис.'!$A$5:$BW$50,MATCH(CONCATENATE($C105,"/",$D105,"/",$E105),'Такс. опис.'!$C$5:$C$50,0),26))</f>
        <v>9ОС1ЛП+Б</v>
      </c>
      <c r="Y105" s="179">
        <f>IF(B105="",Y104,INDEX('Такс. опис.'!$A$5:$BW$50,MATCH(CONCATENATE($C105,"/",$D105,"/",$E105),'Такс. опис.'!$C$5:$C$50,0),49))</f>
        <v>55</v>
      </c>
      <c r="Z105" s="179" t="str">
        <f>IF(C105="",Z104,INDEX('Такс. опис.'!$A$5:$BW$50,MATCH(CONCATENATE($C105,"/",$D105,"/",$E105),'Такс. опис.'!$C$5:$C$50,0),47))</f>
        <v>Осина</v>
      </c>
      <c r="AA105" s="179" t="str">
        <f>IF(D105="","",INDEX('Такс. опис.'!$A$5:$BW$50,MATCH('Ведомость расчета мин. платы'!AC105,'Такс. опис.'!$C$5:$C$50,0),31))</f>
        <v/>
      </c>
      <c r="AB105" s="115"/>
      <c r="AC105" s="47" t="str">
        <f t="shared" si="37"/>
        <v>Мамыковское/53/10/1</v>
      </c>
      <c r="AD105" s="180">
        <f>INDEX(Периметр!$A$3:$Q$158,MATCH(AC105,Периметр!$A$3:$A$158,0),17)</f>
        <v>1.02</v>
      </c>
      <c r="AE105" s="47" t="str">
        <f t="shared" si="35"/>
        <v/>
      </c>
      <c r="AF105" s="115"/>
      <c r="AG105" s="176"/>
      <c r="AH105" s="176"/>
      <c r="AI105" s="176"/>
      <c r="AK105" s="186" t="str">
        <f t="shared" si="29"/>
        <v>//</v>
      </c>
    </row>
    <row r="106" spans="2:38" ht="15.95" customHeight="1" x14ac:dyDescent="0.2">
      <c r="B106" s="179">
        <f>IF(E106="","",COUNTA($E$10:E106))</f>
        <v>26</v>
      </c>
      <c r="C106" s="157" t="s">
        <v>24</v>
      </c>
      <c r="D106" s="113">
        <v>90</v>
      </c>
      <c r="E106" s="113">
        <v>5</v>
      </c>
      <c r="F106" s="113">
        <v>1</v>
      </c>
      <c r="G106" s="157">
        <v>5.4</v>
      </c>
      <c r="H106" s="113" t="s">
        <v>2086</v>
      </c>
      <c r="I106" s="157" t="s">
        <v>23</v>
      </c>
      <c r="J106" s="182" t="s">
        <v>17</v>
      </c>
      <c r="K106" s="183">
        <v>9</v>
      </c>
      <c r="L106" s="183">
        <v>30.6</v>
      </c>
      <c r="M106" s="183">
        <v>15.6</v>
      </c>
      <c r="N106" s="114">
        <f t="shared" ref="N106:N128" si="43">SUM(K106:M106)</f>
        <v>55.2</v>
      </c>
      <c r="O106" s="183">
        <v>68.5</v>
      </c>
      <c r="P106" s="183"/>
      <c r="Q106" s="370">
        <f t="shared" ref="Q106:Q128" si="44">SUM(N106:P106)</f>
        <v>123.7</v>
      </c>
      <c r="R106" s="183">
        <v>140.4</v>
      </c>
      <c r="S106" s="121">
        <v>4847.28</v>
      </c>
      <c r="T106" s="116" t="str">
        <f>IF(AE106="",INDEX(Коэффициенты!$B$4:$S$59,MATCH('Ведомость расчета мин. платы'!AC106,Коэффициенты!$O$4:$O$59,0),9),"")</f>
        <v/>
      </c>
      <c r="U106" s="31" t="s">
        <v>2056</v>
      </c>
      <c r="V106" s="184"/>
      <c r="W106" s="179" t="str">
        <f>IF(B106="",#REF!,INDEX('Такс. опис.'!$A$5:$BW$50,MATCH(CONCATENATE($C106,"/",$D106,"/",$E106),'Такс. опис.'!$C$5:$C$50,0),48))</f>
        <v>мл</v>
      </c>
      <c r="X106" s="179" t="str">
        <f>IF(B106="",#REF!,INDEX('Такс. опис.'!$A$5:$BW$50,MATCH(CONCATENATE($C106,"/",$D106,"/",$E106),'Такс. опис.'!$C$5:$C$50,0),26))</f>
        <v>8ОС1Б1ЛП</v>
      </c>
      <c r="Y106" s="179">
        <f>IF(B106="",#REF!,INDEX('Такс. опис.'!$A$5:$BW$50,MATCH(CONCATENATE($C106,"/",$D106,"/",$E106),'Такс. опис.'!$C$5:$C$50,0),49))</f>
        <v>55</v>
      </c>
      <c r="Z106" s="179" t="str">
        <f>IF(C106="",#REF!,INDEX('Такс. опис.'!$A$5:$BW$50,MATCH(CONCATENATE($C106,"/",$D106,"/",$E106),'Такс. опис.'!$C$5:$C$50,0),47))</f>
        <v>Осина</v>
      </c>
      <c r="AA106" s="179" t="e">
        <f>IF(D106="","",INDEX('Такс. опис.'!$A$5:$BW$50,MATCH('Ведомость расчета мин. платы'!AC106,'Такс. опис.'!$C$5:$C$50,0),31))</f>
        <v>#N/A</v>
      </c>
      <c r="AB106" s="115"/>
      <c r="AC106" s="47" t="str">
        <f>IF(B106="",#REF!,CONCATENATE($C106,"/",$D106,"/",$E106,"/",F106))</f>
        <v>Мамыковское/90/5/1</v>
      </c>
      <c r="AD106" s="180">
        <f>INDEX(Периметр!$A$3:$Q$158,MATCH(AC106,Периметр!$A$3:$A$158,0),17)</f>
        <v>1.28</v>
      </c>
      <c r="AE106" s="47" t="str">
        <f t="shared" ref="AE106:AE129" si="45">IF(J106="Итого","",CONCATENATE(AC106,"/",J106))</f>
        <v>Мамыковское/90/5/1/Береза</v>
      </c>
      <c r="AF106" s="115"/>
      <c r="AG106" s="176"/>
      <c r="AH106" s="176"/>
      <c r="AI106" s="176"/>
      <c r="AK106" s="186" t="str">
        <f t="shared" si="29"/>
        <v>Мамыковское/90/5</v>
      </c>
      <c r="AL106" s="181">
        <v>1</v>
      </c>
    </row>
    <row r="107" spans="2:38" ht="15.95" customHeight="1" x14ac:dyDescent="0.2">
      <c r="B107" s="179" t="str">
        <f>IF(E107="","",COUNTA($E$10:E107))</f>
        <v/>
      </c>
      <c r="C107" s="157"/>
      <c r="D107" s="113" t="s">
        <v>166</v>
      </c>
      <c r="E107" s="113"/>
      <c r="F107" s="113" t="s">
        <v>166</v>
      </c>
      <c r="G107" s="157" t="s">
        <v>166</v>
      </c>
      <c r="H107" s="113"/>
      <c r="I107" s="157"/>
      <c r="J107" s="182" t="s">
        <v>19</v>
      </c>
      <c r="K107" s="183">
        <v>0.34</v>
      </c>
      <c r="L107" s="183">
        <v>27.48</v>
      </c>
      <c r="M107" s="183">
        <v>10.59</v>
      </c>
      <c r="N107" s="114">
        <f t="shared" si="43"/>
        <v>38.409999999999997</v>
      </c>
      <c r="O107" s="183">
        <v>74.73</v>
      </c>
      <c r="P107" s="183"/>
      <c r="Q107" s="370">
        <f t="shared" si="44"/>
        <v>113.14</v>
      </c>
      <c r="R107" s="183">
        <v>127.2</v>
      </c>
      <c r="S107" s="121">
        <v>1839.49</v>
      </c>
      <c r="T107" s="116" t="str">
        <f>IF(AE107="",INDEX(Коэффициенты!$B$4:$S$59,MATCH('Ведомость расчета мин. платы'!AC107,Коэффициенты!$O$4:$O$59,0),9),"")</f>
        <v/>
      </c>
      <c r="U107" s="31"/>
      <c r="V107" s="184"/>
      <c r="W107" s="179" t="str">
        <f>IF(B107="",W106,INDEX('Такс. опис.'!$A$5:$BW$50,MATCH(CONCATENATE($C107,"/",$D107,"/",$E107),'Такс. опис.'!$C$5:$C$50,0),48))</f>
        <v>мл</v>
      </c>
      <c r="X107" s="179" t="str">
        <f>IF(B107="",X106,INDEX('Такс. опис.'!$A$5:$BW$50,MATCH(CONCATENATE($C107,"/",$D107,"/",$E107),'Такс. опис.'!$C$5:$C$50,0),26))</f>
        <v>8ОС1Б1ЛП</v>
      </c>
      <c r="Y107" s="179">
        <f>IF(B107="",Y106,INDEX('Такс. опис.'!$A$5:$BW$50,MATCH(CONCATENATE($C107,"/",$D107,"/",$E107),'Такс. опис.'!$C$5:$C$50,0),49))</f>
        <v>55</v>
      </c>
      <c r="Z107" s="179" t="str">
        <f>IF(C107="",Z106,INDEX('Такс. опис.'!$A$5:$BW$50,MATCH(CONCATENATE($C107,"/",$D107,"/",$E107),'Такс. опис.'!$C$5:$C$50,0),47))</f>
        <v>Осина</v>
      </c>
      <c r="AA107" s="179" t="str">
        <f>IF(D107="","",INDEX('Такс. опис.'!$A$5:$BW$50,MATCH('Ведомость расчета мин. платы'!AC107,'Такс. опис.'!$C$5:$C$50,0),31))</f>
        <v/>
      </c>
      <c r="AB107" s="115"/>
      <c r="AC107" s="47" t="str">
        <f t="shared" ref="AC107:AC129" si="46">IF(B107="",AC106,CONCATENATE($C107,"/",$D107,"/",$E107,"/",F107))</f>
        <v>Мамыковское/90/5/1</v>
      </c>
      <c r="AD107" s="180">
        <f>INDEX(Периметр!$A$3:$Q$158,MATCH(AC107,Периметр!$A$3:$A$158,0),17)</f>
        <v>1.28</v>
      </c>
      <c r="AE107" s="47" t="str">
        <f t="shared" si="45"/>
        <v>Мамыковское/90/5/1/Липа</v>
      </c>
      <c r="AF107" s="115"/>
      <c r="AG107" s="176"/>
      <c r="AH107" s="176"/>
      <c r="AI107" s="176"/>
      <c r="AK107" s="186" t="str">
        <f t="shared" si="29"/>
        <v>//</v>
      </c>
    </row>
    <row r="108" spans="2:38" ht="15.95" customHeight="1" x14ac:dyDescent="0.2">
      <c r="B108" s="179" t="str">
        <f>IF(E108="","",COUNTA($E$10:E108))</f>
        <v/>
      </c>
      <c r="C108" s="157"/>
      <c r="D108" s="113" t="s">
        <v>166</v>
      </c>
      <c r="E108" s="113"/>
      <c r="F108" s="113" t="s">
        <v>166</v>
      </c>
      <c r="G108" s="157" t="s">
        <v>166</v>
      </c>
      <c r="H108" s="113"/>
      <c r="I108" s="157"/>
      <c r="J108" s="182" t="s">
        <v>18</v>
      </c>
      <c r="K108" s="183">
        <v>401</v>
      </c>
      <c r="L108" s="183">
        <v>54.6</v>
      </c>
      <c r="M108" s="183">
        <v>4.2</v>
      </c>
      <c r="N108" s="114">
        <f t="shared" si="43"/>
        <v>459.8</v>
      </c>
      <c r="O108" s="183">
        <v>479.3</v>
      </c>
      <c r="P108" s="183"/>
      <c r="Q108" s="370">
        <f t="shared" si="44"/>
        <v>939.1</v>
      </c>
      <c r="R108" s="183">
        <v>1111.5999999999999</v>
      </c>
      <c r="S108" s="121">
        <v>10415.799999999999</v>
      </c>
      <c r="T108" s="116" t="str">
        <f>IF(AE108="",INDEX(Коэффициенты!$B$4:$S$59,MATCH('Ведомость расчета мин. платы'!AC108,Коэффициенты!$O$4:$O$59,0),9),"")</f>
        <v/>
      </c>
      <c r="U108" s="31"/>
      <c r="V108" s="184"/>
      <c r="W108" s="179" t="str">
        <f>IF(B108="",W107,INDEX('Такс. опис.'!$A$5:$BW$50,MATCH(CONCATENATE($C108,"/",$D108,"/",$E108),'Такс. опис.'!$C$5:$C$50,0),48))</f>
        <v>мл</v>
      </c>
      <c r="X108" s="179" t="str">
        <f>IF(B108="",X107,INDEX('Такс. опис.'!$A$5:$BW$50,MATCH(CONCATENATE($C108,"/",$D108,"/",$E108),'Такс. опис.'!$C$5:$C$50,0),26))</f>
        <v>8ОС1Б1ЛП</v>
      </c>
      <c r="Y108" s="179">
        <f>IF(B108="",Y107,INDEX('Такс. опис.'!$A$5:$BW$50,MATCH(CONCATENATE($C108,"/",$D108,"/",$E108),'Такс. опис.'!$C$5:$C$50,0),49))</f>
        <v>55</v>
      </c>
      <c r="Z108" s="179" t="str">
        <f>IF(C108="",Z107,INDEX('Такс. опис.'!$A$5:$BW$50,MATCH(CONCATENATE($C108,"/",$D108,"/",$E108),'Такс. опис.'!$C$5:$C$50,0),47))</f>
        <v>Осина</v>
      </c>
      <c r="AA108" s="179" t="str">
        <f>IF(D108="","",INDEX('Такс. опис.'!$A$5:$BW$50,MATCH('Ведомость расчета мин. платы'!AC108,'Такс. опис.'!$C$5:$C$50,0),31))</f>
        <v/>
      </c>
      <c r="AB108" s="115"/>
      <c r="AC108" s="47" t="str">
        <f t="shared" si="46"/>
        <v>Мамыковское/90/5/1</v>
      </c>
      <c r="AD108" s="180">
        <f>INDEX(Периметр!$A$3:$Q$158,MATCH(AC108,Периметр!$A$3:$A$158,0),17)</f>
        <v>1.28</v>
      </c>
      <c r="AE108" s="47" t="str">
        <f t="shared" si="45"/>
        <v>Мамыковское/90/5/1/Осина</v>
      </c>
      <c r="AF108" s="115"/>
      <c r="AG108" s="176"/>
      <c r="AH108" s="176"/>
      <c r="AI108" s="176"/>
      <c r="AK108" s="186" t="str">
        <f t="shared" si="29"/>
        <v>//</v>
      </c>
    </row>
    <row r="109" spans="2:38" ht="15.95" customHeight="1" x14ac:dyDescent="0.2">
      <c r="B109" s="179" t="str">
        <f>IF(E109="","",COUNTA($E$10:E109))</f>
        <v/>
      </c>
      <c r="C109" s="157"/>
      <c r="D109" s="113"/>
      <c r="E109" s="113"/>
      <c r="F109" s="113"/>
      <c r="G109" s="157"/>
      <c r="H109" s="113"/>
      <c r="I109" s="157"/>
      <c r="J109" s="187" t="s">
        <v>15</v>
      </c>
      <c r="K109" s="114">
        <f>SUM(K106:K108)</f>
        <v>410.34</v>
      </c>
      <c r="L109" s="114">
        <f t="shared" ref="L109:S109" si="47">SUM(L106:L108)</f>
        <v>112.68</v>
      </c>
      <c r="M109" s="114">
        <f t="shared" si="47"/>
        <v>30.389999999999997</v>
      </c>
      <c r="N109" s="114">
        <f t="shared" si="47"/>
        <v>553.41</v>
      </c>
      <c r="O109" s="114">
        <f t="shared" si="47"/>
        <v>622.53</v>
      </c>
      <c r="P109" s="114"/>
      <c r="Q109" s="370">
        <f t="shared" si="47"/>
        <v>1175.94</v>
      </c>
      <c r="R109" s="114">
        <f t="shared" si="47"/>
        <v>1379.1999999999998</v>
      </c>
      <c r="S109" s="114">
        <f t="shared" si="47"/>
        <v>17102.57</v>
      </c>
      <c r="T109" s="116">
        <f>IF(AE109="",INDEX(Коэффициенты!$B$4:$S$59,MATCH('Ведомость расчета мин. платы'!AC109,Коэффициенты!$O$4:$O$59,0),9),"")</f>
        <v>35573.345600000001</v>
      </c>
      <c r="U109" s="31"/>
      <c r="V109" s="184"/>
      <c r="W109" s="179" t="str">
        <f>IF(B109="",W108,INDEX('Такс. опис.'!$A$5:$BW$50,MATCH(CONCATENATE($C109,"/",$D109,"/",$E109),'Такс. опис.'!$C$5:$C$50,0),48))</f>
        <v>мл</v>
      </c>
      <c r="X109" s="179" t="str">
        <f>IF(B109="",X108,INDEX('Такс. опис.'!$A$5:$BW$50,MATCH(CONCATENATE($C109,"/",$D109,"/",$E109),'Такс. опис.'!$C$5:$C$50,0),26))</f>
        <v>8ОС1Б1ЛП</v>
      </c>
      <c r="Y109" s="179">
        <f>IF(B109="",Y108,INDEX('Такс. опис.'!$A$5:$BW$50,MATCH(CONCATENATE($C109,"/",$D109,"/",$E109),'Такс. опис.'!$C$5:$C$50,0),49))</f>
        <v>55</v>
      </c>
      <c r="Z109" s="179" t="str">
        <f>IF(C109="",Z108,INDEX('Такс. опис.'!$A$5:$BW$50,MATCH(CONCATENATE($C109,"/",$D109,"/",$E109),'Такс. опис.'!$C$5:$C$50,0),47))</f>
        <v>Осина</v>
      </c>
      <c r="AA109" s="179" t="str">
        <f>IF(D109="","",INDEX('Такс. опис.'!$A$5:$BW$50,MATCH('Ведомость расчета мин. платы'!AC109,'Такс. опис.'!$C$5:$C$50,0),31))</f>
        <v/>
      </c>
      <c r="AB109" s="115"/>
      <c r="AC109" s="47" t="str">
        <f t="shared" si="46"/>
        <v>Мамыковское/90/5/1</v>
      </c>
      <c r="AD109" s="180">
        <f>INDEX(Периметр!$A$3:$Q$158,MATCH(AC109,Периметр!$A$3:$A$158,0),17)</f>
        <v>1.28</v>
      </c>
      <c r="AE109" s="47" t="str">
        <f t="shared" si="45"/>
        <v/>
      </c>
      <c r="AF109" s="115"/>
      <c r="AG109" s="176"/>
      <c r="AH109" s="176"/>
      <c r="AI109" s="176"/>
      <c r="AK109" s="186" t="str">
        <f t="shared" si="29"/>
        <v>//</v>
      </c>
    </row>
    <row r="110" spans="2:38" ht="15.95" customHeight="1" x14ac:dyDescent="0.2">
      <c r="B110" s="179">
        <f>IF(E110="","",COUNTA($E$10:E110))</f>
        <v>27</v>
      </c>
      <c r="C110" s="157" t="s">
        <v>24</v>
      </c>
      <c r="D110" s="113">
        <v>90</v>
      </c>
      <c r="E110" s="113">
        <v>8</v>
      </c>
      <c r="F110" s="113">
        <v>2</v>
      </c>
      <c r="G110" s="157">
        <v>2.8</v>
      </c>
      <c r="H110" s="113" t="s">
        <v>2086</v>
      </c>
      <c r="I110" s="157" t="s">
        <v>23</v>
      </c>
      <c r="J110" s="182" t="s">
        <v>17</v>
      </c>
      <c r="K110" s="183">
        <v>1.65</v>
      </c>
      <c r="L110" s="183">
        <v>18.36</v>
      </c>
      <c r="M110" s="183">
        <v>6.75</v>
      </c>
      <c r="N110" s="114">
        <f t="shared" si="43"/>
        <v>26.759999999999998</v>
      </c>
      <c r="O110" s="183">
        <v>26.84</v>
      </c>
      <c r="P110" s="183"/>
      <c r="Q110" s="370">
        <f t="shared" si="44"/>
        <v>53.599999999999994</v>
      </c>
      <c r="R110" s="183">
        <v>61.05</v>
      </c>
      <c r="S110" s="121">
        <v>2246.9</v>
      </c>
      <c r="T110" s="116" t="str">
        <f>IF(AE110="",INDEX(Коэффициенты!$B$4:$S$59,MATCH('Ведомость расчета мин. платы'!AC110,Коэффициенты!$O$4:$O$59,0),9),"")</f>
        <v/>
      </c>
      <c r="U110" s="31" t="s">
        <v>2056</v>
      </c>
      <c r="V110" s="184"/>
      <c r="W110" s="179" t="str">
        <f>IF(B110="",W109,INDEX('Такс. опис.'!$A$5:$BW$50,MATCH(CONCATENATE($C110,"/",$D110,"/",$E110),'Такс. опис.'!$C$5:$C$50,0),48))</f>
        <v>мл</v>
      </c>
      <c r="X110" s="179" t="str">
        <f>IF(B110="",X109,INDEX('Такс. опис.'!$A$5:$BW$50,MATCH(CONCATENATE($C110,"/",$D110,"/",$E110),'Такс. опис.'!$C$5:$C$50,0),26))</f>
        <v>9ОС1Б+Д</v>
      </c>
      <c r="Y110" s="179">
        <f>IF(B110="",Y109,INDEX('Такс. опис.'!$A$5:$BW$50,MATCH(CONCATENATE($C110,"/",$D110,"/",$E110),'Такс. опис.'!$C$5:$C$50,0),49))</f>
        <v>55</v>
      </c>
      <c r="Z110" s="179" t="str">
        <f>IF(C110="",Z109,INDEX('Такс. опис.'!$A$5:$BW$50,MATCH(CONCATENATE($C110,"/",$D110,"/",$E110),'Такс. опис.'!$C$5:$C$50,0),47))</f>
        <v>Осина</v>
      </c>
      <c r="AA110" s="179" t="e">
        <f>IF(D110="","",INDEX('Такс. опис.'!$A$5:$BW$50,MATCH('Ведомость расчета мин. платы'!AC110,'Такс. опис.'!$C$5:$C$50,0),31))</f>
        <v>#N/A</v>
      </c>
      <c r="AB110" s="115"/>
      <c r="AC110" s="47" t="str">
        <f t="shared" si="46"/>
        <v>Мамыковское/90/8/2</v>
      </c>
      <c r="AD110" s="180">
        <f>INDEX(Периметр!$A$3:$Q$158,MATCH(AC110,Периметр!$A$3:$A$158,0),17)</f>
        <v>0.76</v>
      </c>
      <c r="AE110" s="47" t="str">
        <f t="shared" si="45"/>
        <v>Мамыковское/90/8/2/Береза</v>
      </c>
      <c r="AF110" s="115"/>
      <c r="AG110" s="176"/>
      <c r="AH110" s="176"/>
      <c r="AI110" s="176"/>
      <c r="AK110" s="186" t="str">
        <f t="shared" si="29"/>
        <v>Мамыковское/90/8</v>
      </c>
      <c r="AL110" s="181">
        <v>1</v>
      </c>
    </row>
    <row r="111" spans="2:38" ht="15.95" customHeight="1" x14ac:dyDescent="0.2">
      <c r="B111" s="179" t="str">
        <f>IF(E111="","",COUNTA($E$10:E111))</f>
        <v/>
      </c>
      <c r="C111" s="157"/>
      <c r="D111" s="113" t="s">
        <v>166</v>
      </c>
      <c r="E111" s="113"/>
      <c r="F111" s="113" t="s">
        <v>166</v>
      </c>
      <c r="G111" s="157" t="s">
        <v>166</v>
      </c>
      <c r="H111" s="113"/>
      <c r="I111" s="157"/>
      <c r="J111" s="182" t="s">
        <v>25</v>
      </c>
      <c r="K111" s="183"/>
      <c r="L111" s="183">
        <v>0.84</v>
      </c>
      <c r="M111" s="183">
        <v>1.26</v>
      </c>
      <c r="N111" s="114">
        <f t="shared" si="43"/>
        <v>2.1</v>
      </c>
      <c r="O111" s="183">
        <v>2.98</v>
      </c>
      <c r="P111" s="183"/>
      <c r="Q111" s="370">
        <f t="shared" si="44"/>
        <v>5.08</v>
      </c>
      <c r="R111" s="183">
        <v>5.82</v>
      </c>
      <c r="S111" s="121">
        <v>1029.8</v>
      </c>
      <c r="T111" s="116" t="str">
        <f>IF(AE111="",INDEX(Коэффициенты!$B$4:$S$59,MATCH('Ведомость расчета мин. платы'!AC111,Коэффициенты!$O$4:$O$59,0),9),"")</f>
        <v/>
      </c>
      <c r="U111" s="31"/>
      <c r="V111" s="184"/>
      <c r="W111" s="179" t="str">
        <f>IF(B111="",W110,INDEX('Такс. опис.'!$A$5:$BW$50,MATCH(CONCATENATE($C111,"/",$D111,"/",$E111),'Такс. опис.'!$C$5:$C$50,0),48))</f>
        <v>мл</v>
      </c>
      <c r="X111" s="179" t="str">
        <f>IF(B111="",X110,INDEX('Такс. опис.'!$A$5:$BW$50,MATCH(CONCATENATE($C111,"/",$D111,"/",$E111),'Такс. опис.'!$C$5:$C$50,0),26))</f>
        <v>9ОС1Б+Д</v>
      </c>
      <c r="Y111" s="179">
        <f>IF(B111="",Y110,INDEX('Такс. опис.'!$A$5:$BW$50,MATCH(CONCATENATE($C111,"/",$D111,"/",$E111),'Такс. опис.'!$C$5:$C$50,0),49))</f>
        <v>55</v>
      </c>
      <c r="Z111" s="179" t="str">
        <f>IF(C111="",Z110,INDEX('Такс. опис.'!$A$5:$BW$50,MATCH(CONCATENATE($C111,"/",$D111,"/",$E111),'Такс. опис.'!$C$5:$C$50,0),47))</f>
        <v>Осина</v>
      </c>
      <c r="AA111" s="179" t="str">
        <f>IF(D111="","",INDEX('Такс. опис.'!$A$5:$BW$50,MATCH('Ведомость расчета мин. платы'!AC111,'Такс. опис.'!$C$5:$C$50,0),31))</f>
        <v/>
      </c>
      <c r="AB111" s="115"/>
      <c r="AC111" s="47" t="str">
        <f t="shared" si="46"/>
        <v>Мамыковское/90/8/2</v>
      </c>
      <c r="AD111" s="180">
        <f>INDEX(Периметр!$A$3:$Q$158,MATCH(AC111,Периметр!$A$3:$A$158,0),17)</f>
        <v>0.76</v>
      </c>
      <c r="AE111" s="47" t="str">
        <f t="shared" si="45"/>
        <v>Мамыковское/90/8/2/Дуб</v>
      </c>
      <c r="AF111" s="115"/>
      <c r="AG111" s="176"/>
      <c r="AH111" s="176"/>
      <c r="AI111" s="176"/>
      <c r="AK111" s="186" t="str">
        <f t="shared" si="29"/>
        <v>//</v>
      </c>
    </row>
    <row r="112" spans="2:38" ht="15.95" customHeight="1" x14ac:dyDescent="0.2">
      <c r="B112" s="179" t="str">
        <f>IF(E112="","",COUNTA($E$10:E112))</f>
        <v/>
      </c>
      <c r="C112" s="157"/>
      <c r="D112" s="113" t="s">
        <v>166</v>
      </c>
      <c r="E112" s="113"/>
      <c r="F112" s="113" t="s">
        <v>166</v>
      </c>
      <c r="G112" s="157" t="s">
        <v>166</v>
      </c>
      <c r="H112" s="113"/>
      <c r="I112" s="157"/>
      <c r="J112" s="182" t="s">
        <v>18</v>
      </c>
      <c r="K112" s="183">
        <v>154.97999999999999</v>
      </c>
      <c r="L112" s="183">
        <v>58.56</v>
      </c>
      <c r="M112" s="183">
        <v>4.08</v>
      </c>
      <c r="N112" s="114">
        <f t="shared" si="43"/>
        <v>217.62</v>
      </c>
      <c r="O112" s="183">
        <v>263.26</v>
      </c>
      <c r="P112" s="183"/>
      <c r="Q112" s="370">
        <f t="shared" si="44"/>
        <v>480.88</v>
      </c>
      <c r="R112" s="183">
        <v>572.92999999999995</v>
      </c>
      <c r="S112" s="121">
        <v>4743.8900000000003</v>
      </c>
      <c r="T112" s="116" t="str">
        <f>IF(AE112="",INDEX(Коэффициенты!$B$4:$S$59,MATCH('Ведомость расчета мин. платы'!AC112,Коэффициенты!$O$4:$O$59,0),9),"")</f>
        <v/>
      </c>
      <c r="U112" s="31"/>
      <c r="V112" s="184"/>
      <c r="W112" s="179" t="str">
        <f>IF(B112="",W111,INDEX('Такс. опис.'!$A$5:$BW$50,MATCH(CONCATENATE($C112,"/",$D112,"/",$E112),'Такс. опис.'!$C$5:$C$50,0),48))</f>
        <v>мл</v>
      </c>
      <c r="X112" s="179" t="str">
        <f>IF(B112="",X111,INDEX('Такс. опис.'!$A$5:$BW$50,MATCH(CONCATENATE($C112,"/",$D112,"/",$E112),'Такс. опис.'!$C$5:$C$50,0),26))</f>
        <v>9ОС1Б+Д</v>
      </c>
      <c r="Y112" s="179">
        <f>IF(B112="",Y111,INDEX('Такс. опис.'!$A$5:$BW$50,MATCH(CONCATENATE($C112,"/",$D112,"/",$E112),'Такс. опис.'!$C$5:$C$50,0),49))</f>
        <v>55</v>
      </c>
      <c r="Z112" s="179" t="str">
        <f>IF(C112="",Z111,INDEX('Такс. опис.'!$A$5:$BW$50,MATCH(CONCATENATE($C112,"/",$D112,"/",$E112),'Такс. опис.'!$C$5:$C$50,0),47))</f>
        <v>Осина</v>
      </c>
      <c r="AA112" s="179" t="str">
        <f>IF(D112="","",INDEX('Такс. опис.'!$A$5:$BW$50,MATCH('Ведомость расчета мин. платы'!AC112,'Такс. опис.'!$C$5:$C$50,0),31))</f>
        <v/>
      </c>
      <c r="AB112" s="115"/>
      <c r="AC112" s="47" t="str">
        <f t="shared" si="46"/>
        <v>Мамыковское/90/8/2</v>
      </c>
      <c r="AD112" s="180">
        <f>INDEX(Периметр!$A$3:$Q$158,MATCH(AC112,Периметр!$A$3:$A$158,0),17)</f>
        <v>0.76</v>
      </c>
      <c r="AE112" s="47" t="str">
        <f t="shared" si="45"/>
        <v>Мамыковское/90/8/2/Осина</v>
      </c>
      <c r="AF112" s="115"/>
      <c r="AG112" s="176"/>
      <c r="AH112" s="176"/>
      <c r="AI112" s="176"/>
      <c r="AK112" s="186" t="str">
        <f t="shared" si="29"/>
        <v>//</v>
      </c>
    </row>
    <row r="113" spans="2:38" ht="15.95" customHeight="1" x14ac:dyDescent="0.2">
      <c r="B113" s="179" t="str">
        <f>IF(E113="","",COUNTA($E$10:E113))</f>
        <v/>
      </c>
      <c r="C113" s="157"/>
      <c r="D113" s="113"/>
      <c r="E113" s="113"/>
      <c r="F113" s="113"/>
      <c r="G113" s="157"/>
      <c r="H113" s="113"/>
      <c r="I113" s="157"/>
      <c r="J113" s="187" t="s">
        <v>15</v>
      </c>
      <c r="K113" s="114">
        <f>SUM(K110:K112)</f>
        <v>156.63</v>
      </c>
      <c r="L113" s="114">
        <f t="shared" ref="L113:S113" si="48">SUM(L110:L112)</f>
        <v>77.760000000000005</v>
      </c>
      <c r="M113" s="114">
        <f t="shared" si="48"/>
        <v>12.09</v>
      </c>
      <c r="N113" s="114">
        <f t="shared" si="48"/>
        <v>246.48000000000002</v>
      </c>
      <c r="O113" s="114">
        <f t="shared" si="48"/>
        <v>293.08</v>
      </c>
      <c r="P113" s="114"/>
      <c r="Q113" s="370">
        <f t="shared" si="48"/>
        <v>539.55999999999995</v>
      </c>
      <c r="R113" s="114">
        <f t="shared" si="48"/>
        <v>639.79999999999995</v>
      </c>
      <c r="S113" s="114">
        <f t="shared" si="48"/>
        <v>8020.59</v>
      </c>
      <c r="T113" s="116">
        <f>IF(AE113="",INDEX(Коэффициенты!$B$4:$S$59,MATCH('Ведомость расчета мин. платы'!AC113,Коэффициенты!$O$4:$O$59,0),9),"")</f>
        <v>17725.503900000007</v>
      </c>
      <c r="U113" s="31"/>
      <c r="V113" s="184"/>
      <c r="W113" s="179" t="str">
        <f>IF(B113="",W112,INDEX('Такс. опис.'!$A$5:$BW$50,MATCH(CONCATENATE($C113,"/",$D113,"/",$E113),'Такс. опис.'!$C$5:$C$50,0),48))</f>
        <v>мл</v>
      </c>
      <c r="X113" s="179" t="str">
        <f>IF(B113="",X112,INDEX('Такс. опис.'!$A$5:$BW$50,MATCH(CONCATENATE($C113,"/",$D113,"/",$E113),'Такс. опис.'!$C$5:$C$50,0),26))</f>
        <v>9ОС1Б+Д</v>
      </c>
      <c r="Y113" s="179">
        <f>IF(B113="",Y112,INDEX('Такс. опис.'!$A$5:$BW$50,MATCH(CONCATENATE($C113,"/",$D113,"/",$E113),'Такс. опис.'!$C$5:$C$50,0),49))</f>
        <v>55</v>
      </c>
      <c r="Z113" s="179" t="str">
        <f>IF(C113="",Z112,INDEX('Такс. опис.'!$A$5:$BW$50,MATCH(CONCATENATE($C113,"/",$D113,"/",$E113),'Такс. опис.'!$C$5:$C$50,0),47))</f>
        <v>Осина</v>
      </c>
      <c r="AA113" s="179" t="str">
        <f>IF(D113="","",INDEX('Такс. опис.'!$A$5:$BW$50,MATCH('Ведомость расчета мин. платы'!AC113,'Такс. опис.'!$C$5:$C$50,0),31))</f>
        <v/>
      </c>
      <c r="AB113" s="115"/>
      <c r="AC113" s="47" t="str">
        <f t="shared" si="46"/>
        <v>Мамыковское/90/8/2</v>
      </c>
      <c r="AD113" s="180">
        <f>INDEX(Периметр!$A$3:$Q$158,MATCH(AC113,Периметр!$A$3:$A$158,0),17)</f>
        <v>0.76</v>
      </c>
      <c r="AE113" s="47" t="str">
        <f t="shared" si="45"/>
        <v/>
      </c>
      <c r="AF113" s="115"/>
      <c r="AG113" s="176"/>
      <c r="AH113" s="176"/>
      <c r="AI113" s="176"/>
      <c r="AK113" s="186" t="str">
        <f t="shared" si="29"/>
        <v>//</v>
      </c>
    </row>
    <row r="114" spans="2:38" ht="15.95" customHeight="1" x14ac:dyDescent="0.2">
      <c r="B114" s="179">
        <f>IF(E114="","",COUNTA($E$10:E114))</f>
        <v>28</v>
      </c>
      <c r="C114" s="157" t="s">
        <v>24</v>
      </c>
      <c r="D114" s="113">
        <v>90</v>
      </c>
      <c r="E114" s="113">
        <v>12</v>
      </c>
      <c r="F114" s="113">
        <v>3</v>
      </c>
      <c r="G114" s="157">
        <v>3.7</v>
      </c>
      <c r="H114" s="113" t="s">
        <v>2086</v>
      </c>
      <c r="I114" s="157" t="s">
        <v>23</v>
      </c>
      <c r="J114" s="182" t="s">
        <v>17</v>
      </c>
      <c r="K114" s="183">
        <v>16.5</v>
      </c>
      <c r="L114" s="183">
        <v>30.6</v>
      </c>
      <c r="M114" s="183">
        <v>6.9</v>
      </c>
      <c r="N114" s="114">
        <f t="shared" si="43"/>
        <v>54</v>
      </c>
      <c r="O114" s="183">
        <v>57.3</v>
      </c>
      <c r="P114" s="183"/>
      <c r="Q114" s="370">
        <f t="shared" si="44"/>
        <v>111.3</v>
      </c>
      <c r="R114" s="183">
        <v>126.4</v>
      </c>
      <c r="S114" s="121">
        <v>5041.8599999999997</v>
      </c>
      <c r="T114" s="116" t="str">
        <f>IF(AE114="",INDEX(Коэффициенты!$B$4:$S$59,MATCH('Ведомость расчета мин. платы'!AC114,Коэффициенты!$O$4:$O$59,0),9),"")</f>
        <v/>
      </c>
      <c r="U114" s="31" t="s">
        <v>2056</v>
      </c>
      <c r="V114" s="184"/>
      <c r="W114" s="179" t="str">
        <f>IF(B114="",W113,INDEX('Такс. опис.'!$A$5:$BW$50,MATCH(CONCATENATE($C114,"/",$D114,"/",$E114),'Такс. опис.'!$C$5:$C$50,0),48))</f>
        <v>мл</v>
      </c>
      <c r="X114" s="179" t="str">
        <f>IF(B114="",X113,INDEX('Такс. опис.'!$A$5:$BW$50,MATCH(CONCATENATE($C114,"/",$D114,"/",$E114),'Такс. опис.'!$C$5:$C$50,0),26))</f>
        <v>4ОС3ЛП2Б1Д</v>
      </c>
      <c r="Y114" s="179">
        <f>IF(B114="",Y113,INDEX('Такс. опис.'!$A$5:$BW$50,MATCH(CONCATENATE($C114,"/",$D114,"/",$E114),'Такс. опис.'!$C$5:$C$50,0),49))</f>
        <v>45</v>
      </c>
      <c r="Z114" s="179" t="str">
        <f>IF(C114="",Z113,INDEX('Такс. опис.'!$A$5:$BW$50,MATCH(CONCATENATE($C114,"/",$D114,"/",$E114),'Такс. опис.'!$C$5:$C$50,0),47))</f>
        <v>Осина</v>
      </c>
      <c r="AA114" s="179" t="e">
        <f>IF(D114="","",INDEX('Такс. опис.'!$A$5:$BW$50,MATCH('Ведомость расчета мин. платы'!AC114,'Такс. опис.'!$C$5:$C$50,0),31))</f>
        <v>#N/A</v>
      </c>
      <c r="AB114" s="115"/>
      <c r="AC114" s="47" t="str">
        <f t="shared" si="46"/>
        <v>Мамыковское/90/12/3</v>
      </c>
      <c r="AD114" s="180">
        <f>INDEX(Периметр!$A$3:$Q$158,MATCH(AC114,Периметр!$A$3:$A$158,0),17)</f>
        <v>0.94</v>
      </c>
      <c r="AE114" s="47" t="str">
        <f t="shared" si="45"/>
        <v>Мамыковское/90/12/3/Береза</v>
      </c>
      <c r="AF114" s="115"/>
      <c r="AG114" s="176"/>
      <c r="AH114" s="176"/>
      <c r="AI114" s="176"/>
      <c r="AK114" s="186" t="str">
        <f t="shared" si="29"/>
        <v>Мамыковское/90/12</v>
      </c>
      <c r="AL114" s="181">
        <v>1</v>
      </c>
    </row>
    <row r="115" spans="2:38" ht="15.95" customHeight="1" x14ac:dyDescent="0.2">
      <c r="B115" s="179" t="str">
        <f>IF(E115="","",COUNTA($E$10:E115))</f>
        <v/>
      </c>
      <c r="C115" s="157"/>
      <c r="D115" s="113" t="s">
        <v>166</v>
      </c>
      <c r="E115" s="113"/>
      <c r="F115" s="113" t="s">
        <v>166</v>
      </c>
      <c r="G115" s="157" t="s">
        <v>166</v>
      </c>
      <c r="H115" s="113"/>
      <c r="I115" s="157"/>
      <c r="J115" s="182" t="s">
        <v>25</v>
      </c>
      <c r="K115" s="183"/>
      <c r="L115" s="183">
        <v>8.4</v>
      </c>
      <c r="M115" s="183">
        <v>12.6</v>
      </c>
      <c r="N115" s="114">
        <f t="shared" si="43"/>
        <v>21</v>
      </c>
      <c r="O115" s="183">
        <v>29.8</v>
      </c>
      <c r="P115" s="183"/>
      <c r="Q115" s="370">
        <f t="shared" si="44"/>
        <v>50.8</v>
      </c>
      <c r="R115" s="183">
        <v>58.2</v>
      </c>
      <c r="S115" s="121">
        <v>9807.67</v>
      </c>
      <c r="T115" s="116" t="str">
        <f>IF(AE115="",INDEX(Коэффициенты!$B$4:$S$59,MATCH('Ведомость расчета мин. платы'!AC115,Коэффициенты!$O$4:$O$59,0),9),"")</f>
        <v/>
      </c>
      <c r="U115" s="31"/>
      <c r="V115" s="184"/>
      <c r="W115" s="179" t="str">
        <f>IF(B115="",W114,INDEX('Такс. опис.'!$A$5:$BW$50,MATCH(CONCATENATE($C115,"/",$D115,"/",$E115),'Такс. опис.'!$C$5:$C$50,0),48))</f>
        <v>мл</v>
      </c>
      <c r="X115" s="179" t="str">
        <f>IF(B115="",X114,INDEX('Такс. опис.'!$A$5:$BW$50,MATCH(CONCATENATE($C115,"/",$D115,"/",$E115),'Такс. опис.'!$C$5:$C$50,0),26))</f>
        <v>4ОС3ЛП2Б1Д</v>
      </c>
      <c r="Y115" s="179">
        <f>IF(B115="",Y114,INDEX('Такс. опис.'!$A$5:$BW$50,MATCH(CONCATENATE($C115,"/",$D115,"/",$E115),'Такс. опис.'!$C$5:$C$50,0),49))</f>
        <v>45</v>
      </c>
      <c r="Z115" s="179" t="str">
        <f>IF(C115="",Z114,INDEX('Такс. опис.'!$A$5:$BW$50,MATCH(CONCATENATE($C115,"/",$D115,"/",$E115),'Такс. опис.'!$C$5:$C$50,0),47))</f>
        <v>Осина</v>
      </c>
      <c r="AA115" s="179" t="str">
        <f>IF(D115="","",INDEX('Такс. опис.'!$A$5:$BW$50,MATCH('Ведомость расчета мин. платы'!AC115,'Такс. опис.'!$C$5:$C$50,0),31))</f>
        <v/>
      </c>
      <c r="AB115" s="115"/>
      <c r="AC115" s="47" t="str">
        <f t="shared" si="46"/>
        <v>Мамыковское/90/12/3</v>
      </c>
      <c r="AD115" s="180">
        <f>INDEX(Периметр!$A$3:$Q$158,MATCH(AC115,Периметр!$A$3:$A$158,0),17)</f>
        <v>0.94</v>
      </c>
      <c r="AE115" s="47" t="str">
        <f t="shared" si="45"/>
        <v>Мамыковское/90/12/3/Дуб</v>
      </c>
      <c r="AF115" s="115"/>
      <c r="AG115" s="176"/>
      <c r="AH115" s="176"/>
      <c r="AI115" s="176"/>
      <c r="AK115" s="186" t="str">
        <f t="shared" si="29"/>
        <v>//</v>
      </c>
    </row>
    <row r="116" spans="2:38" ht="15.95" customHeight="1" x14ac:dyDescent="0.2">
      <c r="B116" s="179" t="str">
        <f>IF(E116="","",COUNTA($E$10:E116))</f>
        <v/>
      </c>
      <c r="C116" s="157"/>
      <c r="D116" s="113" t="s">
        <v>166</v>
      </c>
      <c r="E116" s="113"/>
      <c r="F116" s="113" t="s">
        <v>166</v>
      </c>
      <c r="G116" s="157" t="s">
        <v>166</v>
      </c>
      <c r="H116" s="113"/>
      <c r="I116" s="157"/>
      <c r="J116" s="182" t="s">
        <v>19</v>
      </c>
      <c r="K116" s="183">
        <v>2.5</v>
      </c>
      <c r="L116" s="183">
        <v>38.21</v>
      </c>
      <c r="M116" s="183">
        <v>13.16</v>
      </c>
      <c r="N116" s="114">
        <f t="shared" si="43"/>
        <v>53.870000000000005</v>
      </c>
      <c r="O116" s="183">
        <v>106.72</v>
      </c>
      <c r="P116" s="183"/>
      <c r="Q116" s="370">
        <f t="shared" si="44"/>
        <v>160.59</v>
      </c>
      <c r="R116" s="183">
        <v>181.2</v>
      </c>
      <c r="S116" s="121">
        <v>2537.9499999999998</v>
      </c>
      <c r="T116" s="116" t="str">
        <f>IF(AE116="",INDEX(Коэффициенты!$B$4:$S$59,MATCH('Ведомость расчета мин. платы'!AC116,Коэффициенты!$O$4:$O$59,0),9),"")</f>
        <v/>
      </c>
      <c r="U116" s="31"/>
      <c r="V116" s="184"/>
      <c r="W116" s="179" t="str">
        <f>IF(B116="",W115,INDEX('Такс. опис.'!$A$5:$BW$50,MATCH(CONCATENATE($C116,"/",$D116,"/",$E116),'Такс. опис.'!$C$5:$C$50,0),48))</f>
        <v>мл</v>
      </c>
      <c r="X116" s="179" t="str">
        <f>IF(B116="",X115,INDEX('Такс. опис.'!$A$5:$BW$50,MATCH(CONCATENATE($C116,"/",$D116,"/",$E116),'Такс. опис.'!$C$5:$C$50,0),26))</f>
        <v>4ОС3ЛП2Б1Д</v>
      </c>
      <c r="Y116" s="179">
        <f>IF(B116="",Y115,INDEX('Такс. опис.'!$A$5:$BW$50,MATCH(CONCATENATE($C116,"/",$D116,"/",$E116),'Такс. опис.'!$C$5:$C$50,0),49))</f>
        <v>45</v>
      </c>
      <c r="Z116" s="179" t="str">
        <f>IF(C116="",Z115,INDEX('Такс. опис.'!$A$5:$BW$50,MATCH(CONCATENATE($C116,"/",$D116,"/",$E116),'Такс. опис.'!$C$5:$C$50,0),47))</f>
        <v>Осина</v>
      </c>
      <c r="AA116" s="179" t="str">
        <f>IF(D116="","",INDEX('Такс. опис.'!$A$5:$BW$50,MATCH('Ведомость расчета мин. платы'!AC116,'Такс. опис.'!$C$5:$C$50,0),31))</f>
        <v/>
      </c>
      <c r="AB116" s="115"/>
      <c r="AC116" s="47" t="str">
        <f t="shared" si="46"/>
        <v>Мамыковское/90/12/3</v>
      </c>
      <c r="AD116" s="180">
        <f>INDEX(Периметр!$A$3:$Q$158,MATCH(AC116,Периметр!$A$3:$A$158,0),17)</f>
        <v>0.94</v>
      </c>
      <c r="AE116" s="47" t="str">
        <f t="shared" si="45"/>
        <v>Мамыковское/90/12/3/Липа</v>
      </c>
      <c r="AF116" s="115"/>
      <c r="AG116" s="176"/>
      <c r="AH116" s="176"/>
      <c r="AI116" s="176"/>
      <c r="AK116" s="186" t="str">
        <f t="shared" si="29"/>
        <v>//</v>
      </c>
    </row>
    <row r="117" spans="2:38" ht="15.95" customHeight="1" x14ac:dyDescent="0.2">
      <c r="B117" s="179" t="str">
        <f>IF(E117="","",COUNTA($E$10:E117))</f>
        <v/>
      </c>
      <c r="C117" s="157"/>
      <c r="D117" s="113" t="s">
        <v>166</v>
      </c>
      <c r="E117" s="113"/>
      <c r="F117" s="113" t="s">
        <v>166</v>
      </c>
      <c r="G117" s="157" t="s">
        <v>166</v>
      </c>
      <c r="H117" s="113"/>
      <c r="I117" s="157"/>
      <c r="J117" s="182" t="s">
        <v>18</v>
      </c>
      <c r="K117" s="183">
        <v>56.9</v>
      </c>
      <c r="L117" s="183">
        <v>45.6</v>
      </c>
      <c r="M117" s="183">
        <v>7.8</v>
      </c>
      <c r="N117" s="114">
        <f t="shared" si="43"/>
        <v>110.3</v>
      </c>
      <c r="O117" s="183">
        <v>109.1</v>
      </c>
      <c r="P117" s="183"/>
      <c r="Q117" s="370">
        <f t="shared" si="44"/>
        <v>219.39999999999998</v>
      </c>
      <c r="R117" s="183">
        <v>259.2</v>
      </c>
      <c r="S117" s="121">
        <v>2117.73</v>
      </c>
      <c r="T117" s="116" t="str">
        <f>IF(AE117="",INDEX(Коэффициенты!$B$4:$S$59,MATCH('Ведомость расчета мин. платы'!AC117,Коэффициенты!$O$4:$O$59,0),9),"")</f>
        <v/>
      </c>
      <c r="U117" s="31"/>
      <c r="V117" s="184"/>
      <c r="W117" s="179" t="str">
        <f>IF(B117="",W116,INDEX('Такс. опис.'!$A$5:$BW$50,MATCH(CONCATENATE($C117,"/",$D117,"/",$E117),'Такс. опис.'!$C$5:$C$50,0),48))</f>
        <v>мл</v>
      </c>
      <c r="X117" s="179" t="str">
        <f>IF(B117="",X116,INDEX('Такс. опис.'!$A$5:$BW$50,MATCH(CONCATENATE($C117,"/",$D117,"/",$E117),'Такс. опис.'!$C$5:$C$50,0),26))</f>
        <v>4ОС3ЛП2Б1Д</v>
      </c>
      <c r="Y117" s="179">
        <f>IF(B117="",Y116,INDEX('Такс. опис.'!$A$5:$BW$50,MATCH(CONCATENATE($C117,"/",$D117,"/",$E117),'Такс. опис.'!$C$5:$C$50,0),49))</f>
        <v>45</v>
      </c>
      <c r="Z117" s="179" t="str">
        <f>IF(C117="",Z116,INDEX('Такс. опис.'!$A$5:$BW$50,MATCH(CONCATENATE($C117,"/",$D117,"/",$E117),'Такс. опис.'!$C$5:$C$50,0),47))</f>
        <v>Осина</v>
      </c>
      <c r="AA117" s="179" t="str">
        <f>IF(D117="","",INDEX('Такс. опис.'!$A$5:$BW$50,MATCH('Ведомость расчета мин. платы'!AC117,'Такс. опис.'!$C$5:$C$50,0),31))</f>
        <v/>
      </c>
      <c r="AB117" s="115"/>
      <c r="AC117" s="47" t="str">
        <f t="shared" si="46"/>
        <v>Мамыковское/90/12/3</v>
      </c>
      <c r="AD117" s="180">
        <f>INDEX(Периметр!$A$3:$Q$158,MATCH(AC117,Периметр!$A$3:$A$158,0),17)</f>
        <v>0.94</v>
      </c>
      <c r="AE117" s="47" t="str">
        <f t="shared" si="45"/>
        <v>Мамыковское/90/12/3/Осина</v>
      </c>
      <c r="AF117" s="115"/>
      <c r="AG117" s="176"/>
      <c r="AH117" s="176"/>
      <c r="AI117" s="176"/>
      <c r="AK117" s="186" t="str">
        <f t="shared" si="29"/>
        <v>//</v>
      </c>
    </row>
    <row r="118" spans="2:38" ht="15.95" customHeight="1" x14ac:dyDescent="0.2">
      <c r="B118" s="179" t="str">
        <f>IF(E118="","",COUNTA($E$10:E118))</f>
        <v/>
      </c>
      <c r="C118" s="157"/>
      <c r="D118" s="113"/>
      <c r="E118" s="113"/>
      <c r="F118" s="113"/>
      <c r="G118" s="157"/>
      <c r="H118" s="113"/>
      <c r="I118" s="157"/>
      <c r="J118" s="187" t="s">
        <v>15</v>
      </c>
      <c r="K118" s="114">
        <f>SUM(K114:K117)</f>
        <v>75.900000000000006</v>
      </c>
      <c r="L118" s="114">
        <f t="shared" ref="L118:S118" si="49">SUM(L114:L117)</f>
        <v>122.81</v>
      </c>
      <c r="M118" s="114">
        <f t="shared" si="49"/>
        <v>40.459999999999994</v>
      </c>
      <c r="N118" s="114">
        <f t="shared" si="49"/>
        <v>239.17000000000002</v>
      </c>
      <c r="O118" s="114">
        <f t="shared" si="49"/>
        <v>302.91999999999996</v>
      </c>
      <c r="P118" s="114"/>
      <c r="Q118" s="370">
        <f t="shared" si="49"/>
        <v>542.08999999999992</v>
      </c>
      <c r="R118" s="114">
        <f t="shared" si="49"/>
        <v>625</v>
      </c>
      <c r="S118" s="114">
        <f t="shared" si="49"/>
        <v>19505.21</v>
      </c>
      <c r="T118" s="116">
        <f>IF(AE118="",INDEX(Коэффициенты!$B$4:$S$59,MATCH('Ведомость расчета мин. платы'!AC118,Коэффициенты!$O$4:$O$59,0),9),"")</f>
        <v>32378.6486</v>
      </c>
      <c r="U118" s="31"/>
      <c r="V118" s="184"/>
      <c r="W118" s="179" t="str">
        <f>IF(B118="",W117,INDEX('Такс. опис.'!$A$5:$BW$50,MATCH(CONCATENATE($C118,"/",$D118,"/",$E118),'Такс. опис.'!$C$5:$C$50,0),48))</f>
        <v>мл</v>
      </c>
      <c r="X118" s="179" t="str">
        <f>IF(B118="",X117,INDEX('Такс. опис.'!$A$5:$BW$50,MATCH(CONCATENATE($C118,"/",$D118,"/",$E118),'Такс. опис.'!$C$5:$C$50,0),26))</f>
        <v>4ОС3ЛП2Б1Д</v>
      </c>
      <c r="Y118" s="179">
        <f>IF(B118="",Y117,INDEX('Такс. опис.'!$A$5:$BW$50,MATCH(CONCATENATE($C118,"/",$D118,"/",$E118),'Такс. опис.'!$C$5:$C$50,0),49))</f>
        <v>45</v>
      </c>
      <c r="Z118" s="179" t="str">
        <f>IF(C118="",Z117,INDEX('Такс. опис.'!$A$5:$BW$50,MATCH(CONCATENATE($C118,"/",$D118,"/",$E118),'Такс. опис.'!$C$5:$C$50,0),47))</f>
        <v>Осина</v>
      </c>
      <c r="AA118" s="179" t="str">
        <f>IF(D118="","",INDEX('Такс. опис.'!$A$5:$BW$50,MATCH('Ведомость расчета мин. платы'!AC118,'Такс. опис.'!$C$5:$C$50,0),31))</f>
        <v/>
      </c>
      <c r="AB118" s="115"/>
      <c r="AC118" s="47" t="str">
        <f t="shared" si="46"/>
        <v>Мамыковское/90/12/3</v>
      </c>
      <c r="AD118" s="180">
        <f>INDEX(Периметр!$A$3:$Q$158,MATCH(AC118,Периметр!$A$3:$A$158,0),17)</f>
        <v>0.94</v>
      </c>
      <c r="AE118" s="47" t="str">
        <f t="shared" si="45"/>
        <v/>
      </c>
      <c r="AF118" s="115"/>
      <c r="AG118" s="176"/>
      <c r="AH118" s="176"/>
      <c r="AI118" s="176"/>
      <c r="AK118" s="186" t="str">
        <f t="shared" si="29"/>
        <v>//</v>
      </c>
    </row>
    <row r="119" spans="2:38" ht="15.95" customHeight="1" x14ac:dyDescent="0.2">
      <c r="B119" s="179">
        <f>IF(E119="","",COUNTA($E$10:E119))</f>
        <v>29</v>
      </c>
      <c r="C119" s="157" t="s">
        <v>24</v>
      </c>
      <c r="D119" s="113">
        <v>91</v>
      </c>
      <c r="E119" s="113">
        <v>9</v>
      </c>
      <c r="F119" s="113">
        <v>1</v>
      </c>
      <c r="G119" s="157">
        <v>6.1</v>
      </c>
      <c r="H119" s="113" t="s">
        <v>2086</v>
      </c>
      <c r="I119" s="157" t="s">
        <v>23</v>
      </c>
      <c r="J119" s="182" t="s">
        <v>17</v>
      </c>
      <c r="K119" s="183">
        <v>28</v>
      </c>
      <c r="L119" s="183">
        <v>58.4</v>
      </c>
      <c r="M119" s="183">
        <v>15.6</v>
      </c>
      <c r="N119" s="114">
        <f t="shared" si="43"/>
        <v>102</v>
      </c>
      <c r="O119" s="183">
        <v>122.4</v>
      </c>
      <c r="P119" s="183"/>
      <c r="Q119" s="370">
        <f t="shared" si="44"/>
        <v>224.4</v>
      </c>
      <c r="R119" s="183">
        <v>254</v>
      </c>
      <c r="S119" s="121">
        <v>9879.59</v>
      </c>
      <c r="T119" s="116" t="str">
        <f>IF(AE119="",INDEX(Коэффициенты!$B$4:$S$59,MATCH('Ведомость расчета мин. платы'!AC119,Коэффициенты!$O$4:$O$59,0),9),"")</f>
        <v/>
      </c>
      <c r="U119" s="31" t="s">
        <v>2112</v>
      </c>
      <c r="V119" s="184"/>
      <c r="W119" s="179" t="str">
        <f>IF(B119="",W118,INDEX('Такс. опис.'!$A$5:$BW$50,MATCH(CONCATENATE($C119,"/",$D119,"/",$E119),'Такс. опис.'!$C$5:$C$50,0),48))</f>
        <v>мл</v>
      </c>
      <c r="X119" s="179" t="str">
        <f>IF(B119="",X118,INDEX('Такс. опис.'!$A$5:$BW$50,MATCH(CONCATENATE($C119,"/",$D119,"/",$E119),'Такс. опис.'!$C$5:$C$50,0),26))</f>
        <v>6ОС2Б1ЛП1Д</v>
      </c>
      <c r="Y119" s="179">
        <f>IF(B119="",Y118,INDEX('Такс. опис.'!$A$5:$BW$50,MATCH(CONCATENATE($C119,"/",$D119,"/",$E119),'Такс. опис.'!$C$5:$C$50,0),49))</f>
        <v>55</v>
      </c>
      <c r="Z119" s="179" t="str">
        <f>IF(C119="",Z118,INDEX('Такс. опис.'!$A$5:$BW$50,MATCH(CONCATENATE($C119,"/",$D119,"/",$E119),'Такс. опис.'!$C$5:$C$50,0),47))</f>
        <v>Осина</v>
      </c>
      <c r="AA119" s="179" t="e">
        <f>IF(D119="","",INDEX('Такс. опис.'!$A$5:$BW$50,MATCH('Ведомость расчета мин. платы'!AC119,'Такс. опис.'!$C$5:$C$50,0),31))</f>
        <v>#N/A</v>
      </c>
      <c r="AB119" s="115"/>
      <c r="AC119" s="47" t="str">
        <f t="shared" si="46"/>
        <v>Мамыковское/91/9/1</v>
      </c>
      <c r="AD119" s="180">
        <f>INDEX(Периметр!$A$3:$Q$158,MATCH(AC119,Периметр!$A$3:$A$158,0),17)</f>
        <v>1.42</v>
      </c>
      <c r="AE119" s="47" t="str">
        <f t="shared" si="45"/>
        <v>Мамыковское/91/9/1/Береза</v>
      </c>
      <c r="AF119" s="115"/>
      <c r="AG119" s="176"/>
      <c r="AH119" s="176"/>
      <c r="AI119" s="176"/>
      <c r="AK119" s="186" t="str">
        <f t="shared" si="29"/>
        <v>Мамыковское/91/9</v>
      </c>
      <c r="AL119" s="181">
        <v>1</v>
      </c>
    </row>
    <row r="120" spans="2:38" ht="15.95" customHeight="1" x14ac:dyDescent="0.2">
      <c r="B120" s="179" t="str">
        <f>IF(E120="","",COUNTA($E$10:E120))</f>
        <v/>
      </c>
      <c r="C120" s="157"/>
      <c r="D120" s="113" t="s">
        <v>166</v>
      </c>
      <c r="E120" s="113"/>
      <c r="F120" s="113" t="s">
        <v>166</v>
      </c>
      <c r="G120" s="157" t="s">
        <v>166</v>
      </c>
      <c r="H120" s="113"/>
      <c r="I120" s="157"/>
      <c r="J120" s="182" t="s">
        <v>25</v>
      </c>
      <c r="K120" s="183"/>
      <c r="L120" s="183">
        <v>32.4</v>
      </c>
      <c r="M120" s="183">
        <v>16.600000000000001</v>
      </c>
      <c r="N120" s="114">
        <f t="shared" si="43"/>
        <v>49</v>
      </c>
      <c r="O120" s="183">
        <v>62.1</v>
      </c>
      <c r="P120" s="183"/>
      <c r="Q120" s="370">
        <f t="shared" si="44"/>
        <v>111.1</v>
      </c>
      <c r="R120" s="183">
        <v>127.8</v>
      </c>
      <c r="S120" s="121">
        <v>27904.74</v>
      </c>
      <c r="T120" s="116" t="str">
        <f>IF(AE120="",INDEX(Коэффициенты!$B$4:$S$59,MATCH('Ведомость расчета мин. платы'!AC120,Коэффициенты!$O$4:$O$59,0),9),"")</f>
        <v/>
      </c>
      <c r="U120" s="31"/>
      <c r="V120" s="184"/>
      <c r="W120" s="179" t="str">
        <f>IF(B120="",W119,INDEX('Такс. опис.'!$A$5:$BW$50,MATCH(CONCATENATE($C120,"/",$D120,"/",$E120),'Такс. опис.'!$C$5:$C$50,0),48))</f>
        <v>мл</v>
      </c>
      <c r="X120" s="179" t="str">
        <f>IF(B120="",X119,INDEX('Такс. опис.'!$A$5:$BW$50,MATCH(CONCATENATE($C120,"/",$D120,"/",$E120),'Такс. опис.'!$C$5:$C$50,0),26))</f>
        <v>6ОС2Б1ЛП1Д</v>
      </c>
      <c r="Y120" s="179">
        <f>IF(B120="",Y119,INDEX('Такс. опис.'!$A$5:$BW$50,MATCH(CONCATENATE($C120,"/",$D120,"/",$E120),'Такс. опис.'!$C$5:$C$50,0),49))</f>
        <v>55</v>
      </c>
      <c r="Z120" s="179" t="str">
        <f>IF(C120="",Z119,INDEX('Такс. опис.'!$A$5:$BW$50,MATCH(CONCATENATE($C120,"/",$D120,"/",$E120),'Такс. опис.'!$C$5:$C$50,0),47))</f>
        <v>Осина</v>
      </c>
      <c r="AA120" s="179" t="str">
        <f>IF(D120="","",INDEX('Такс. опис.'!$A$5:$BW$50,MATCH('Ведомость расчета мин. платы'!AC120,'Такс. опис.'!$C$5:$C$50,0),31))</f>
        <v/>
      </c>
      <c r="AB120" s="115"/>
      <c r="AC120" s="47" t="str">
        <f t="shared" si="46"/>
        <v>Мамыковское/91/9/1</v>
      </c>
      <c r="AD120" s="180">
        <f>INDEX(Периметр!$A$3:$Q$158,MATCH(AC120,Периметр!$A$3:$A$158,0),17)</f>
        <v>1.42</v>
      </c>
      <c r="AE120" s="47" t="str">
        <f t="shared" si="45"/>
        <v>Мамыковское/91/9/1/Дуб</v>
      </c>
      <c r="AF120" s="115"/>
      <c r="AG120" s="176"/>
      <c r="AH120" s="176"/>
      <c r="AI120" s="176"/>
      <c r="AK120" s="186" t="str">
        <f t="shared" si="29"/>
        <v>//</v>
      </c>
    </row>
    <row r="121" spans="2:38" ht="15.95" customHeight="1" x14ac:dyDescent="0.2">
      <c r="B121" s="179" t="str">
        <f>IF(E121="","",COUNTA($E$10:E121))</f>
        <v/>
      </c>
      <c r="C121" s="157"/>
      <c r="D121" s="113" t="s">
        <v>166</v>
      </c>
      <c r="E121" s="113"/>
      <c r="F121" s="113" t="s">
        <v>166</v>
      </c>
      <c r="G121" s="157" t="s">
        <v>166</v>
      </c>
      <c r="H121" s="113"/>
      <c r="I121" s="157"/>
      <c r="J121" s="182" t="s">
        <v>19</v>
      </c>
      <c r="K121" s="183">
        <v>0.34</v>
      </c>
      <c r="L121" s="183">
        <v>27.48</v>
      </c>
      <c r="M121" s="183">
        <v>10.59</v>
      </c>
      <c r="N121" s="114">
        <f t="shared" si="43"/>
        <v>38.409999999999997</v>
      </c>
      <c r="O121" s="183">
        <v>74.73</v>
      </c>
      <c r="P121" s="183"/>
      <c r="Q121" s="370">
        <f t="shared" si="44"/>
        <v>113.14</v>
      </c>
      <c r="R121" s="183">
        <v>127.2</v>
      </c>
      <c r="S121" s="121">
        <v>1839.49</v>
      </c>
      <c r="T121" s="116" t="str">
        <f>IF(AE121="",INDEX(Коэффициенты!$B$4:$S$59,MATCH('Ведомость расчета мин. платы'!AC121,Коэффициенты!$O$4:$O$59,0),9),"")</f>
        <v/>
      </c>
      <c r="U121" s="31"/>
      <c r="V121" s="184"/>
      <c r="W121" s="179" t="str">
        <f>IF(B121="",W120,INDEX('Такс. опис.'!$A$5:$BW$50,MATCH(CONCATENATE($C121,"/",$D121,"/",$E121),'Такс. опис.'!$C$5:$C$50,0),48))</f>
        <v>мл</v>
      </c>
      <c r="X121" s="179" t="str">
        <f>IF(B121="",X120,INDEX('Такс. опис.'!$A$5:$BW$50,MATCH(CONCATENATE($C121,"/",$D121,"/",$E121),'Такс. опис.'!$C$5:$C$50,0),26))</f>
        <v>6ОС2Б1ЛП1Д</v>
      </c>
      <c r="Y121" s="179">
        <f>IF(B121="",Y120,INDEX('Такс. опис.'!$A$5:$BW$50,MATCH(CONCATENATE($C121,"/",$D121,"/",$E121),'Такс. опис.'!$C$5:$C$50,0),49))</f>
        <v>55</v>
      </c>
      <c r="Z121" s="179" t="str">
        <f>IF(C121="",Z120,INDEX('Такс. опис.'!$A$5:$BW$50,MATCH(CONCATENATE($C121,"/",$D121,"/",$E121),'Такс. опис.'!$C$5:$C$50,0),47))</f>
        <v>Осина</v>
      </c>
      <c r="AA121" s="179" t="str">
        <f>IF(D121="","",INDEX('Такс. опис.'!$A$5:$BW$50,MATCH('Ведомость расчета мин. платы'!AC121,'Такс. опис.'!$C$5:$C$50,0),31))</f>
        <v/>
      </c>
      <c r="AB121" s="115"/>
      <c r="AC121" s="47" t="str">
        <f t="shared" si="46"/>
        <v>Мамыковское/91/9/1</v>
      </c>
      <c r="AD121" s="180">
        <f>INDEX(Периметр!$A$3:$Q$158,MATCH(AC121,Периметр!$A$3:$A$158,0),17)</f>
        <v>1.42</v>
      </c>
      <c r="AE121" s="47" t="str">
        <f t="shared" si="45"/>
        <v>Мамыковское/91/9/1/Липа</v>
      </c>
      <c r="AF121" s="115"/>
      <c r="AG121" s="176"/>
      <c r="AH121" s="176"/>
      <c r="AI121" s="176"/>
      <c r="AK121" s="186" t="str">
        <f t="shared" si="29"/>
        <v>//</v>
      </c>
    </row>
    <row r="122" spans="2:38" ht="15.95" customHeight="1" x14ac:dyDescent="0.2">
      <c r="B122" s="179" t="str">
        <f>IF(E122="","",COUNTA($E$10:E122))</f>
        <v/>
      </c>
      <c r="C122" s="157"/>
      <c r="D122" s="113" t="s">
        <v>166</v>
      </c>
      <c r="E122" s="113"/>
      <c r="F122" s="113" t="s">
        <v>166</v>
      </c>
      <c r="G122" s="157" t="s">
        <v>166</v>
      </c>
      <c r="H122" s="113"/>
      <c r="I122" s="157"/>
      <c r="J122" s="182" t="s">
        <v>18</v>
      </c>
      <c r="K122" s="183">
        <v>275.39999999999998</v>
      </c>
      <c r="L122" s="183">
        <v>54.6</v>
      </c>
      <c r="M122" s="183">
        <v>4.2</v>
      </c>
      <c r="N122" s="114">
        <f t="shared" si="43"/>
        <v>334.2</v>
      </c>
      <c r="O122" s="183">
        <v>334.7</v>
      </c>
      <c r="P122" s="183"/>
      <c r="Q122" s="370">
        <f t="shared" si="44"/>
        <v>668.9</v>
      </c>
      <c r="R122" s="183">
        <v>790.6</v>
      </c>
      <c r="S122" s="121">
        <v>7465.92</v>
      </c>
      <c r="T122" s="116" t="str">
        <f>IF(AE122="",INDEX(Коэффициенты!$B$4:$S$59,MATCH('Ведомость расчета мин. платы'!AC122,Коэффициенты!$O$4:$O$59,0),9),"")</f>
        <v/>
      </c>
      <c r="U122" s="31"/>
      <c r="V122" s="184"/>
      <c r="W122" s="179" t="str">
        <f>IF(B122="",W121,INDEX('Такс. опис.'!$A$5:$BW$50,MATCH(CONCATENATE($C122,"/",$D122,"/",$E122),'Такс. опис.'!$C$5:$C$50,0),48))</f>
        <v>мл</v>
      </c>
      <c r="X122" s="179" t="str">
        <f>IF(B122="",X121,INDEX('Такс. опис.'!$A$5:$BW$50,MATCH(CONCATENATE($C122,"/",$D122,"/",$E122),'Такс. опис.'!$C$5:$C$50,0),26))</f>
        <v>6ОС2Б1ЛП1Д</v>
      </c>
      <c r="Y122" s="179">
        <f>IF(B122="",Y121,INDEX('Такс. опис.'!$A$5:$BW$50,MATCH(CONCATENATE($C122,"/",$D122,"/",$E122),'Такс. опис.'!$C$5:$C$50,0),49))</f>
        <v>55</v>
      </c>
      <c r="Z122" s="179" t="str">
        <f>IF(C122="",Z121,INDEX('Такс. опис.'!$A$5:$BW$50,MATCH(CONCATENATE($C122,"/",$D122,"/",$E122),'Такс. опис.'!$C$5:$C$50,0),47))</f>
        <v>Осина</v>
      </c>
      <c r="AA122" s="179" t="str">
        <f>IF(D122="","",INDEX('Такс. опис.'!$A$5:$BW$50,MATCH('Ведомость расчета мин. платы'!AC122,'Такс. опис.'!$C$5:$C$50,0),31))</f>
        <v/>
      </c>
      <c r="AB122" s="115"/>
      <c r="AC122" s="47" t="str">
        <f t="shared" si="46"/>
        <v>Мамыковское/91/9/1</v>
      </c>
      <c r="AD122" s="180">
        <f>INDEX(Периметр!$A$3:$Q$158,MATCH(AC122,Периметр!$A$3:$A$158,0),17)</f>
        <v>1.42</v>
      </c>
      <c r="AE122" s="47" t="str">
        <f t="shared" si="45"/>
        <v>Мамыковское/91/9/1/Осина</v>
      </c>
      <c r="AF122" s="115"/>
      <c r="AG122" s="176"/>
      <c r="AH122" s="176"/>
      <c r="AI122" s="176"/>
      <c r="AK122" s="186" t="str">
        <f t="shared" si="29"/>
        <v>//</v>
      </c>
    </row>
    <row r="123" spans="2:38" ht="15.95" customHeight="1" x14ac:dyDescent="0.2">
      <c r="B123" s="179" t="str">
        <f>IF(E123="","",COUNTA($E$10:E123))</f>
        <v/>
      </c>
      <c r="C123" s="157"/>
      <c r="D123" s="113"/>
      <c r="E123" s="113"/>
      <c r="F123" s="113"/>
      <c r="G123" s="157"/>
      <c r="H123" s="113"/>
      <c r="I123" s="157"/>
      <c r="J123" s="187" t="s">
        <v>15</v>
      </c>
      <c r="K123" s="114">
        <f>SUM(K119:K122)</f>
        <v>303.73999999999995</v>
      </c>
      <c r="L123" s="114">
        <f t="shared" ref="L123:S123" si="50">SUM(L119:L122)</f>
        <v>172.88</v>
      </c>
      <c r="M123" s="114">
        <f t="shared" si="50"/>
        <v>46.990000000000009</v>
      </c>
      <c r="N123" s="114">
        <f t="shared" si="50"/>
        <v>523.61</v>
      </c>
      <c r="O123" s="114">
        <f t="shared" si="50"/>
        <v>593.93000000000006</v>
      </c>
      <c r="P123" s="114"/>
      <c r="Q123" s="370">
        <f t="shared" si="50"/>
        <v>1117.54</v>
      </c>
      <c r="R123" s="114">
        <f t="shared" si="50"/>
        <v>1299.5999999999999</v>
      </c>
      <c r="S123" s="114">
        <f t="shared" si="50"/>
        <v>47089.74</v>
      </c>
      <c r="T123" s="116">
        <f>IF(AE123="",INDEX(Коэффициенты!$B$4:$S$59,MATCH('Ведомость расчета мин. платы'!AC123,Коэффициенты!$O$4:$O$59,0),9),"")</f>
        <v>68280.123000000007</v>
      </c>
      <c r="U123" s="31"/>
      <c r="V123" s="184"/>
      <c r="W123" s="179" t="str">
        <f>IF(B123="",W122,INDEX('Такс. опис.'!$A$5:$BW$50,MATCH(CONCATENATE($C123,"/",$D123,"/",$E123),'Такс. опис.'!$C$5:$C$50,0),48))</f>
        <v>мл</v>
      </c>
      <c r="X123" s="179" t="str">
        <f>IF(B123="",X122,INDEX('Такс. опис.'!$A$5:$BW$50,MATCH(CONCATENATE($C123,"/",$D123,"/",$E123),'Такс. опис.'!$C$5:$C$50,0),26))</f>
        <v>6ОС2Б1ЛП1Д</v>
      </c>
      <c r="Y123" s="179">
        <f>IF(B123="",Y122,INDEX('Такс. опис.'!$A$5:$BW$50,MATCH(CONCATENATE($C123,"/",$D123,"/",$E123),'Такс. опис.'!$C$5:$C$50,0),49))</f>
        <v>55</v>
      </c>
      <c r="Z123" s="179" t="str">
        <f>IF(C123="",Z122,INDEX('Такс. опис.'!$A$5:$BW$50,MATCH(CONCATENATE($C123,"/",$D123,"/",$E123),'Такс. опис.'!$C$5:$C$50,0),47))</f>
        <v>Осина</v>
      </c>
      <c r="AA123" s="179" t="str">
        <f>IF(D123="","",INDEX('Такс. опис.'!$A$5:$BW$50,MATCH('Ведомость расчета мин. платы'!AC123,'Такс. опис.'!$C$5:$C$50,0),31))</f>
        <v/>
      </c>
      <c r="AB123" s="115"/>
      <c r="AC123" s="47" t="str">
        <f t="shared" si="46"/>
        <v>Мамыковское/91/9/1</v>
      </c>
      <c r="AD123" s="180">
        <f>INDEX(Периметр!$A$3:$Q$158,MATCH(AC123,Периметр!$A$3:$A$158,0),17)</f>
        <v>1.42</v>
      </c>
      <c r="AE123" s="47" t="str">
        <f t="shared" si="45"/>
        <v/>
      </c>
      <c r="AF123" s="115"/>
      <c r="AG123" s="176"/>
      <c r="AH123" s="176"/>
      <c r="AI123" s="176"/>
      <c r="AK123" s="186" t="str">
        <f t="shared" si="29"/>
        <v>//</v>
      </c>
    </row>
    <row r="124" spans="2:38" ht="15.95" customHeight="1" x14ac:dyDescent="0.2">
      <c r="B124" s="179">
        <f>IF(E124="","",COUNTA($E$10:E124))</f>
        <v>30</v>
      </c>
      <c r="C124" s="157" t="s">
        <v>24</v>
      </c>
      <c r="D124" s="113">
        <v>96</v>
      </c>
      <c r="E124" s="113">
        <v>5</v>
      </c>
      <c r="F124" s="113">
        <v>1</v>
      </c>
      <c r="G124" s="157">
        <v>5.6</v>
      </c>
      <c r="H124" s="113" t="s">
        <v>2086</v>
      </c>
      <c r="I124" s="157" t="s">
        <v>23</v>
      </c>
      <c r="J124" s="182" t="s">
        <v>17</v>
      </c>
      <c r="K124" s="183">
        <v>14</v>
      </c>
      <c r="L124" s="183">
        <v>26.6</v>
      </c>
      <c r="M124" s="183">
        <v>5.4</v>
      </c>
      <c r="N124" s="114">
        <f t="shared" si="43"/>
        <v>46</v>
      </c>
      <c r="O124" s="183">
        <v>45.8</v>
      </c>
      <c r="P124" s="183"/>
      <c r="Q124" s="370">
        <f t="shared" si="44"/>
        <v>91.8</v>
      </c>
      <c r="R124" s="183">
        <v>104</v>
      </c>
      <c r="S124" s="121">
        <v>4507.58</v>
      </c>
      <c r="T124" s="116" t="str">
        <f>IF(AE124="",INDEX(Коэффициенты!$B$4:$S$59,MATCH('Ведомость расчета мин. платы'!AC124,Коэффициенты!$O$4:$O$59,0),9),"")</f>
        <v/>
      </c>
      <c r="U124" s="31" t="s">
        <v>2113</v>
      </c>
      <c r="V124" s="184"/>
      <c r="W124" s="179" t="str">
        <f>IF(B124="",#REF!,INDEX('Такс. опис.'!$A$5:$BW$50,MATCH(CONCATENATE($C124,"/",$D124,"/",$E124),'Такс. опис.'!$C$5:$C$50,0),48))</f>
        <v>мл</v>
      </c>
      <c r="X124" s="179" t="str">
        <f>IF(B124="",#REF!,INDEX('Такс. опис.'!$A$5:$BW$50,MATCH(CONCATENATE($C124,"/",$D124,"/",$E124),'Такс. опис.'!$C$5:$C$50,0),26))</f>
        <v>6ОС2ЛП1Б1Д+КЛ</v>
      </c>
      <c r="Y124" s="179">
        <f>IF(B124="",#REF!,INDEX('Такс. опис.'!$A$5:$BW$50,MATCH(CONCATENATE($C124,"/",$D124,"/",$E124),'Такс. опис.'!$C$5:$C$50,0),49))</f>
        <v>55</v>
      </c>
      <c r="Z124" s="179" t="str">
        <f>IF(C124="",#REF!,INDEX('Такс. опис.'!$A$5:$BW$50,MATCH(CONCATENATE($C124,"/",$D124,"/",$E124),'Такс. опис.'!$C$5:$C$50,0),47))</f>
        <v>Осина</v>
      </c>
      <c r="AA124" s="179" t="e">
        <f>IF(D124="","",INDEX('Такс. опис.'!$A$5:$BW$50,MATCH('Ведомость расчета мин. платы'!AC124,'Такс. опис.'!$C$5:$C$50,0),31))</f>
        <v>#N/A</v>
      </c>
      <c r="AB124" s="115"/>
      <c r="AC124" s="47" t="str">
        <f>IF(B124="",#REF!,CONCATENATE($C124,"/",$D124,"/",$E124,"/",F124))</f>
        <v>Мамыковское/96/5/1</v>
      </c>
      <c r="AD124" s="180">
        <f>INDEX(Периметр!$A$3:$Q$158,MATCH(AC124,Периметр!$A$3:$A$158,0),17)</f>
        <v>1.32</v>
      </c>
      <c r="AE124" s="47" t="str">
        <f t="shared" si="45"/>
        <v>Мамыковское/96/5/1/Береза</v>
      </c>
      <c r="AF124" s="115"/>
      <c r="AG124" s="176"/>
      <c r="AH124" s="176"/>
      <c r="AI124" s="176"/>
      <c r="AK124" s="186" t="str">
        <f t="shared" si="29"/>
        <v>Мамыковское/96/5</v>
      </c>
      <c r="AL124" s="181">
        <v>1</v>
      </c>
    </row>
    <row r="125" spans="2:38" ht="15.95" customHeight="1" x14ac:dyDescent="0.2">
      <c r="B125" s="179" t="str">
        <f>IF(E125="","",COUNTA($E$10:E125))</f>
        <v/>
      </c>
      <c r="C125" s="157"/>
      <c r="D125" s="113" t="s">
        <v>166</v>
      </c>
      <c r="E125" s="113"/>
      <c r="F125" s="113" t="s">
        <v>166</v>
      </c>
      <c r="G125" s="157" t="s">
        <v>166</v>
      </c>
      <c r="H125" s="113"/>
      <c r="I125" s="157"/>
      <c r="J125" s="182" t="s">
        <v>25</v>
      </c>
      <c r="K125" s="183"/>
      <c r="L125" s="183">
        <v>28</v>
      </c>
      <c r="M125" s="183">
        <v>9.9</v>
      </c>
      <c r="N125" s="114">
        <f t="shared" si="43"/>
        <v>37.9</v>
      </c>
      <c r="O125" s="183">
        <v>47.1</v>
      </c>
      <c r="P125" s="183"/>
      <c r="Q125" s="370">
        <f t="shared" si="44"/>
        <v>85</v>
      </c>
      <c r="R125" s="183">
        <v>98</v>
      </c>
      <c r="S125" s="121">
        <v>22495.33</v>
      </c>
      <c r="T125" s="116" t="str">
        <f>IF(AE125="",INDEX(Коэффициенты!$B$4:$S$59,MATCH('Ведомость расчета мин. платы'!AC125,Коэффициенты!$O$4:$O$59,0),9),"")</f>
        <v/>
      </c>
      <c r="U125" s="31"/>
      <c r="V125" s="184"/>
      <c r="W125" s="179" t="str">
        <f>IF(B125="",W124,INDEX('Такс. опис.'!$A$5:$BW$50,MATCH(CONCATENATE($C125,"/",$D125,"/",$E125),'Такс. опис.'!$C$5:$C$50,0),48))</f>
        <v>мл</v>
      </c>
      <c r="X125" s="179" t="str">
        <f>IF(B125="",X124,INDEX('Такс. опис.'!$A$5:$BW$50,MATCH(CONCATENATE($C125,"/",$D125,"/",$E125),'Такс. опис.'!$C$5:$C$50,0),26))</f>
        <v>6ОС2ЛП1Б1Д+КЛ</v>
      </c>
      <c r="Y125" s="179">
        <f>IF(B125="",Y124,INDEX('Такс. опис.'!$A$5:$BW$50,MATCH(CONCATENATE($C125,"/",$D125,"/",$E125),'Такс. опис.'!$C$5:$C$50,0),49))</f>
        <v>55</v>
      </c>
      <c r="Z125" s="179" t="str">
        <f>IF(C125="",Z124,INDEX('Такс. опис.'!$A$5:$BW$50,MATCH(CONCATENATE($C125,"/",$D125,"/",$E125),'Такс. опис.'!$C$5:$C$50,0),47))</f>
        <v>Осина</v>
      </c>
      <c r="AA125" s="179" t="str">
        <f>IF(D125="","",INDEX('Такс. опис.'!$A$5:$BW$50,MATCH('Ведомость расчета мин. платы'!AC125,'Такс. опис.'!$C$5:$C$50,0),31))</f>
        <v/>
      </c>
      <c r="AB125" s="115"/>
      <c r="AC125" s="47" t="str">
        <f t="shared" si="46"/>
        <v>Мамыковское/96/5/1</v>
      </c>
      <c r="AD125" s="180">
        <f>INDEX(Периметр!$A$3:$Q$158,MATCH(AC125,Периметр!$A$3:$A$158,0),17)</f>
        <v>1.32</v>
      </c>
      <c r="AE125" s="47" t="str">
        <f t="shared" si="45"/>
        <v>Мамыковское/96/5/1/Дуб</v>
      </c>
      <c r="AF125" s="115"/>
      <c r="AG125" s="176"/>
      <c r="AH125" s="176"/>
      <c r="AI125" s="176"/>
      <c r="AK125" s="186" t="str">
        <f t="shared" si="29"/>
        <v>//</v>
      </c>
    </row>
    <row r="126" spans="2:38" ht="15.95" customHeight="1" x14ac:dyDescent="0.2">
      <c r="B126" s="179" t="str">
        <f>IF(E126="","",COUNTA($E$10:E126))</f>
        <v/>
      </c>
      <c r="C126" s="157"/>
      <c r="D126" s="113" t="s">
        <v>166</v>
      </c>
      <c r="E126" s="113"/>
      <c r="F126" s="113" t="s">
        <v>166</v>
      </c>
      <c r="G126" s="157" t="s">
        <v>166</v>
      </c>
      <c r="H126" s="113"/>
      <c r="I126" s="157"/>
      <c r="J126" s="182" t="s">
        <v>268</v>
      </c>
      <c r="K126" s="183"/>
      <c r="L126" s="183">
        <v>2.5</v>
      </c>
      <c r="M126" s="183">
        <v>5.2</v>
      </c>
      <c r="N126" s="114">
        <f t="shared" si="43"/>
        <v>7.7</v>
      </c>
      <c r="O126" s="183">
        <v>9.52</v>
      </c>
      <c r="P126" s="183"/>
      <c r="Q126" s="370">
        <f t="shared" si="44"/>
        <v>17.22</v>
      </c>
      <c r="R126" s="183">
        <v>19.86</v>
      </c>
      <c r="S126" s="121">
        <v>3551.51</v>
      </c>
      <c r="T126" s="116" t="str">
        <f>IF(AE126="",INDEX(Коэффициенты!$B$4:$S$59,MATCH('Ведомость расчета мин. платы'!AC126,Коэффициенты!$O$4:$O$59,0),9),"")</f>
        <v/>
      </c>
      <c r="U126" s="31"/>
      <c r="V126" s="184"/>
      <c r="W126" s="179" t="str">
        <f>IF(B126="",W125,INDEX('Такс. опис.'!$A$5:$BW$50,MATCH(CONCATENATE($C126,"/",$D126,"/",$E126),'Такс. опис.'!$C$5:$C$50,0),48))</f>
        <v>мл</v>
      </c>
      <c r="X126" s="179" t="str">
        <f>IF(B126="",X125,INDEX('Такс. опис.'!$A$5:$BW$50,MATCH(CONCATENATE($C126,"/",$D126,"/",$E126),'Такс. опис.'!$C$5:$C$50,0),26))</f>
        <v>6ОС2ЛП1Б1Д+КЛ</v>
      </c>
      <c r="Y126" s="179">
        <f>IF(B126="",Y125,INDEX('Такс. опис.'!$A$5:$BW$50,MATCH(CONCATENATE($C126,"/",$D126,"/",$E126),'Такс. опис.'!$C$5:$C$50,0),49))</f>
        <v>55</v>
      </c>
      <c r="Z126" s="179" t="str">
        <f>IF(C126="",Z125,INDEX('Такс. опис.'!$A$5:$BW$50,MATCH(CONCATENATE($C126,"/",$D126,"/",$E126),'Такс. опис.'!$C$5:$C$50,0),47))</f>
        <v>Осина</v>
      </c>
      <c r="AA126" s="179" t="str">
        <f>IF(D126="","",INDEX('Такс. опис.'!$A$5:$BW$50,MATCH('Ведомость расчета мин. платы'!AC126,'Такс. опис.'!$C$5:$C$50,0),31))</f>
        <v/>
      </c>
      <c r="AB126" s="115"/>
      <c r="AC126" s="47" t="str">
        <f t="shared" si="46"/>
        <v>Мамыковское/96/5/1</v>
      </c>
      <c r="AD126" s="180">
        <f>INDEX(Периметр!$A$3:$Q$158,MATCH(AC126,Периметр!$A$3:$A$158,0),17)</f>
        <v>1.32</v>
      </c>
      <c r="AE126" s="47" t="str">
        <f t="shared" si="45"/>
        <v>Мамыковское/96/5/1/Клен</v>
      </c>
      <c r="AF126" s="115"/>
      <c r="AG126" s="176"/>
      <c r="AH126" s="176"/>
      <c r="AI126" s="176"/>
      <c r="AK126" s="186" t="str">
        <f t="shared" si="29"/>
        <v>//</v>
      </c>
    </row>
    <row r="127" spans="2:38" ht="15.95" customHeight="1" x14ac:dyDescent="0.2">
      <c r="B127" s="179" t="str">
        <f>IF(E127="","",COUNTA($E$10:E127))</f>
        <v/>
      </c>
      <c r="C127" s="157"/>
      <c r="D127" s="113" t="s">
        <v>166</v>
      </c>
      <c r="E127" s="113"/>
      <c r="F127" s="113" t="s">
        <v>166</v>
      </c>
      <c r="G127" s="157" t="s">
        <v>166</v>
      </c>
      <c r="H127" s="113"/>
      <c r="I127" s="157"/>
      <c r="J127" s="182" t="s">
        <v>19</v>
      </c>
      <c r="K127" s="183">
        <v>8.1</v>
      </c>
      <c r="L127" s="183">
        <v>49.76</v>
      </c>
      <c r="M127" s="183">
        <v>7.77</v>
      </c>
      <c r="N127" s="114">
        <f t="shared" si="43"/>
        <v>65.63</v>
      </c>
      <c r="O127" s="183">
        <v>119.61</v>
      </c>
      <c r="P127" s="183"/>
      <c r="Q127" s="370">
        <f t="shared" si="44"/>
        <v>185.24</v>
      </c>
      <c r="R127" s="183">
        <v>211.1</v>
      </c>
      <c r="S127" s="121">
        <v>3539.73</v>
      </c>
      <c r="T127" s="116" t="str">
        <f>IF(AE127="",INDEX(Коэффициенты!$B$4:$S$59,MATCH('Ведомость расчета мин. платы'!AC127,Коэффициенты!$O$4:$O$59,0),9),"")</f>
        <v/>
      </c>
      <c r="U127" s="31"/>
      <c r="V127" s="184"/>
      <c r="W127" s="179" t="str">
        <f>IF(B127="",W126,INDEX('Такс. опис.'!$A$5:$BW$50,MATCH(CONCATENATE($C127,"/",$D127,"/",$E127),'Такс. опис.'!$C$5:$C$50,0),48))</f>
        <v>мл</v>
      </c>
      <c r="X127" s="179" t="str">
        <f>IF(B127="",X126,INDEX('Такс. опис.'!$A$5:$BW$50,MATCH(CONCATENATE($C127,"/",$D127,"/",$E127),'Такс. опис.'!$C$5:$C$50,0),26))</f>
        <v>6ОС2ЛП1Б1Д+КЛ</v>
      </c>
      <c r="Y127" s="179">
        <f>IF(B127="",Y126,INDEX('Такс. опис.'!$A$5:$BW$50,MATCH(CONCATENATE($C127,"/",$D127,"/",$E127),'Такс. опис.'!$C$5:$C$50,0),49))</f>
        <v>55</v>
      </c>
      <c r="Z127" s="179" t="str">
        <f>IF(C127="",Z126,INDEX('Такс. опис.'!$A$5:$BW$50,MATCH(CONCATENATE($C127,"/",$D127,"/",$E127),'Такс. опис.'!$C$5:$C$50,0),47))</f>
        <v>Осина</v>
      </c>
      <c r="AA127" s="179" t="str">
        <f>IF(D127="","",INDEX('Такс. опис.'!$A$5:$BW$50,MATCH('Ведомость расчета мин. платы'!AC127,'Такс. опис.'!$C$5:$C$50,0),31))</f>
        <v/>
      </c>
      <c r="AB127" s="115"/>
      <c r="AC127" s="47" t="str">
        <f t="shared" si="46"/>
        <v>Мамыковское/96/5/1</v>
      </c>
      <c r="AD127" s="180">
        <f>INDEX(Периметр!$A$3:$Q$158,MATCH(AC127,Периметр!$A$3:$A$158,0),17)</f>
        <v>1.32</v>
      </c>
      <c r="AE127" s="47" t="str">
        <f t="shared" si="45"/>
        <v>Мамыковское/96/5/1/Липа</v>
      </c>
      <c r="AF127" s="115"/>
      <c r="AG127" s="176"/>
      <c r="AH127" s="176"/>
      <c r="AI127" s="176"/>
      <c r="AK127" s="186" t="str">
        <f t="shared" si="29"/>
        <v>//</v>
      </c>
    </row>
    <row r="128" spans="2:38" ht="15.95" customHeight="1" x14ac:dyDescent="0.2">
      <c r="B128" s="179" t="str">
        <f>IF(E128="","",COUNTA($E$10:E128))</f>
        <v/>
      </c>
      <c r="C128" s="157"/>
      <c r="D128" s="113" t="s">
        <v>166</v>
      </c>
      <c r="E128" s="113"/>
      <c r="F128" s="113" t="s">
        <v>166</v>
      </c>
      <c r="G128" s="157" t="s">
        <v>166</v>
      </c>
      <c r="H128" s="113"/>
      <c r="I128" s="157"/>
      <c r="J128" s="182" t="s">
        <v>18</v>
      </c>
      <c r="K128" s="183">
        <v>195.1</v>
      </c>
      <c r="L128" s="183">
        <v>73.7</v>
      </c>
      <c r="M128" s="183">
        <v>13.2</v>
      </c>
      <c r="N128" s="114">
        <f t="shared" si="43"/>
        <v>282</v>
      </c>
      <c r="O128" s="183">
        <v>262.2</v>
      </c>
      <c r="P128" s="183"/>
      <c r="Q128" s="370">
        <f t="shared" si="44"/>
        <v>544.20000000000005</v>
      </c>
      <c r="R128" s="183">
        <v>641.20000000000005</v>
      </c>
      <c r="S128" s="121">
        <v>6003.53</v>
      </c>
      <c r="T128" s="116" t="str">
        <f>IF(AE128="",INDEX(Коэффициенты!$B$4:$S$59,MATCH('Ведомость расчета мин. платы'!AC128,Коэффициенты!$O$4:$O$59,0),9),"")</f>
        <v/>
      </c>
      <c r="U128" s="31"/>
      <c r="V128" s="184"/>
      <c r="W128" s="179" t="str">
        <f>IF(B128="",W127,INDEX('Такс. опис.'!$A$5:$BW$50,MATCH(CONCATENATE($C128,"/",$D128,"/",$E128),'Такс. опис.'!$C$5:$C$50,0),48))</f>
        <v>мл</v>
      </c>
      <c r="X128" s="179" t="str">
        <f>IF(B128="",X127,INDEX('Такс. опис.'!$A$5:$BW$50,MATCH(CONCATENATE($C128,"/",$D128,"/",$E128),'Такс. опис.'!$C$5:$C$50,0),26))</f>
        <v>6ОС2ЛП1Б1Д+КЛ</v>
      </c>
      <c r="Y128" s="179">
        <f>IF(B128="",Y127,INDEX('Такс. опис.'!$A$5:$BW$50,MATCH(CONCATENATE($C128,"/",$D128,"/",$E128),'Такс. опис.'!$C$5:$C$50,0),49))</f>
        <v>55</v>
      </c>
      <c r="Z128" s="179" t="str">
        <f>IF(C128="",Z127,INDEX('Такс. опис.'!$A$5:$BW$50,MATCH(CONCATENATE($C128,"/",$D128,"/",$E128),'Такс. опис.'!$C$5:$C$50,0),47))</f>
        <v>Осина</v>
      </c>
      <c r="AA128" s="179" t="str">
        <f>IF(D128="","",INDEX('Такс. опис.'!$A$5:$BW$50,MATCH('Ведомость расчета мин. платы'!AC128,'Такс. опис.'!$C$5:$C$50,0),31))</f>
        <v/>
      </c>
      <c r="AB128" s="115"/>
      <c r="AC128" s="47" t="str">
        <f t="shared" si="46"/>
        <v>Мамыковское/96/5/1</v>
      </c>
      <c r="AD128" s="180">
        <f>INDEX(Периметр!$A$3:$Q$158,MATCH(AC128,Периметр!$A$3:$A$158,0),17)</f>
        <v>1.32</v>
      </c>
      <c r="AE128" s="47" t="str">
        <f t="shared" si="45"/>
        <v>Мамыковское/96/5/1/Осина</v>
      </c>
      <c r="AF128" s="115"/>
      <c r="AG128" s="176"/>
      <c r="AH128" s="176"/>
      <c r="AI128" s="176"/>
      <c r="AK128" s="186" t="str">
        <f t="shared" si="29"/>
        <v>//</v>
      </c>
    </row>
    <row r="129" spans="2:38" ht="15.95" customHeight="1" x14ac:dyDescent="0.2">
      <c r="B129" s="179" t="str">
        <f>IF(E129="","",COUNTA($E$10:E129))</f>
        <v/>
      </c>
      <c r="C129" s="157"/>
      <c r="D129" s="113"/>
      <c r="E129" s="113"/>
      <c r="F129" s="113"/>
      <c r="G129" s="157"/>
      <c r="H129" s="113"/>
      <c r="I129" s="157"/>
      <c r="J129" s="187" t="s">
        <v>15</v>
      </c>
      <c r="K129" s="114">
        <f>SUM(K124:K128)</f>
        <v>217.2</v>
      </c>
      <c r="L129" s="114">
        <f t="shared" ref="L129:S129" si="51">SUM(L124:L128)</f>
        <v>180.56</v>
      </c>
      <c r="M129" s="114">
        <f t="shared" si="51"/>
        <v>41.47</v>
      </c>
      <c r="N129" s="114">
        <f t="shared" si="51"/>
        <v>439.23</v>
      </c>
      <c r="O129" s="114">
        <f t="shared" si="51"/>
        <v>484.23</v>
      </c>
      <c r="P129" s="114"/>
      <c r="Q129" s="370">
        <f t="shared" si="51"/>
        <v>923.46</v>
      </c>
      <c r="R129" s="114">
        <f t="shared" si="51"/>
        <v>1074.1600000000001</v>
      </c>
      <c r="S129" s="114">
        <f t="shared" si="51"/>
        <v>40097.680000000008</v>
      </c>
      <c r="T129" s="116">
        <f>IF(AE129="",INDEX(Коэффициенты!$B$4:$S$59,MATCH('Ведомость расчета мин. платы'!AC129,Коэффициенты!$O$4:$O$59,0),9),"")</f>
        <v>59344.566400000025</v>
      </c>
      <c r="U129" s="31"/>
      <c r="V129" s="184"/>
      <c r="W129" s="179" t="str">
        <f>IF(B129="",W128,INDEX('Такс. опис.'!$A$5:$BW$50,MATCH(CONCATENATE($C129,"/",$D129,"/",$E129),'Такс. опис.'!$C$5:$C$50,0),48))</f>
        <v>мл</v>
      </c>
      <c r="X129" s="179" t="str">
        <f>IF(B129="",X128,INDEX('Такс. опис.'!$A$5:$BW$50,MATCH(CONCATENATE($C129,"/",$D129,"/",$E129),'Такс. опис.'!$C$5:$C$50,0),26))</f>
        <v>6ОС2ЛП1Б1Д+КЛ</v>
      </c>
      <c r="Y129" s="179">
        <f>IF(B129="",Y128,INDEX('Такс. опис.'!$A$5:$BW$50,MATCH(CONCATENATE($C129,"/",$D129,"/",$E129),'Такс. опис.'!$C$5:$C$50,0),49))</f>
        <v>55</v>
      </c>
      <c r="Z129" s="179" t="str">
        <f>IF(C129="",Z128,INDEX('Такс. опис.'!$A$5:$BW$50,MATCH(CONCATENATE($C129,"/",$D129,"/",$E129),'Такс. опис.'!$C$5:$C$50,0),47))</f>
        <v>Осина</v>
      </c>
      <c r="AA129" s="179" t="str">
        <f>IF(D129="","",INDEX('Такс. опис.'!$A$5:$BW$50,MATCH('Ведомость расчета мин. платы'!AC129,'Такс. опис.'!$C$5:$C$50,0),31))</f>
        <v/>
      </c>
      <c r="AB129" s="115"/>
      <c r="AC129" s="47" t="str">
        <f t="shared" si="46"/>
        <v>Мамыковское/96/5/1</v>
      </c>
      <c r="AD129" s="180">
        <f>INDEX(Периметр!$A$3:$Q$158,MATCH(AC129,Периметр!$A$3:$A$158,0),17)</f>
        <v>1.32</v>
      </c>
      <c r="AE129" s="47" t="str">
        <f t="shared" si="45"/>
        <v/>
      </c>
      <c r="AF129" s="115"/>
      <c r="AG129" s="176"/>
      <c r="AH129" s="176"/>
      <c r="AI129" s="176"/>
      <c r="AK129" s="186" t="str">
        <f t="shared" si="29"/>
        <v>//</v>
      </c>
    </row>
    <row r="130" spans="2:38" ht="15.95" customHeight="1" x14ac:dyDescent="0.2">
      <c r="B130" s="179">
        <f>IF(E130="","",COUNTA($E$10:E130))</f>
        <v>31</v>
      </c>
      <c r="C130" s="157" t="s">
        <v>22</v>
      </c>
      <c r="D130" s="113">
        <v>11</v>
      </c>
      <c r="E130" s="113">
        <v>3</v>
      </c>
      <c r="F130" s="113">
        <v>1</v>
      </c>
      <c r="G130" s="157">
        <v>4.3</v>
      </c>
      <c r="H130" s="113" t="s">
        <v>2086</v>
      </c>
      <c r="I130" s="157" t="s">
        <v>23</v>
      </c>
      <c r="J130" s="182" t="s">
        <v>17</v>
      </c>
      <c r="K130" s="183">
        <v>11.13</v>
      </c>
      <c r="L130" s="183">
        <v>67.42</v>
      </c>
      <c r="M130" s="183">
        <v>18.579999999999998</v>
      </c>
      <c r="N130" s="114">
        <f t="shared" ref="N130:N160" si="52">SUM(K130:M130)</f>
        <v>97.13</v>
      </c>
      <c r="O130" s="183">
        <v>79.5</v>
      </c>
      <c r="P130" s="183"/>
      <c r="Q130" s="370">
        <f t="shared" ref="Q130:Q160" si="53">SUM(N130:P130)</f>
        <v>176.63</v>
      </c>
      <c r="R130" s="183">
        <v>201.26</v>
      </c>
      <c r="S130" s="121">
        <v>8460.34</v>
      </c>
      <c r="T130" s="116" t="str">
        <f>IF(AE130="",INDEX(Коэффициенты!$B$4:$S$59,MATCH('Ведомость расчета мин. платы'!AC130,Коэффициенты!$O$4:$O$59,0),9),"")</f>
        <v/>
      </c>
      <c r="U130" s="31" t="s">
        <v>2114</v>
      </c>
      <c r="V130" s="184"/>
      <c r="W130" s="179" t="str">
        <f>IF(B130="",#REF!,INDEX('Такс. опис.'!$A$5:$BW$50,MATCH(CONCATENATE($C130,"/",$D130,"/",$E130),'Такс. опис.'!$C$5:$C$50,0),48))</f>
        <v>мл</v>
      </c>
      <c r="X130" s="179" t="str">
        <f>IF(B130="",#REF!,INDEX('Такс. опис.'!$A$5:$BW$50,MATCH(CONCATENATE($C130,"/",$D130,"/",$E130),'Такс. опис.'!$C$5:$C$50,0),26))</f>
        <v>8ОС2Б</v>
      </c>
      <c r="Y130" s="179">
        <f>IF(B130="",#REF!,INDEX('Такс. опис.'!$A$5:$BW$50,MATCH(CONCATENATE($C130,"/",$D130,"/",$E130),'Такс. опис.'!$C$5:$C$50,0),49))</f>
        <v>55</v>
      </c>
      <c r="Z130" s="179" t="str">
        <f>IF(C130="",#REF!,INDEX('Такс. опис.'!$A$5:$BW$50,MATCH(CONCATENATE($C130,"/",$D130,"/",$E130),'Такс. опис.'!$C$5:$C$50,0),47))</f>
        <v>Осина</v>
      </c>
      <c r="AA130" s="179" t="e">
        <f>IF(D130="","",INDEX('Такс. опис.'!$A$5:$BW$50,MATCH('Ведомость расчета мин. платы'!AC130,'Такс. опис.'!$C$5:$C$50,0),31))</f>
        <v>#N/A</v>
      </c>
      <c r="AB130" s="115"/>
      <c r="AC130" s="47" t="str">
        <f>IF(B130="",#REF!,CONCATENATE($C130,"/",$D130,"/",$E130,"/",F130))</f>
        <v>Тимерликовское/11/3/1</v>
      </c>
      <c r="AD130" s="180">
        <f>INDEX(Периметр!$A$3:$Q$158,MATCH(AC130,Периметр!$A$3:$A$158,0),17)</f>
        <v>1.06</v>
      </c>
      <c r="AE130" s="47" t="str">
        <f t="shared" ref="AE130:AE161" si="54">IF(J130="Итого","",CONCATENATE(AC130,"/",J130))</f>
        <v>Тимерликовское/11/3/1/Береза</v>
      </c>
      <c r="AF130" s="115"/>
      <c r="AG130" s="176"/>
      <c r="AH130" s="176"/>
      <c r="AI130" s="176"/>
      <c r="AK130" s="186" t="str">
        <f t="shared" si="29"/>
        <v>Тимерликовское/11/3</v>
      </c>
      <c r="AL130" s="181">
        <v>1</v>
      </c>
    </row>
    <row r="131" spans="2:38" ht="15.95" customHeight="1" x14ac:dyDescent="0.2">
      <c r="B131" s="179" t="str">
        <f>IF(E131="","",COUNTA($E$10:E131))</f>
        <v/>
      </c>
      <c r="C131" s="157"/>
      <c r="D131" s="113" t="s">
        <v>166</v>
      </c>
      <c r="E131" s="113"/>
      <c r="F131" s="113" t="s">
        <v>166</v>
      </c>
      <c r="G131" s="157" t="s">
        <v>166</v>
      </c>
      <c r="H131" s="113"/>
      <c r="I131" s="157"/>
      <c r="J131" s="182" t="s">
        <v>18</v>
      </c>
      <c r="K131" s="183">
        <v>122.81</v>
      </c>
      <c r="L131" s="183">
        <v>276.19</v>
      </c>
      <c r="M131" s="183">
        <v>20.48</v>
      </c>
      <c r="N131" s="114">
        <f t="shared" si="52"/>
        <v>419.48</v>
      </c>
      <c r="O131" s="183">
        <v>218.99</v>
      </c>
      <c r="P131" s="183"/>
      <c r="Q131" s="370">
        <f t="shared" si="53"/>
        <v>638.47</v>
      </c>
      <c r="R131" s="183">
        <v>735.3</v>
      </c>
      <c r="S131" s="121">
        <v>7918.3</v>
      </c>
      <c r="T131" s="116" t="str">
        <f>IF(AE131="",INDEX(Коэффициенты!$B$4:$S$59,MATCH('Ведомость расчета мин. платы'!AC131,Коэффициенты!$O$4:$O$59,0),9),"")</f>
        <v/>
      </c>
      <c r="U131" s="31"/>
      <c r="V131" s="184"/>
      <c r="W131" s="179" t="str">
        <f>IF(B131="",W130,INDEX('Такс. опис.'!$A$5:$BW$50,MATCH(CONCATENATE($C131,"/",$D131,"/",$E131),'Такс. опис.'!$C$5:$C$50,0),48))</f>
        <v>мл</v>
      </c>
      <c r="X131" s="179" t="str">
        <f>IF(B131="",X130,INDEX('Такс. опис.'!$A$5:$BW$50,MATCH(CONCATENATE($C131,"/",$D131,"/",$E131),'Такс. опис.'!$C$5:$C$50,0),26))</f>
        <v>8ОС2Б</v>
      </c>
      <c r="Y131" s="179">
        <f>IF(B131="",Y130,INDEX('Такс. опис.'!$A$5:$BW$50,MATCH(CONCATENATE($C131,"/",$D131,"/",$E131),'Такс. опис.'!$C$5:$C$50,0),49))</f>
        <v>55</v>
      </c>
      <c r="Z131" s="179" t="str">
        <f>IF(C131="",Z130,INDEX('Такс. опис.'!$A$5:$BW$50,MATCH(CONCATENATE($C131,"/",$D131,"/",$E131),'Такс. опис.'!$C$5:$C$50,0),47))</f>
        <v>Осина</v>
      </c>
      <c r="AA131" s="179" t="str">
        <f>IF(D131="","",INDEX('Такс. опис.'!$A$5:$BW$50,MATCH('Ведомость расчета мин. платы'!AC131,'Такс. опис.'!$C$5:$C$50,0),31))</f>
        <v/>
      </c>
      <c r="AB131" s="115"/>
      <c r="AC131" s="47" t="str">
        <f t="shared" ref="AC131:AC161" si="55">IF(B131="",AC130,CONCATENATE($C131,"/",$D131,"/",$E131,"/",F131))</f>
        <v>Тимерликовское/11/3/1</v>
      </c>
      <c r="AD131" s="180">
        <f>INDEX(Периметр!$A$3:$Q$158,MATCH(AC131,Периметр!$A$3:$A$158,0),17)</f>
        <v>1.06</v>
      </c>
      <c r="AE131" s="47" t="str">
        <f t="shared" si="54"/>
        <v>Тимерликовское/11/3/1/Осина</v>
      </c>
      <c r="AF131" s="115"/>
      <c r="AG131" s="176"/>
      <c r="AH131" s="176"/>
      <c r="AI131" s="176"/>
      <c r="AK131" s="186" t="str">
        <f t="shared" si="29"/>
        <v>//</v>
      </c>
    </row>
    <row r="132" spans="2:38" ht="15.95" customHeight="1" x14ac:dyDescent="0.2">
      <c r="B132" s="179" t="str">
        <f>IF(E132="","",COUNTA($E$10:E132))</f>
        <v/>
      </c>
      <c r="C132" s="157"/>
      <c r="D132" s="113"/>
      <c r="E132" s="113"/>
      <c r="F132" s="113"/>
      <c r="G132" s="157"/>
      <c r="H132" s="113"/>
      <c r="I132" s="157"/>
      <c r="J132" s="187" t="s">
        <v>15</v>
      </c>
      <c r="K132" s="114">
        <f>SUM(K130:K131)</f>
        <v>133.94</v>
      </c>
      <c r="L132" s="114">
        <f t="shared" ref="L132:S132" si="56">SUM(L130:L131)</f>
        <v>343.61</v>
      </c>
      <c r="M132" s="114">
        <f t="shared" si="56"/>
        <v>39.06</v>
      </c>
      <c r="N132" s="114">
        <f t="shared" si="56"/>
        <v>516.61</v>
      </c>
      <c r="O132" s="114">
        <f t="shared" si="56"/>
        <v>298.49</v>
      </c>
      <c r="P132" s="114"/>
      <c r="Q132" s="370">
        <f t="shared" si="56"/>
        <v>815.1</v>
      </c>
      <c r="R132" s="114">
        <f t="shared" si="56"/>
        <v>936.56</v>
      </c>
      <c r="S132" s="114">
        <f t="shared" si="56"/>
        <v>16378.64</v>
      </c>
      <c r="T132" s="116">
        <f>IF(AE132="",INDEX(Коэффициенты!$B$4:$S$59,MATCH('Ведомость расчета мин. платы'!AC132,Коэффициенты!$O$4:$O$59,0),9),"")</f>
        <v>31119.416000000005</v>
      </c>
      <c r="U132" s="31"/>
      <c r="V132" s="184"/>
      <c r="W132" s="179" t="str">
        <f>IF(B132="",W131,INDEX('Такс. опис.'!$A$5:$BW$50,MATCH(CONCATENATE($C132,"/",$D132,"/",$E132),'Такс. опис.'!$C$5:$C$50,0),48))</f>
        <v>мл</v>
      </c>
      <c r="X132" s="179" t="str">
        <f>IF(B132="",X131,INDEX('Такс. опис.'!$A$5:$BW$50,MATCH(CONCATENATE($C132,"/",$D132,"/",$E132),'Такс. опис.'!$C$5:$C$50,0),26))</f>
        <v>8ОС2Б</v>
      </c>
      <c r="Y132" s="179">
        <f>IF(B132="",Y131,INDEX('Такс. опис.'!$A$5:$BW$50,MATCH(CONCATENATE($C132,"/",$D132,"/",$E132),'Такс. опис.'!$C$5:$C$50,0),49))</f>
        <v>55</v>
      </c>
      <c r="Z132" s="179" t="str">
        <f>IF(C132="",Z131,INDEX('Такс. опис.'!$A$5:$BW$50,MATCH(CONCATENATE($C132,"/",$D132,"/",$E132),'Такс. опис.'!$C$5:$C$50,0),47))</f>
        <v>Осина</v>
      </c>
      <c r="AA132" s="179" t="str">
        <f>IF(D132="","",INDEX('Такс. опис.'!$A$5:$BW$50,MATCH('Ведомость расчета мин. платы'!AC132,'Такс. опис.'!$C$5:$C$50,0),31))</f>
        <v/>
      </c>
      <c r="AB132" s="115"/>
      <c r="AC132" s="47" t="str">
        <f t="shared" si="55"/>
        <v>Тимерликовское/11/3/1</v>
      </c>
      <c r="AD132" s="180">
        <f>INDEX(Периметр!$A$3:$Q$158,MATCH(AC132,Периметр!$A$3:$A$158,0),17)</f>
        <v>1.06</v>
      </c>
      <c r="AE132" s="47" t="str">
        <f t="shared" si="54"/>
        <v/>
      </c>
      <c r="AF132" s="115"/>
      <c r="AG132" s="176"/>
      <c r="AH132" s="176"/>
      <c r="AI132" s="176"/>
      <c r="AK132" s="186" t="str">
        <f t="shared" si="29"/>
        <v>//</v>
      </c>
    </row>
    <row r="133" spans="2:38" ht="15.95" customHeight="1" x14ac:dyDescent="0.2">
      <c r="B133" s="179">
        <f>IF(E133="","",COUNTA($E$10:E133))</f>
        <v>32</v>
      </c>
      <c r="C133" s="157" t="s">
        <v>22</v>
      </c>
      <c r="D133" s="113">
        <v>11</v>
      </c>
      <c r="E133" s="113">
        <v>5</v>
      </c>
      <c r="F133" s="113">
        <v>2</v>
      </c>
      <c r="G133" s="157">
        <v>4.5</v>
      </c>
      <c r="H133" s="113" t="s">
        <v>2086</v>
      </c>
      <c r="I133" s="157" t="s">
        <v>23</v>
      </c>
      <c r="J133" s="182" t="s">
        <v>17</v>
      </c>
      <c r="K133" s="183">
        <v>8.4</v>
      </c>
      <c r="L133" s="183">
        <v>59.25</v>
      </c>
      <c r="M133" s="183">
        <v>21.15</v>
      </c>
      <c r="N133" s="114">
        <f t="shared" si="52"/>
        <v>88.800000000000011</v>
      </c>
      <c r="O133" s="183">
        <v>69.78</v>
      </c>
      <c r="P133" s="183"/>
      <c r="Q133" s="370">
        <f t="shared" si="53"/>
        <v>158.58000000000001</v>
      </c>
      <c r="R133" s="183">
        <v>180.72</v>
      </c>
      <c r="S133" s="121">
        <v>7477.73</v>
      </c>
      <c r="T133" s="116" t="str">
        <f>IF(AE133="",INDEX(Коэффициенты!$B$4:$S$59,MATCH('Ведомость расчета мин. платы'!AC133,Коэффициенты!$O$4:$O$59,0),9),"")</f>
        <v/>
      </c>
      <c r="U133" s="31" t="s">
        <v>2114</v>
      </c>
      <c r="V133" s="184"/>
      <c r="W133" s="179" t="str">
        <f>IF(B133="",W132,INDEX('Такс. опис.'!$A$5:$BW$50,MATCH(CONCATENATE($C133,"/",$D133,"/",$E133),'Такс. опис.'!$C$5:$C$50,0),48))</f>
        <v>мл</v>
      </c>
      <c r="X133" s="179" t="str">
        <f>IF(B133="",X132,INDEX('Такс. опис.'!$A$5:$BW$50,MATCH(CONCATENATE($C133,"/",$D133,"/",$E133),'Такс. опис.'!$C$5:$C$50,0),26))</f>
        <v>7ОС2Б1ЛП</v>
      </c>
      <c r="Y133" s="179">
        <f>IF(B133="",Y132,INDEX('Такс. опис.'!$A$5:$BW$50,MATCH(CONCATENATE($C133,"/",$D133,"/",$E133),'Такс. опис.'!$C$5:$C$50,0),49))</f>
        <v>65</v>
      </c>
      <c r="Z133" s="179" t="str">
        <f>IF(C133="",Z132,INDEX('Такс. опис.'!$A$5:$BW$50,MATCH(CONCATENATE($C133,"/",$D133,"/",$E133),'Такс. опис.'!$C$5:$C$50,0),47))</f>
        <v>Осина</v>
      </c>
      <c r="AA133" s="179" t="e">
        <f>IF(D133="","",INDEX('Такс. опис.'!$A$5:$BW$50,MATCH('Ведомость расчета мин. платы'!AC133,'Такс. опис.'!$C$5:$C$50,0),31))</f>
        <v>#N/A</v>
      </c>
      <c r="AB133" s="115"/>
      <c r="AC133" s="47" t="str">
        <f t="shared" si="55"/>
        <v>Тимерликовское/11/5/2</v>
      </c>
      <c r="AD133" s="180">
        <f>INDEX(Периметр!$A$3:$Q$158,MATCH(AC133,Периметр!$A$3:$A$158,0),17)</f>
        <v>1.1000000000000001</v>
      </c>
      <c r="AE133" s="47" t="str">
        <f t="shared" si="54"/>
        <v>Тимерликовское/11/5/2/Береза</v>
      </c>
      <c r="AF133" s="115"/>
      <c r="AG133" s="176"/>
      <c r="AH133" s="176"/>
      <c r="AI133" s="176"/>
      <c r="AK133" s="186" t="str">
        <f t="shared" si="29"/>
        <v>Тимерликовское/11/5</v>
      </c>
      <c r="AL133" s="181">
        <v>1</v>
      </c>
    </row>
    <row r="134" spans="2:38" ht="15.95" customHeight="1" x14ac:dyDescent="0.2">
      <c r="B134" s="179" t="str">
        <f>IF(E134="","",COUNTA($E$10:E134))</f>
        <v/>
      </c>
      <c r="C134" s="157"/>
      <c r="D134" s="113" t="s">
        <v>166</v>
      </c>
      <c r="E134" s="113"/>
      <c r="F134" s="113" t="s">
        <v>166</v>
      </c>
      <c r="G134" s="157" t="s">
        <v>166</v>
      </c>
      <c r="H134" s="113"/>
      <c r="I134" s="157"/>
      <c r="J134" s="182" t="s">
        <v>19</v>
      </c>
      <c r="K134" s="183">
        <v>0.18</v>
      </c>
      <c r="L134" s="183">
        <v>24.73</v>
      </c>
      <c r="M134" s="183">
        <v>8.1199999999999992</v>
      </c>
      <c r="N134" s="114">
        <f t="shared" si="52"/>
        <v>33.03</v>
      </c>
      <c r="O134" s="183">
        <v>31.33</v>
      </c>
      <c r="P134" s="183"/>
      <c r="Q134" s="370">
        <f t="shared" si="53"/>
        <v>64.36</v>
      </c>
      <c r="R134" s="183">
        <v>72.36</v>
      </c>
      <c r="S134" s="121">
        <v>1557.62</v>
      </c>
      <c r="T134" s="116" t="str">
        <f>IF(AE134="",INDEX(Коэффициенты!$B$4:$S$59,MATCH('Ведомость расчета мин. платы'!AC134,Коэффициенты!$O$4:$O$59,0),9),"")</f>
        <v/>
      </c>
      <c r="U134" s="31"/>
      <c r="V134" s="184"/>
      <c r="W134" s="179" t="str">
        <f>IF(B134="",W133,INDEX('Такс. опис.'!$A$5:$BW$50,MATCH(CONCATENATE($C134,"/",$D134,"/",$E134),'Такс. опис.'!$C$5:$C$50,0),48))</f>
        <v>мл</v>
      </c>
      <c r="X134" s="179" t="str">
        <f>IF(B134="",X133,INDEX('Такс. опис.'!$A$5:$BW$50,MATCH(CONCATENATE($C134,"/",$D134,"/",$E134),'Такс. опис.'!$C$5:$C$50,0),26))</f>
        <v>7ОС2Б1ЛП</v>
      </c>
      <c r="Y134" s="179">
        <f>IF(B134="",Y133,INDEX('Такс. опис.'!$A$5:$BW$50,MATCH(CONCATENATE($C134,"/",$D134,"/",$E134),'Такс. опис.'!$C$5:$C$50,0),49))</f>
        <v>65</v>
      </c>
      <c r="Z134" s="179" t="str">
        <f>IF(C134="",Z133,INDEX('Такс. опис.'!$A$5:$BW$50,MATCH(CONCATENATE($C134,"/",$D134,"/",$E134),'Такс. опис.'!$C$5:$C$50,0),47))</f>
        <v>Осина</v>
      </c>
      <c r="AA134" s="179" t="str">
        <f>IF(D134="","",INDEX('Такс. опис.'!$A$5:$BW$50,MATCH('Ведомость расчета мин. платы'!AC134,'Такс. опис.'!$C$5:$C$50,0),31))</f>
        <v/>
      </c>
      <c r="AB134" s="115"/>
      <c r="AC134" s="47" t="str">
        <f t="shared" si="55"/>
        <v>Тимерликовское/11/5/2</v>
      </c>
      <c r="AD134" s="180">
        <f>INDEX(Периметр!$A$3:$Q$158,MATCH(AC134,Периметр!$A$3:$A$158,0),17)</f>
        <v>1.1000000000000001</v>
      </c>
      <c r="AE134" s="47" t="str">
        <f t="shared" si="54"/>
        <v>Тимерликовское/11/5/2/Липа</v>
      </c>
      <c r="AF134" s="115"/>
      <c r="AG134" s="176"/>
      <c r="AH134" s="176"/>
      <c r="AI134" s="176"/>
      <c r="AK134" s="186" t="str">
        <f t="shared" si="29"/>
        <v>//</v>
      </c>
    </row>
    <row r="135" spans="2:38" ht="15.95" customHeight="1" x14ac:dyDescent="0.2">
      <c r="B135" s="179" t="str">
        <f>IF(E135="","",COUNTA($E$10:E135))</f>
        <v/>
      </c>
      <c r="C135" s="157"/>
      <c r="D135" s="113" t="s">
        <v>166</v>
      </c>
      <c r="E135" s="113"/>
      <c r="F135" s="113" t="s">
        <v>166</v>
      </c>
      <c r="G135" s="157" t="s">
        <v>166</v>
      </c>
      <c r="H135" s="113"/>
      <c r="I135" s="157"/>
      <c r="J135" s="182" t="s">
        <v>18</v>
      </c>
      <c r="K135" s="183">
        <v>90.72</v>
      </c>
      <c r="L135" s="183">
        <v>223.47</v>
      </c>
      <c r="M135" s="183">
        <v>15.3</v>
      </c>
      <c r="N135" s="114">
        <f t="shared" si="52"/>
        <v>329.49</v>
      </c>
      <c r="O135" s="183">
        <v>197.01</v>
      </c>
      <c r="P135" s="183"/>
      <c r="Q135" s="370">
        <f t="shared" si="53"/>
        <v>526.5</v>
      </c>
      <c r="R135" s="183">
        <v>610.53</v>
      </c>
      <c r="S135" s="121">
        <v>6209.46</v>
      </c>
      <c r="T135" s="116" t="str">
        <f>IF(AE135="",INDEX(Коэффициенты!$B$4:$S$59,MATCH('Ведомость расчета мин. платы'!AC135,Коэффициенты!$O$4:$O$59,0),9),"")</f>
        <v/>
      </c>
      <c r="U135" s="31"/>
      <c r="V135" s="184"/>
      <c r="W135" s="179" t="str">
        <f>IF(B135="",W134,INDEX('Такс. опис.'!$A$5:$BW$50,MATCH(CONCATENATE($C135,"/",$D135,"/",$E135),'Такс. опис.'!$C$5:$C$50,0),48))</f>
        <v>мл</v>
      </c>
      <c r="X135" s="179" t="str">
        <f>IF(B135="",X134,INDEX('Такс. опис.'!$A$5:$BW$50,MATCH(CONCATENATE($C135,"/",$D135,"/",$E135),'Такс. опис.'!$C$5:$C$50,0),26))</f>
        <v>7ОС2Б1ЛП</v>
      </c>
      <c r="Y135" s="179">
        <f>IF(B135="",Y134,INDEX('Такс. опис.'!$A$5:$BW$50,MATCH(CONCATENATE($C135,"/",$D135,"/",$E135),'Такс. опис.'!$C$5:$C$50,0),49))</f>
        <v>65</v>
      </c>
      <c r="Z135" s="179" t="str">
        <f>IF(C135="",Z134,INDEX('Такс. опис.'!$A$5:$BW$50,MATCH(CONCATENATE($C135,"/",$D135,"/",$E135),'Такс. опис.'!$C$5:$C$50,0),47))</f>
        <v>Осина</v>
      </c>
      <c r="AA135" s="179" t="str">
        <f>IF(D135="","",INDEX('Такс. опис.'!$A$5:$BW$50,MATCH('Ведомость расчета мин. платы'!AC135,'Такс. опис.'!$C$5:$C$50,0),31))</f>
        <v/>
      </c>
      <c r="AB135" s="115"/>
      <c r="AC135" s="47" t="str">
        <f t="shared" si="55"/>
        <v>Тимерликовское/11/5/2</v>
      </c>
      <c r="AD135" s="180">
        <f>INDEX(Периметр!$A$3:$Q$158,MATCH(AC135,Периметр!$A$3:$A$158,0),17)</f>
        <v>1.1000000000000001</v>
      </c>
      <c r="AE135" s="47" t="str">
        <f t="shared" si="54"/>
        <v>Тимерликовское/11/5/2/Осина</v>
      </c>
      <c r="AF135" s="115"/>
      <c r="AG135" s="176"/>
      <c r="AH135" s="176"/>
      <c r="AI135" s="176"/>
      <c r="AK135" s="186" t="str">
        <f t="shared" si="29"/>
        <v>//</v>
      </c>
    </row>
    <row r="136" spans="2:38" ht="15.95" customHeight="1" x14ac:dyDescent="0.2">
      <c r="B136" s="179" t="str">
        <f>IF(E136="","",COUNTA($E$10:E136))</f>
        <v/>
      </c>
      <c r="C136" s="157"/>
      <c r="D136" s="113"/>
      <c r="E136" s="113"/>
      <c r="F136" s="113"/>
      <c r="G136" s="157"/>
      <c r="H136" s="113"/>
      <c r="I136" s="157"/>
      <c r="J136" s="187" t="s">
        <v>15</v>
      </c>
      <c r="K136" s="114">
        <f>SUM(K133:K135)</f>
        <v>99.3</v>
      </c>
      <c r="L136" s="114">
        <f t="shared" ref="L136:S136" si="57">SUM(L133:L135)</f>
        <v>307.45</v>
      </c>
      <c r="M136" s="114">
        <f t="shared" si="57"/>
        <v>44.569999999999993</v>
      </c>
      <c r="N136" s="114">
        <f t="shared" si="57"/>
        <v>451.32000000000005</v>
      </c>
      <c r="O136" s="114">
        <f t="shared" si="57"/>
        <v>298.12</v>
      </c>
      <c r="P136" s="114"/>
      <c r="Q136" s="370">
        <f t="shared" si="57"/>
        <v>749.44</v>
      </c>
      <c r="R136" s="114">
        <f t="shared" si="57"/>
        <v>863.6099999999999</v>
      </c>
      <c r="S136" s="114">
        <f t="shared" si="57"/>
        <v>15244.809999999998</v>
      </c>
      <c r="T136" s="116">
        <f>IF(AE136="",INDEX(Коэффициенты!$B$4:$S$59,MATCH('Ведомость расчета мин. платы'!AC136,Коэффициенты!$O$4:$O$59,0),9),"")</f>
        <v>30794.516199999987</v>
      </c>
      <c r="U136" s="31"/>
      <c r="V136" s="184"/>
      <c r="W136" s="179" t="str">
        <f>IF(B136="",W135,INDEX('Такс. опис.'!$A$5:$BW$50,MATCH(CONCATENATE($C136,"/",$D136,"/",$E136),'Такс. опис.'!$C$5:$C$50,0),48))</f>
        <v>мл</v>
      </c>
      <c r="X136" s="179" t="str">
        <f>IF(B136="",X135,INDEX('Такс. опис.'!$A$5:$BW$50,MATCH(CONCATENATE($C136,"/",$D136,"/",$E136),'Такс. опис.'!$C$5:$C$50,0),26))</f>
        <v>7ОС2Б1ЛП</v>
      </c>
      <c r="Y136" s="179">
        <f>IF(B136="",Y135,INDEX('Такс. опис.'!$A$5:$BW$50,MATCH(CONCATENATE($C136,"/",$D136,"/",$E136),'Такс. опис.'!$C$5:$C$50,0),49))</f>
        <v>65</v>
      </c>
      <c r="Z136" s="179" t="str">
        <f>IF(C136="",Z135,INDEX('Такс. опис.'!$A$5:$BW$50,MATCH(CONCATENATE($C136,"/",$D136,"/",$E136),'Такс. опис.'!$C$5:$C$50,0),47))</f>
        <v>Осина</v>
      </c>
      <c r="AA136" s="179" t="str">
        <f>IF(D136="","",INDEX('Такс. опис.'!$A$5:$BW$50,MATCH('Ведомость расчета мин. платы'!AC136,'Такс. опис.'!$C$5:$C$50,0),31))</f>
        <v/>
      </c>
      <c r="AB136" s="115"/>
      <c r="AC136" s="47" t="str">
        <f t="shared" si="55"/>
        <v>Тимерликовское/11/5/2</v>
      </c>
      <c r="AD136" s="180">
        <f>INDEX(Периметр!$A$3:$Q$158,MATCH(AC136,Периметр!$A$3:$A$158,0),17)</f>
        <v>1.1000000000000001</v>
      </c>
      <c r="AE136" s="47" t="str">
        <f t="shared" si="54"/>
        <v/>
      </c>
      <c r="AF136" s="115"/>
      <c r="AG136" s="176"/>
      <c r="AH136" s="176"/>
      <c r="AI136" s="176"/>
      <c r="AK136" s="186" t="str">
        <f t="shared" si="29"/>
        <v>//</v>
      </c>
    </row>
    <row r="137" spans="2:38" ht="15.95" customHeight="1" x14ac:dyDescent="0.2">
      <c r="B137" s="179">
        <f>IF(E137="","",COUNTA($E$10:E137))</f>
        <v>33</v>
      </c>
      <c r="C137" s="157" t="s">
        <v>22</v>
      </c>
      <c r="D137" s="113">
        <v>11</v>
      </c>
      <c r="E137" s="113">
        <v>8</v>
      </c>
      <c r="F137" s="113">
        <v>3</v>
      </c>
      <c r="G137" s="157">
        <v>3.1</v>
      </c>
      <c r="H137" s="113" t="s">
        <v>2086</v>
      </c>
      <c r="I137" s="157" t="s">
        <v>23</v>
      </c>
      <c r="J137" s="182" t="s">
        <v>17</v>
      </c>
      <c r="K137" s="183">
        <v>18.3</v>
      </c>
      <c r="L137" s="183">
        <v>96.78</v>
      </c>
      <c r="M137" s="183">
        <v>30.48</v>
      </c>
      <c r="N137" s="114">
        <f t="shared" si="52"/>
        <v>145.56</v>
      </c>
      <c r="O137" s="183">
        <v>83.58</v>
      </c>
      <c r="P137" s="183"/>
      <c r="Q137" s="370">
        <f t="shared" si="53"/>
        <v>229.14</v>
      </c>
      <c r="R137" s="183">
        <v>261.58</v>
      </c>
      <c r="S137" s="121">
        <v>12379.8</v>
      </c>
      <c r="T137" s="116" t="str">
        <f>IF(AE137="",INDEX(Коэффициенты!$B$4:$S$59,MATCH('Ведомость расчета мин. платы'!AC137,Коэффициенты!$O$4:$O$59,0),9),"")</f>
        <v/>
      </c>
      <c r="U137" s="31" t="s">
        <v>2114</v>
      </c>
      <c r="V137" s="184"/>
      <c r="W137" s="179" t="str">
        <f>IF(B137="",W136,INDEX('Такс. опис.'!$A$5:$BW$50,MATCH(CONCATENATE($C137,"/",$D137,"/",$E137),'Такс. опис.'!$C$5:$C$50,0),48))</f>
        <v>мл</v>
      </c>
      <c r="X137" s="179" t="str">
        <f>IF(B137="",X136,INDEX('Такс. опис.'!$A$5:$BW$50,MATCH(CONCATENATE($C137,"/",$D137,"/",$E137),'Такс. опис.'!$C$5:$C$50,0),26))</f>
        <v>7ОС3Б+ЛП</v>
      </c>
      <c r="Y137" s="179">
        <f>IF(B137="",Y136,INDEX('Такс. опис.'!$A$5:$BW$50,MATCH(CONCATENATE($C137,"/",$D137,"/",$E137),'Такс. опис.'!$C$5:$C$50,0),49))</f>
        <v>55</v>
      </c>
      <c r="Z137" s="179" t="str">
        <f>IF(C137="",Z136,INDEX('Такс. опис.'!$A$5:$BW$50,MATCH(CONCATENATE($C137,"/",$D137,"/",$E137),'Такс. опис.'!$C$5:$C$50,0),47))</f>
        <v>Осина</v>
      </c>
      <c r="AA137" s="179" t="e">
        <f>IF(D137="","",INDEX('Такс. опис.'!$A$5:$BW$50,MATCH('Ведомость расчета мин. платы'!AC137,'Такс. опис.'!$C$5:$C$50,0),31))</f>
        <v>#N/A</v>
      </c>
      <c r="AB137" s="115"/>
      <c r="AC137" s="47" t="str">
        <f t="shared" si="55"/>
        <v>Тимерликовское/11/8/3</v>
      </c>
      <c r="AD137" s="180">
        <f>INDEX(Периметр!$A$3:$Q$158,MATCH(AC137,Периметр!$A$3:$A$158,0),17)</f>
        <v>0.82</v>
      </c>
      <c r="AE137" s="47" t="str">
        <f t="shared" si="54"/>
        <v>Тимерликовское/11/8/3/Береза</v>
      </c>
      <c r="AF137" s="115"/>
      <c r="AG137" s="176"/>
      <c r="AH137" s="176"/>
      <c r="AI137" s="176"/>
      <c r="AK137" s="186" t="str">
        <f t="shared" si="29"/>
        <v>Тимерликовское/11/8</v>
      </c>
      <c r="AL137" s="181">
        <v>1</v>
      </c>
    </row>
    <row r="138" spans="2:38" ht="15.95" customHeight="1" x14ac:dyDescent="0.2">
      <c r="B138" s="179" t="str">
        <f>IF(E138="","",COUNTA($E$10:E138))</f>
        <v/>
      </c>
      <c r="C138" s="157"/>
      <c r="D138" s="113" t="s">
        <v>166</v>
      </c>
      <c r="E138" s="113"/>
      <c r="F138" s="113" t="s">
        <v>166</v>
      </c>
      <c r="G138" s="157" t="s">
        <v>166</v>
      </c>
      <c r="H138" s="113"/>
      <c r="I138" s="157"/>
      <c r="J138" s="182" t="s">
        <v>18</v>
      </c>
      <c r="K138" s="183">
        <v>123.18</v>
      </c>
      <c r="L138" s="183">
        <v>193.88</v>
      </c>
      <c r="M138" s="183">
        <v>10.8</v>
      </c>
      <c r="N138" s="114">
        <f t="shared" si="52"/>
        <v>327.86</v>
      </c>
      <c r="O138" s="183">
        <v>183.02</v>
      </c>
      <c r="P138" s="183"/>
      <c r="Q138" s="370">
        <f t="shared" si="53"/>
        <v>510.88</v>
      </c>
      <c r="R138" s="183">
        <v>589.91999999999996</v>
      </c>
      <c r="S138" s="121">
        <v>6387.55</v>
      </c>
      <c r="T138" s="116" t="str">
        <f>IF(AE138="",INDEX(Коэффициенты!$B$4:$S$59,MATCH('Ведомость расчета мин. платы'!AC138,Коэффициенты!$O$4:$O$59,0),9),"")</f>
        <v/>
      </c>
      <c r="U138" s="31"/>
      <c r="V138" s="184"/>
      <c r="W138" s="179" t="str">
        <f>IF(B138="",W137,INDEX('Такс. опис.'!$A$5:$BW$50,MATCH(CONCATENATE($C138,"/",$D138,"/",$E138),'Такс. опис.'!$C$5:$C$50,0),48))</f>
        <v>мл</v>
      </c>
      <c r="X138" s="179" t="str">
        <f>IF(B138="",X137,INDEX('Такс. опис.'!$A$5:$BW$50,MATCH(CONCATENATE($C138,"/",$D138,"/",$E138),'Такс. опис.'!$C$5:$C$50,0),26))</f>
        <v>7ОС3Б+ЛП</v>
      </c>
      <c r="Y138" s="179">
        <f>IF(B138="",Y137,INDEX('Такс. опис.'!$A$5:$BW$50,MATCH(CONCATENATE($C138,"/",$D138,"/",$E138),'Такс. опис.'!$C$5:$C$50,0),49))</f>
        <v>55</v>
      </c>
      <c r="Z138" s="179" t="str">
        <f>IF(C138="",Z137,INDEX('Такс. опис.'!$A$5:$BW$50,MATCH(CONCATENATE($C138,"/",$D138,"/",$E138),'Такс. опис.'!$C$5:$C$50,0),47))</f>
        <v>Осина</v>
      </c>
      <c r="AA138" s="179" t="str">
        <f>IF(D138="","",INDEX('Такс. опис.'!$A$5:$BW$50,MATCH('Ведомость расчета мин. платы'!AC138,'Такс. опис.'!$C$5:$C$50,0),31))</f>
        <v/>
      </c>
      <c r="AB138" s="115"/>
      <c r="AC138" s="47" t="str">
        <f t="shared" si="55"/>
        <v>Тимерликовское/11/8/3</v>
      </c>
      <c r="AD138" s="180">
        <f>INDEX(Периметр!$A$3:$Q$158,MATCH(AC138,Периметр!$A$3:$A$158,0),17)</f>
        <v>0.82</v>
      </c>
      <c r="AE138" s="47" t="str">
        <f t="shared" si="54"/>
        <v>Тимерликовское/11/8/3/Осина</v>
      </c>
      <c r="AF138" s="115"/>
      <c r="AG138" s="176"/>
      <c r="AH138" s="176"/>
      <c r="AI138" s="176"/>
      <c r="AK138" s="186" t="str">
        <f t="shared" si="29"/>
        <v>//</v>
      </c>
    </row>
    <row r="139" spans="2:38" ht="15.95" customHeight="1" x14ac:dyDescent="0.2">
      <c r="B139" s="179" t="str">
        <f>IF(E139="","",COUNTA($E$10:E139))</f>
        <v/>
      </c>
      <c r="C139" s="157"/>
      <c r="D139" s="113"/>
      <c r="E139" s="113"/>
      <c r="F139" s="113"/>
      <c r="G139" s="157"/>
      <c r="H139" s="113"/>
      <c r="I139" s="157"/>
      <c r="J139" s="187" t="s">
        <v>15</v>
      </c>
      <c r="K139" s="114">
        <f>SUM(K137:K138)</f>
        <v>141.48000000000002</v>
      </c>
      <c r="L139" s="114">
        <f t="shared" ref="L139:S139" si="58">SUM(L137:L138)</f>
        <v>290.65999999999997</v>
      </c>
      <c r="M139" s="114">
        <f t="shared" si="58"/>
        <v>41.28</v>
      </c>
      <c r="N139" s="114">
        <f t="shared" si="58"/>
        <v>473.42</v>
      </c>
      <c r="O139" s="114">
        <f t="shared" si="58"/>
        <v>266.60000000000002</v>
      </c>
      <c r="P139" s="114"/>
      <c r="Q139" s="370">
        <f t="shared" si="58"/>
        <v>740.02</v>
      </c>
      <c r="R139" s="114">
        <f t="shared" si="58"/>
        <v>851.5</v>
      </c>
      <c r="S139" s="114">
        <f t="shared" si="58"/>
        <v>18767.349999999999</v>
      </c>
      <c r="T139" s="116">
        <f>IF(AE139="",INDEX(Коэффициенты!$B$4:$S$59,MATCH('Ведомость расчета мин. платы'!AC139,Коэффициенты!$O$4:$O$59,0),9),"")</f>
        <v>29464.739500000003</v>
      </c>
      <c r="U139" s="31"/>
      <c r="V139" s="184"/>
      <c r="W139" s="179" t="str">
        <f>IF(B139="",W138,INDEX('Такс. опис.'!$A$5:$BW$50,MATCH(CONCATENATE($C139,"/",$D139,"/",$E139),'Такс. опис.'!$C$5:$C$50,0),48))</f>
        <v>мл</v>
      </c>
      <c r="X139" s="179" t="str">
        <f>IF(B139="",X138,INDEX('Такс. опис.'!$A$5:$BW$50,MATCH(CONCATENATE($C139,"/",$D139,"/",$E139),'Такс. опис.'!$C$5:$C$50,0),26))</f>
        <v>7ОС3Б+ЛП</v>
      </c>
      <c r="Y139" s="179">
        <f>IF(B139="",Y138,INDEX('Такс. опис.'!$A$5:$BW$50,MATCH(CONCATENATE($C139,"/",$D139,"/",$E139),'Такс. опис.'!$C$5:$C$50,0),49))</f>
        <v>55</v>
      </c>
      <c r="Z139" s="179" t="str">
        <f>IF(C139="",Z138,INDEX('Такс. опис.'!$A$5:$BW$50,MATCH(CONCATENATE($C139,"/",$D139,"/",$E139),'Такс. опис.'!$C$5:$C$50,0),47))</f>
        <v>Осина</v>
      </c>
      <c r="AA139" s="179" t="str">
        <f>IF(D139="","",INDEX('Такс. опис.'!$A$5:$BW$50,MATCH('Ведомость расчета мин. платы'!AC139,'Такс. опис.'!$C$5:$C$50,0),31))</f>
        <v/>
      </c>
      <c r="AB139" s="115"/>
      <c r="AC139" s="47" t="str">
        <f t="shared" si="55"/>
        <v>Тимерликовское/11/8/3</v>
      </c>
      <c r="AD139" s="180">
        <f>INDEX(Периметр!$A$3:$Q$158,MATCH(AC139,Периметр!$A$3:$A$158,0),17)</f>
        <v>0.82</v>
      </c>
      <c r="AE139" s="47" t="str">
        <f t="shared" si="54"/>
        <v/>
      </c>
      <c r="AF139" s="115"/>
      <c r="AG139" s="176"/>
      <c r="AH139" s="176"/>
      <c r="AI139" s="176"/>
      <c r="AK139" s="186" t="str">
        <f t="shared" ref="AK139:AK202" si="59">CONCATENATE($C139,"/",$D139,"/",$E139)</f>
        <v>//</v>
      </c>
    </row>
    <row r="140" spans="2:38" ht="15.95" customHeight="1" x14ac:dyDescent="0.2">
      <c r="B140" s="179">
        <f>IF(E140="","",COUNTA($E$10:E140))</f>
        <v>34</v>
      </c>
      <c r="C140" s="157" t="s">
        <v>22</v>
      </c>
      <c r="D140" s="113">
        <v>11</v>
      </c>
      <c r="E140" s="113">
        <v>17</v>
      </c>
      <c r="F140" s="113">
        <v>4</v>
      </c>
      <c r="G140" s="157">
        <v>4.8</v>
      </c>
      <c r="H140" s="113" t="s">
        <v>2086</v>
      </c>
      <c r="I140" s="157" t="s">
        <v>23</v>
      </c>
      <c r="J140" s="182" t="s">
        <v>17</v>
      </c>
      <c r="K140" s="183">
        <v>6.3</v>
      </c>
      <c r="L140" s="183">
        <v>43.23</v>
      </c>
      <c r="M140" s="183">
        <v>14.49</v>
      </c>
      <c r="N140" s="114">
        <f t="shared" si="52"/>
        <v>64.02</v>
      </c>
      <c r="O140" s="183">
        <v>42.27</v>
      </c>
      <c r="P140" s="183"/>
      <c r="Q140" s="370">
        <f t="shared" si="53"/>
        <v>106.28999999999999</v>
      </c>
      <c r="R140" s="183">
        <v>121.11</v>
      </c>
      <c r="S140" s="121">
        <v>5376.44</v>
      </c>
      <c r="T140" s="116" t="str">
        <f>IF(AE140="",INDEX(Коэффициенты!$B$4:$S$59,MATCH('Ведомость расчета мин. платы'!AC140,Коэффициенты!$O$4:$O$59,0),9),"")</f>
        <v/>
      </c>
      <c r="U140" s="31" t="s">
        <v>2114</v>
      </c>
      <c r="V140" s="184"/>
      <c r="W140" s="179" t="str">
        <f>IF(B140="",W139,INDEX('Такс. опис.'!$A$5:$BW$50,MATCH(CONCATENATE($C140,"/",$D140,"/",$E140),'Такс. опис.'!$C$5:$C$50,0),48))</f>
        <v>мл</v>
      </c>
      <c r="X140" s="179" t="str">
        <f>IF(B140="",X139,INDEX('Такс. опис.'!$A$5:$BW$50,MATCH(CONCATENATE($C140,"/",$D140,"/",$E140),'Такс. опис.'!$C$5:$C$50,0),26))</f>
        <v>8ОС1ЛП1Б+КЛ</v>
      </c>
      <c r="Y140" s="179">
        <f>IF(B140="",Y139,INDEX('Такс. опис.'!$A$5:$BW$50,MATCH(CONCATENATE($C140,"/",$D140,"/",$E140),'Такс. опис.'!$C$5:$C$50,0),49))</f>
        <v>50</v>
      </c>
      <c r="Z140" s="179" t="str">
        <f>IF(C140="",Z139,INDEX('Такс. опис.'!$A$5:$BW$50,MATCH(CONCATENATE($C140,"/",$D140,"/",$E140),'Такс. опис.'!$C$5:$C$50,0),47))</f>
        <v>Осина</v>
      </c>
      <c r="AA140" s="179" t="e">
        <f>IF(D140="","",INDEX('Такс. опис.'!$A$5:$BW$50,MATCH('Ведомость расчета мин. платы'!AC140,'Такс. опис.'!$C$5:$C$50,0),31))</f>
        <v>#N/A</v>
      </c>
      <c r="AB140" s="115"/>
      <c r="AC140" s="47" t="str">
        <f t="shared" si="55"/>
        <v>Тимерликовское/11/17/4</v>
      </c>
      <c r="AD140" s="180">
        <f>INDEX(Периметр!$A$3:$Q$158,MATCH(AC140,Периметр!$A$3:$A$158,0),17)</f>
        <v>1.1599999999999999</v>
      </c>
      <c r="AE140" s="47" t="str">
        <f t="shared" si="54"/>
        <v>Тимерликовское/11/17/4/Береза</v>
      </c>
      <c r="AF140" s="115"/>
      <c r="AG140" s="176"/>
      <c r="AH140" s="176"/>
      <c r="AI140" s="176"/>
      <c r="AK140" s="186" t="str">
        <f t="shared" si="59"/>
        <v>Тимерликовское/11/17</v>
      </c>
      <c r="AL140" s="181">
        <v>1</v>
      </c>
    </row>
    <row r="141" spans="2:38" ht="15.95" customHeight="1" x14ac:dyDescent="0.2">
      <c r="B141" s="179" t="str">
        <f>IF(E141="","",COUNTA($E$10:E141))</f>
        <v/>
      </c>
      <c r="C141" s="157"/>
      <c r="D141" s="113" t="s">
        <v>166</v>
      </c>
      <c r="E141" s="113"/>
      <c r="F141" s="113" t="s">
        <v>166</v>
      </c>
      <c r="G141" s="157" t="s">
        <v>166</v>
      </c>
      <c r="H141" s="113"/>
      <c r="I141" s="157"/>
      <c r="J141" s="182" t="s">
        <v>19</v>
      </c>
      <c r="K141" s="183">
        <v>0.38</v>
      </c>
      <c r="L141" s="183">
        <v>33.770000000000003</v>
      </c>
      <c r="M141" s="183">
        <v>9.89</v>
      </c>
      <c r="N141" s="114">
        <f t="shared" si="52"/>
        <v>44.040000000000006</v>
      </c>
      <c r="O141" s="183">
        <v>32.450000000000003</v>
      </c>
      <c r="P141" s="183"/>
      <c r="Q141" s="370">
        <f t="shared" si="53"/>
        <v>76.490000000000009</v>
      </c>
      <c r="R141" s="183">
        <v>86.07</v>
      </c>
      <c r="S141" s="121">
        <v>2090</v>
      </c>
      <c r="T141" s="116" t="str">
        <f>IF(AE141="",INDEX(Коэффициенты!$B$4:$S$59,MATCH('Ведомость расчета мин. платы'!AC141,Коэффициенты!$O$4:$O$59,0),9),"")</f>
        <v/>
      </c>
      <c r="U141" s="31"/>
      <c r="V141" s="184"/>
      <c r="W141" s="179" t="str">
        <f>IF(B141="",W140,INDEX('Такс. опис.'!$A$5:$BW$50,MATCH(CONCATENATE($C141,"/",$D141,"/",$E141),'Такс. опис.'!$C$5:$C$50,0),48))</f>
        <v>мл</v>
      </c>
      <c r="X141" s="179" t="str">
        <f>IF(B141="",X140,INDEX('Такс. опис.'!$A$5:$BW$50,MATCH(CONCATENATE($C141,"/",$D141,"/",$E141),'Такс. опис.'!$C$5:$C$50,0),26))</f>
        <v>8ОС1ЛП1Б+КЛ</v>
      </c>
      <c r="Y141" s="179">
        <f>IF(B141="",Y140,INDEX('Такс. опис.'!$A$5:$BW$50,MATCH(CONCATENATE($C141,"/",$D141,"/",$E141),'Такс. опис.'!$C$5:$C$50,0),49))</f>
        <v>50</v>
      </c>
      <c r="Z141" s="179" t="str">
        <f>IF(C141="",Z140,INDEX('Такс. опис.'!$A$5:$BW$50,MATCH(CONCATENATE($C141,"/",$D141,"/",$E141),'Такс. опис.'!$C$5:$C$50,0),47))</f>
        <v>Осина</v>
      </c>
      <c r="AA141" s="179" t="str">
        <f>IF(D141="","",INDEX('Такс. опис.'!$A$5:$BW$50,MATCH('Ведомость расчета мин. платы'!AC141,'Такс. опис.'!$C$5:$C$50,0),31))</f>
        <v/>
      </c>
      <c r="AB141" s="115"/>
      <c r="AC141" s="47" t="str">
        <f t="shared" si="55"/>
        <v>Тимерликовское/11/17/4</v>
      </c>
      <c r="AD141" s="180">
        <f>INDEX(Периметр!$A$3:$Q$158,MATCH(AC141,Периметр!$A$3:$A$158,0),17)</f>
        <v>1.1599999999999999</v>
      </c>
      <c r="AE141" s="47" t="str">
        <f t="shared" si="54"/>
        <v>Тимерликовское/11/17/4/Липа</v>
      </c>
      <c r="AF141" s="115"/>
      <c r="AG141" s="176"/>
      <c r="AH141" s="176"/>
      <c r="AI141" s="176"/>
      <c r="AK141" s="186" t="str">
        <f t="shared" si="59"/>
        <v>//</v>
      </c>
    </row>
    <row r="142" spans="2:38" ht="15.95" customHeight="1" x14ac:dyDescent="0.2">
      <c r="B142" s="179" t="str">
        <f>IF(E142="","",COUNTA($E$10:E142))</f>
        <v/>
      </c>
      <c r="C142" s="157"/>
      <c r="D142" s="113" t="s">
        <v>166</v>
      </c>
      <c r="E142" s="113"/>
      <c r="F142" s="113" t="s">
        <v>166</v>
      </c>
      <c r="G142" s="157" t="s">
        <v>166</v>
      </c>
      <c r="H142" s="113"/>
      <c r="I142" s="157"/>
      <c r="J142" s="182" t="s">
        <v>18</v>
      </c>
      <c r="K142" s="183">
        <v>189.66</v>
      </c>
      <c r="L142" s="183">
        <v>302.88</v>
      </c>
      <c r="M142" s="183">
        <v>18.36</v>
      </c>
      <c r="N142" s="114">
        <f t="shared" si="52"/>
        <v>510.9</v>
      </c>
      <c r="O142" s="183">
        <v>274.77</v>
      </c>
      <c r="P142" s="183"/>
      <c r="Q142" s="370">
        <f t="shared" si="53"/>
        <v>785.67</v>
      </c>
      <c r="R142" s="183">
        <v>905.49</v>
      </c>
      <c r="S142" s="121">
        <v>9922.19</v>
      </c>
      <c r="T142" s="116" t="str">
        <f>IF(AE142="",INDEX(Коэффициенты!$B$4:$S$59,MATCH('Ведомость расчета мин. платы'!AC142,Коэффициенты!$O$4:$O$59,0),9),"")</f>
        <v/>
      </c>
      <c r="U142" s="31"/>
      <c r="V142" s="184"/>
      <c r="W142" s="179" t="str">
        <f>IF(B142="",W141,INDEX('Такс. опис.'!$A$5:$BW$50,MATCH(CONCATENATE($C142,"/",$D142,"/",$E142),'Такс. опис.'!$C$5:$C$50,0),48))</f>
        <v>мл</v>
      </c>
      <c r="X142" s="179" t="str">
        <f>IF(B142="",X141,INDEX('Такс. опис.'!$A$5:$BW$50,MATCH(CONCATENATE($C142,"/",$D142,"/",$E142),'Такс. опис.'!$C$5:$C$50,0),26))</f>
        <v>8ОС1ЛП1Б+КЛ</v>
      </c>
      <c r="Y142" s="179">
        <f>IF(B142="",Y141,INDEX('Такс. опис.'!$A$5:$BW$50,MATCH(CONCATENATE($C142,"/",$D142,"/",$E142),'Такс. опис.'!$C$5:$C$50,0),49))</f>
        <v>50</v>
      </c>
      <c r="Z142" s="179" t="str">
        <f>IF(C142="",Z141,INDEX('Такс. опис.'!$A$5:$BW$50,MATCH(CONCATENATE($C142,"/",$D142,"/",$E142),'Такс. опис.'!$C$5:$C$50,0),47))</f>
        <v>Осина</v>
      </c>
      <c r="AA142" s="179" t="str">
        <f>IF(D142="","",INDEX('Такс. опис.'!$A$5:$BW$50,MATCH('Ведомость расчета мин. платы'!AC142,'Такс. опис.'!$C$5:$C$50,0),31))</f>
        <v/>
      </c>
      <c r="AB142" s="115"/>
      <c r="AC142" s="47" t="str">
        <f t="shared" si="55"/>
        <v>Тимерликовское/11/17/4</v>
      </c>
      <c r="AD142" s="180">
        <f>INDEX(Периметр!$A$3:$Q$158,MATCH(AC142,Периметр!$A$3:$A$158,0),17)</f>
        <v>1.1599999999999999</v>
      </c>
      <c r="AE142" s="47" t="str">
        <f t="shared" si="54"/>
        <v>Тимерликовское/11/17/4/Осина</v>
      </c>
      <c r="AF142" s="115"/>
      <c r="AG142" s="176"/>
      <c r="AH142" s="176"/>
      <c r="AI142" s="176"/>
      <c r="AK142" s="186" t="str">
        <f t="shared" si="59"/>
        <v>//</v>
      </c>
    </row>
    <row r="143" spans="2:38" ht="15.95" customHeight="1" x14ac:dyDescent="0.2">
      <c r="B143" s="179" t="str">
        <f>IF(E143="","",COUNTA($E$10:E143))</f>
        <v/>
      </c>
      <c r="C143" s="157"/>
      <c r="D143" s="113"/>
      <c r="E143" s="113"/>
      <c r="F143" s="113"/>
      <c r="G143" s="157"/>
      <c r="H143" s="113"/>
      <c r="I143" s="157"/>
      <c r="J143" s="187" t="s">
        <v>15</v>
      </c>
      <c r="K143" s="114">
        <f>SUM(K140:K142)</f>
        <v>196.34</v>
      </c>
      <c r="L143" s="114">
        <f t="shared" ref="L143:S143" si="60">SUM(L140:L142)</f>
        <v>379.88</v>
      </c>
      <c r="M143" s="114">
        <f t="shared" si="60"/>
        <v>42.74</v>
      </c>
      <c r="N143" s="114">
        <f t="shared" si="60"/>
        <v>618.96</v>
      </c>
      <c r="O143" s="114">
        <f t="shared" si="60"/>
        <v>349.49</v>
      </c>
      <c r="P143" s="114"/>
      <c r="Q143" s="370">
        <f t="shared" si="60"/>
        <v>968.44999999999993</v>
      </c>
      <c r="R143" s="114">
        <f t="shared" si="60"/>
        <v>1112.67</v>
      </c>
      <c r="S143" s="114">
        <f t="shared" si="60"/>
        <v>17388.63</v>
      </c>
      <c r="T143" s="116">
        <f>IF(AE143="",INDEX(Коэффициенты!$B$4:$S$59,MATCH('Ведомость расчета мин. платы'!AC143,Коэффициенты!$O$4:$O$59,0),9),"")</f>
        <v>33907.828500000003</v>
      </c>
      <c r="U143" s="31"/>
      <c r="V143" s="184"/>
      <c r="W143" s="179" t="str">
        <f>IF(B143="",W142,INDEX('Такс. опис.'!$A$5:$BW$50,MATCH(CONCATENATE($C143,"/",$D143,"/",$E143),'Такс. опис.'!$C$5:$C$50,0),48))</f>
        <v>мл</v>
      </c>
      <c r="X143" s="179" t="str">
        <f>IF(B143="",X142,INDEX('Такс. опис.'!$A$5:$BW$50,MATCH(CONCATENATE($C143,"/",$D143,"/",$E143),'Такс. опис.'!$C$5:$C$50,0),26))</f>
        <v>8ОС1ЛП1Б+КЛ</v>
      </c>
      <c r="Y143" s="179">
        <f>IF(B143="",Y142,INDEX('Такс. опис.'!$A$5:$BW$50,MATCH(CONCATENATE($C143,"/",$D143,"/",$E143),'Такс. опис.'!$C$5:$C$50,0),49))</f>
        <v>50</v>
      </c>
      <c r="Z143" s="179" t="str">
        <f>IF(C143="",Z142,INDEX('Такс. опис.'!$A$5:$BW$50,MATCH(CONCATENATE($C143,"/",$D143,"/",$E143),'Такс. опис.'!$C$5:$C$50,0),47))</f>
        <v>Осина</v>
      </c>
      <c r="AA143" s="179" t="str">
        <f>IF(D143="","",INDEX('Такс. опис.'!$A$5:$BW$50,MATCH('Ведомость расчета мин. платы'!AC143,'Такс. опис.'!$C$5:$C$50,0),31))</f>
        <v/>
      </c>
      <c r="AB143" s="115"/>
      <c r="AC143" s="47" t="str">
        <f t="shared" si="55"/>
        <v>Тимерликовское/11/17/4</v>
      </c>
      <c r="AD143" s="180">
        <f>INDEX(Периметр!$A$3:$Q$158,MATCH(AC143,Периметр!$A$3:$A$158,0),17)</f>
        <v>1.1599999999999999</v>
      </c>
      <c r="AE143" s="47" t="str">
        <f t="shared" si="54"/>
        <v/>
      </c>
      <c r="AF143" s="115"/>
      <c r="AG143" s="176"/>
      <c r="AH143" s="176"/>
      <c r="AI143" s="176"/>
      <c r="AK143" s="186" t="str">
        <f t="shared" si="59"/>
        <v>//</v>
      </c>
    </row>
    <row r="144" spans="2:38" ht="15.95" customHeight="1" x14ac:dyDescent="0.2">
      <c r="B144" s="179">
        <f>IF(E144="","",COUNTA($E$10:E144))</f>
        <v>35</v>
      </c>
      <c r="C144" s="157" t="s">
        <v>22</v>
      </c>
      <c r="D144" s="113">
        <v>11</v>
      </c>
      <c r="E144" s="113">
        <v>27</v>
      </c>
      <c r="F144" s="113">
        <v>5</v>
      </c>
      <c r="G144" s="157">
        <v>4.9000000000000004</v>
      </c>
      <c r="H144" s="113" t="s">
        <v>2086</v>
      </c>
      <c r="I144" s="157" t="s">
        <v>23</v>
      </c>
      <c r="J144" s="182" t="s">
        <v>17</v>
      </c>
      <c r="K144" s="183">
        <v>22.47</v>
      </c>
      <c r="L144" s="183">
        <v>120.81</v>
      </c>
      <c r="M144" s="183">
        <v>37.69</v>
      </c>
      <c r="N144" s="114">
        <f t="shared" si="52"/>
        <v>180.97</v>
      </c>
      <c r="O144" s="183">
        <v>99.62</v>
      </c>
      <c r="P144" s="183"/>
      <c r="Q144" s="370">
        <f t="shared" si="53"/>
        <v>280.59000000000003</v>
      </c>
      <c r="R144" s="183">
        <v>320.56</v>
      </c>
      <c r="S144" s="121">
        <v>15360.91</v>
      </c>
      <c r="T144" s="116" t="str">
        <f>IF(AE144="",INDEX(Коэффициенты!$B$4:$S$59,MATCH('Ведомость расчета мин. платы'!AC144,Коэффициенты!$O$4:$O$59,0),9),"")</f>
        <v/>
      </c>
      <c r="U144" s="31" t="s">
        <v>2114</v>
      </c>
      <c r="V144" s="184"/>
      <c r="W144" s="179" t="str">
        <f>IF(B144="",W143,INDEX('Такс. опис.'!$A$5:$BW$50,MATCH(CONCATENATE($C144,"/",$D144,"/",$E144),'Такс. опис.'!$C$5:$C$50,0),48))</f>
        <v>мл</v>
      </c>
      <c r="X144" s="179" t="str">
        <f>IF(B144="",X143,INDEX('Такс. опис.'!$A$5:$BW$50,MATCH(CONCATENATE($C144,"/",$D144,"/",$E144),'Такс. опис.'!$C$5:$C$50,0),26))</f>
        <v>8ОС2Б+ЛП</v>
      </c>
      <c r="Y144" s="179">
        <f>IF(B144="",Y143,INDEX('Такс. опис.'!$A$5:$BW$50,MATCH(CONCATENATE($C144,"/",$D144,"/",$E144),'Такс. опис.'!$C$5:$C$50,0),49))</f>
        <v>55</v>
      </c>
      <c r="Z144" s="179" t="str">
        <f>IF(C144="",Z143,INDEX('Такс. опис.'!$A$5:$BW$50,MATCH(CONCATENATE($C144,"/",$D144,"/",$E144),'Такс. опис.'!$C$5:$C$50,0),47))</f>
        <v>Осина</v>
      </c>
      <c r="AA144" s="179" t="e">
        <f>IF(D144="","",INDEX('Такс. опис.'!$A$5:$BW$50,MATCH('Ведомость расчета мин. платы'!AC144,'Такс. опис.'!$C$5:$C$50,0),31))</f>
        <v>#N/A</v>
      </c>
      <c r="AB144" s="115"/>
      <c r="AC144" s="47" t="str">
        <f t="shared" si="55"/>
        <v>Тимерликовское/11/27/5</v>
      </c>
      <c r="AD144" s="180">
        <f>INDEX(Периметр!$A$3:$Q$158,MATCH(AC144,Периметр!$A$3:$A$158,0),17)</f>
        <v>1.24</v>
      </c>
      <c r="AE144" s="47" t="str">
        <f t="shared" si="54"/>
        <v>Тимерликовское/11/27/5/Береза</v>
      </c>
      <c r="AF144" s="115"/>
      <c r="AG144" s="176"/>
      <c r="AH144" s="176"/>
      <c r="AI144" s="176"/>
      <c r="AK144" s="186" t="str">
        <f t="shared" si="59"/>
        <v>Тимерликовское/11/27</v>
      </c>
      <c r="AL144" s="181">
        <v>1</v>
      </c>
    </row>
    <row r="145" spans="2:38" ht="15.95" customHeight="1" x14ac:dyDescent="0.2">
      <c r="B145" s="179" t="str">
        <f>IF(E145="","",COUNTA($E$10:E145))</f>
        <v/>
      </c>
      <c r="C145" s="157"/>
      <c r="D145" s="113" t="s">
        <v>166</v>
      </c>
      <c r="E145" s="113"/>
      <c r="F145" s="113" t="s">
        <v>166</v>
      </c>
      <c r="G145" s="157" t="s">
        <v>166</v>
      </c>
      <c r="H145" s="113"/>
      <c r="I145" s="157"/>
      <c r="J145" s="182" t="s">
        <v>18</v>
      </c>
      <c r="K145" s="183">
        <v>250.38</v>
      </c>
      <c r="L145" s="183">
        <v>406.22</v>
      </c>
      <c r="M145" s="183">
        <v>27.41</v>
      </c>
      <c r="N145" s="114">
        <f t="shared" si="52"/>
        <v>684.01</v>
      </c>
      <c r="O145" s="183">
        <v>367.98</v>
      </c>
      <c r="P145" s="183"/>
      <c r="Q145" s="370">
        <f t="shared" si="53"/>
        <v>1051.99</v>
      </c>
      <c r="R145" s="183">
        <v>1212.6199999999999</v>
      </c>
      <c r="S145" s="121">
        <v>13240.8</v>
      </c>
      <c r="T145" s="116" t="str">
        <f>IF(AE145="",INDEX(Коэффициенты!$B$4:$S$59,MATCH('Ведомость расчета мин. платы'!AC145,Коэффициенты!$O$4:$O$59,0),9),"")</f>
        <v/>
      </c>
      <c r="U145" s="31"/>
      <c r="V145" s="184"/>
      <c r="W145" s="179" t="str">
        <f>IF(B145="",W144,INDEX('Такс. опис.'!$A$5:$BW$50,MATCH(CONCATENATE($C145,"/",$D145,"/",$E145),'Такс. опис.'!$C$5:$C$50,0),48))</f>
        <v>мл</v>
      </c>
      <c r="X145" s="179" t="str">
        <f>IF(B145="",X144,INDEX('Такс. опис.'!$A$5:$BW$50,MATCH(CONCATENATE($C145,"/",$D145,"/",$E145),'Такс. опис.'!$C$5:$C$50,0),26))</f>
        <v>8ОС2Б+ЛП</v>
      </c>
      <c r="Y145" s="179">
        <f>IF(B145="",Y144,INDEX('Такс. опис.'!$A$5:$BW$50,MATCH(CONCATENATE($C145,"/",$D145,"/",$E145),'Такс. опис.'!$C$5:$C$50,0),49))</f>
        <v>55</v>
      </c>
      <c r="Z145" s="179" t="str">
        <f>IF(C145="",Z144,INDEX('Такс. опис.'!$A$5:$BW$50,MATCH(CONCATENATE($C145,"/",$D145,"/",$E145),'Такс. опис.'!$C$5:$C$50,0),47))</f>
        <v>Осина</v>
      </c>
      <c r="AA145" s="179" t="str">
        <f>IF(D145="","",INDEX('Такс. опис.'!$A$5:$BW$50,MATCH('Ведомость расчета мин. платы'!AC145,'Такс. опис.'!$C$5:$C$50,0),31))</f>
        <v/>
      </c>
      <c r="AB145" s="115"/>
      <c r="AC145" s="47" t="str">
        <f t="shared" si="55"/>
        <v>Тимерликовское/11/27/5</v>
      </c>
      <c r="AD145" s="180">
        <f>INDEX(Периметр!$A$3:$Q$158,MATCH(AC145,Периметр!$A$3:$A$158,0),17)</f>
        <v>1.24</v>
      </c>
      <c r="AE145" s="47" t="str">
        <f t="shared" si="54"/>
        <v>Тимерликовское/11/27/5/Осина</v>
      </c>
      <c r="AF145" s="115"/>
      <c r="AG145" s="176"/>
      <c r="AH145" s="176"/>
      <c r="AI145" s="176"/>
      <c r="AK145" s="186" t="str">
        <f t="shared" si="59"/>
        <v>//</v>
      </c>
    </row>
    <row r="146" spans="2:38" ht="15.95" customHeight="1" x14ac:dyDescent="0.2">
      <c r="B146" s="179" t="str">
        <f>IF(E146="","",COUNTA($E$10:E146))</f>
        <v/>
      </c>
      <c r="C146" s="157"/>
      <c r="D146" s="113"/>
      <c r="E146" s="113"/>
      <c r="F146" s="113"/>
      <c r="G146" s="157"/>
      <c r="H146" s="113"/>
      <c r="I146" s="157"/>
      <c r="J146" s="187" t="s">
        <v>15</v>
      </c>
      <c r="K146" s="114">
        <f>SUM(K144:K145)</f>
        <v>272.85000000000002</v>
      </c>
      <c r="L146" s="114">
        <f t="shared" ref="L146:S146" si="61">SUM(L144:L145)</f>
        <v>527.03</v>
      </c>
      <c r="M146" s="114">
        <f t="shared" si="61"/>
        <v>65.099999999999994</v>
      </c>
      <c r="N146" s="114">
        <f t="shared" si="61"/>
        <v>864.98</v>
      </c>
      <c r="O146" s="114">
        <f t="shared" si="61"/>
        <v>467.6</v>
      </c>
      <c r="P146" s="114"/>
      <c r="Q146" s="370">
        <f t="shared" si="61"/>
        <v>1332.58</v>
      </c>
      <c r="R146" s="114">
        <f t="shared" si="61"/>
        <v>1533.1799999999998</v>
      </c>
      <c r="S146" s="114">
        <f t="shared" si="61"/>
        <v>28601.71</v>
      </c>
      <c r="T146" s="116">
        <f>IF(AE146="",INDEX(Коэффициенты!$B$4:$S$59,MATCH('Ведомость расчета мин. платы'!AC146,Коэффициенты!$O$4:$O$59,0),9),"")</f>
        <v>45476.718899999993</v>
      </c>
      <c r="U146" s="31"/>
      <c r="V146" s="184"/>
      <c r="W146" s="179" t="str">
        <f>IF(B146="",W145,INDEX('Такс. опис.'!$A$5:$BW$50,MATCH(CONCATENATE($C146,"/",$D146,"/",$E146),'Такс. опис.'!$C$5:$C$50,0),48))</f>
        <v>мл</v>
      </c>
      <c r="X146" s="179" t="str">
        <f>IF(B146="",X145,INDEX('Такс. опис.'!$A$5:$BW$50,MATCH(CONCATENATE($C146,"/",$D146,"/",$E146),'Такс. опис.'!$C$5:$C$50,0),26))</f>
        <v>8ОС2Б+ЛП</v>
      </c>
      <c r="Y146" s="179">
        <f>IF(B146="",Y145,INDEX('Такс. опис.'!$A$5:$BW$50,MATCH(CONCATENATE($C146,"/",$D146,"/",$E146),'Такс. опис.'!$C$5:$C$50,0),49))</f>
        <v>55</v>
      </c>
      <c r="Z146" s="179" t="str">
        <f>IF(C146="",Z145,INDEX('Такс. опис.'!$A$5:$BW$50,MATCH(CONCATENATE($C146,"/",$D146,"/",$E146),'Такс. опис.'!$C$5:$C$50,0),47))</f>
        <v>Осина</v>
      </c>
      <c r="AA146" s="179" t="str">
        <f>IF(D146="","",INDEX('Такс. опис.'!$A$5:$BW$50,MATCH('Ведомость расчета мин. платы'!AC146,'Такс. опис.'!$C$5:$C$50,0),31))</f>
        <v/>
      </c>
      <c r="AB146" s="115"/>
      <c r="AC146" s="47" t="str">
        <f t="shared" si="55"/>
        <v>Тимерликовское/11/27/5</v>
      </c>
      <c r="AD146" s="180">
        <f>INDEX(Периметр!$A$3:$Q$158,MATCH(AC146,Периметр!$A$3:$A$158,0),17)</f>
        <v>1.24</v>
      </c>
      <c r="AE146" s="47" t="str">
        <f t="shared" si="54"/>
        <v/>
      </c>
      <c r="AF146" s="115"/>
      <c r="AG146" s="176"/>
      <c r="AH146" s="176"/>
      <c r="AI146" s="176"/>
      <c r="AK146" s="186" t="str">
        <f t="shared" si="59"/>
        <v>//</v>
      </c>
    </row>
    <row r="147" spans="2:38" ht="15.95" customHeight="1" x14ac:dyDescent="0.2">
      <c r="B147" s="179">
        <f>IF(E147="","",COUNTA($E$10:E147))</f>
        <v>36</v>
      </c>
      <c r="C147" s="157" t="s">
        <v>22</v>
      </c>
      <c r="D147" s="113">
        <v>16</v>
      </c>
      <c r="E147" s="113">
        <v>6</v>
      </c>
      <c r="F147" s="113">
        <v>1</v>
      </c>
      <c r="G147" s="157">
        <v>3.2</v>
      </c>
      <c r="H147" s="113" t="s">
        <v>2086</v>
      </c>
      <c r="I147" s="157" t="s">
        <v>23</v>
      </c>
      <c r="J147" s="182" t="s">
        <v>17</v>
      </c>
      <c r="K147" s="183">
        <v>14.4</v>
      </c>
      <c r="L147" s="183">
        <v>61.66</v>
      </c>
      <c r="M147" s="183">
        <v>14.1</v>
      </c>
      <c r="N147" s="114">
        <f t="shared" si="52"/>
        <v>90.16</v>
      </c>
      <c r="O147" s="183">
        <v>55.16</v>
      </c>
      <c r="P147" s="183"/>
      <c r="Q147" s="370">
        <f t="shared" si="53"/>
        <v>145.32</v>
      </c>
      <c r="R147" s="183">
        <v>165.72</v>
      </c>
      <c r="S147" s="121">
        <v>7999</v>
      </c>
      <c r="T147" s="116" t="str">
        <f>IF(AE147="",INDEX(Коэффициенты!$B$4:$S$59,MATCH('Ведомость расчета мин. платы'!AC147,Коэффициенты!$O$4:$O$59,0),9),"")</f>
        <v/>
      </c>
      <c r="U147" s="31" t="s">
        <v>2114</v>
      </c>
      <c r="V147" s="184"/>
      <c r="W147" s="179" t="str">
        <f>IF(B147="",#REF!,INDEX('Такс. опис.'!$A$5:$BW$50,MATCH(CONCATENATE($C147,"/",$D147,"/",$E147),'Такс. опис.'!$C$5:$C$50,0),48))</f>
        <v>мл</v>
      </c>
      <c r="X147" s="179" t="str">
        <f>IF(B147="",#REF!,INDEX('Такс. опис.'!$A$5:$BW$50,MATCH(CONCATENATE($C147,"/",$D147,"/",$E147),'Такс. опис.'!$C$5:$C$50,0),26))</f>
        <v>8ОС2Б+ЛП</v>
      </c>
      <c r="Y147" s="179">
        <f>IF(B147="",#REF!,INDEX('Такс. опис.'!$A$5:$BW$50,MATCH(CONCATENATE($C147,"/",$D147,"/",$E147),'Такс. опис.'!$C$5:$C$50,0),49))</f>
        <v>60</v>
      </c>
      <c r="Z147" s="179" t="str">
        <f>IF(C147="",#REF!,INDEX('Такс. опис.'!$A$5:$BW$50,MATCH(CONCATENATE($C147,"/",$D147,"/",$E147),'Такс. опис.'!$C$5:$C$50,0),47))</f>
        <v>Осина</v>
      </c>
      <c r="AA147" s="179" t="e">
        <f>IF(D147="","",INDEX('Такс. опис.'!$A$5:$BW$50,MATCH('Ведомость расчета мин. платы'!AC147,'Такс. опис.'!$C$5:$C$50,0),31))</f>
        <v>#N/A</v>
      </c>
      <c r="AB147" s="115"/>
      <c r="AC147" s="47" t="str">
        <f>IF(B147="",#REF!,CONCATENATE($C147,"/",$D147,"/",$E147,"/",F147))</f>
        <v>Тимерликовское/16/6/1</v>
      </c>
      <c r="AD147" s="180">
        <f>INDEX(Периметр!$A$3:$Q$158,MATCH(AC147,Периметр!$A$3:$A$158,0),17)</f>
        <v>0.84</v>
      </c>
      <c r="AE147" s="47" t="str">
        <f t="shared" si="54"/>
        <v>Тимерликовское/16/6/1/Береза</v>
      </c>
      <c r="AF147" s="115"/>
      <c r="AG147" s="176"/>
      <c r="AH147" s="176"/>
      <c r="AI147" s="176"/>
      <c r="AK147" s="186" t="str">
        <f t="shared" si="59"/>
        <v>Тимерликовское/16/6</v>
      </c>
      <c r="AL147" s="181">
        <v>1</v>
      </c>
    </row>
    <row r="148" spans="2:38" ht="15.95" customHeight="1" x14ac:dyDescent="0.2">
      <c r="B148" s="179" t="str">
        <f>IF(E148="","",COUNTA($E$10:E148))</f>
        <v/>
      </c>
      <c r="C148" s="157"/>
      <c r="D148" s="113" t="s">
        <v>166</v>
      </c>
      <c r="E148" s="113"/>
      <c r="F148" s="113" t="s">
        <v>166</v>
      </c>
      <c r="G148" s="157" t="s">
        <v>166</v>
      </c>
      <c r="H148" s="113"/>
      <c r="I148" s="157"/>
      <c r="J148" s="182" t="s">
        <v>18</v>
      </c>
      <c r="K148" s="183">
        <v>176.44</v>
      </c>
      <c r="L148" s="183">
        <v>185.18</v>
      </c>
      <c r="M148" s="183">
        <v>11.16</v>
      </c>
      <c r="N148" s="114">
        <f t="shared" si="52"/>
        <v>372.78000000000003</v>
      </c>
      <c r="O148" s="183">
        <v>193.44</v>
      </c>
      <c r="P148" s="183"/>
      <c r="Q148" s="370">
        <f t="shared" si="53"/>
        <v>566.22</v>
      </c>
      <c r="R148" s="183">
        <v>651.88</v>
      </c>
      <c r="S148" s="121">
        <v>7461.15</v>
      </c>
      <c r="T148" s="116" t="str">
        <f>IF(AE148="",INDEX(Коэффициенты!$B$4:$S$59,MATCH('Ведомость расчета мин. платы'!AC148,Коэффициенты!$O$4:$O$59,0),9),"")</f>
        <v/>
      </c>
      <c r="U148" s="31"/>
      <c r="V148" s="184"/>
      <c r="W148" s="179" t="str">
        <f>IF(B148="",W147,INDEX('Такс. опис.'!$A$5:$BW$50,MATCH(CONCATENATE($C148,"/",$D148,"/",$E148),'Такс. опис.'!$C$5:$C$50,0),48))</f>
        <v>мл</v>
      </c>
      <c r="X148" s="179" t="str">
        <f>IF(B148="",X147,INDEX('Такс. опис.'!$A$5:$BW$50,MATCH(CONCATENATE($C148,"/",$D148,"/",$E148),'Такс. опис.'!$C$5:$C$50,0),26))</f>
        <v>8ОС2Б+ЛП</v>
      </c>
      <c r="Y148" s="179">
        <f>IF(B148="",Y147,INDEX('Такс. опис.'!$A$5:$BW$50,MATCH(CONCATENATE($C148,"/",$D148,"/",$E148),'Такс. опис.'!$C$5:$C$50,0),49))</f>
        <v>60</v>
      </c>
      <c r="Z148" s="179" t="str">
        <f>IF(C148="",Z147,INDEX('Такс. опис.'!$A$5:$BW$50,MATCH(CONCATENATE($C148,"/",$D148,"/",$E148),'Такс. опис.'!$C$5:$C$50,0),47))</f>
        <v>Осина</v>
      </c>
      <c r="AA148" s="179" t="str">
        <f>IF(D148="","",INDEX('Такс. опис.'!$A$5:$BW$50,MATCH('Ведомость расчета мин. платы'!AC148,'Такс. опис.'!$C$5:$C$50,0),31))</f>
        <v/>
      </c>
      <c r="AB148" s="115"/>
      <c r="AC148" s="47" t="str">
        <f t="shared" si="55"/>
        <v>Тимерликовское/16/6/1</v>
      </c>
      <c r="AD148" s="180">
        <f>INDEX(Периметр!$A$3:$Q$158,MATCH(AC148,Периметр!$A$3:$A$158,0),17)</f>
        <v>0.84</v>
      </c>
      <c r="AE148" s="47" t="str">
        <f t="shared" si="54"/>
        <v>Тимерликовское/16/6/1/Осина</v>
      </c>
      <c r="AF148" s="115"/>
      <c r="AG148" s="176"/>
      <c r="AH148" s="176"/>
      <c r="AI148" s="176"/>
      <c r="AK148" s="186" t="str">
        <f t="shared" si="59"/>
        <v>//</v>
      </c>
    </row>
    <row r="149" spans="2:38" ht="15.95" customHeight="1" x14ac:dyDescent="0.2">
      <c r="B149" s="179" t="str">
        <f>IF(E149="","",COUNTA($E$10:E149))</f>
        <v/>
      </c>
      <c r="C149" s="157"/>
      <c r="D149" s="113"/>
      <c r="E149" s="113"/>
      <c r="F149" s="113"/>
      <c r="G149" s="157"/>
      <c r="H149" s="113"/>
      <c r="I149" s="157"/>
      <c r="J149" s="187" t="s">
        <v>15</v>
      </c>
      <c r="K149" s="114">
        <f>SUM(K147:K148)</f>
        <v>190.84</v>
      </c>
      <c r="L149" s="114">
        <f t="shared" ref="L149:S149" si="62">SUM(L147:L148)</f>
        <v>246.84</v>
      </c>
      <c r="M149" s="114">
        <f t="shared" si="62"/>
        <v>25.259999999999998</v>
      </c>
      <c r="N149" s="114">
        <f t="shared" si="62"/>
        <v>462.94000000000005</v>
      </c>
      <c r="O149" s="114">
        <f t="shared" si="62"/>
        <v>248.6</v>
      </c>
      <c r="P149" s="114"/>
      <c r="Q149" s="370">
        <f t="shared" si="62"/>
        <v>711.54</v>
      </c>
      <c r="R149" s="114">
        <f t="shared" si="62"/>
        <v>817.6</v>
      </c>
      <c r="S149" s="114">
        <f t="shared" si="62"/>
        <v>15460.15</v>
      </c>
      <c r="T149" s="116">
        <f>IF(AE149="",INDEX(Коэффициенты!$B$4:$S$59,MATCH('Ведомость расчета мин. платы'!AC149,Коэффициенты!$O$4:$O$59,0),9),"")</f>
        <v>26436.856499999998</v>
      </c>
      <c r="U149" s="31"/>
      <c r="V149" s="184"/>
      <c r="W149" s="179" t="str">
        <f>IF(B149="",W148,INDEX('Такс. опис.'!$A$5:$BW$50,MATCH(CONCATENATE($C149,"/",$D149,"/",$E149),'Такс. опис.'!$C$5:$C$50,0),48))</f>
        <v>мл</v>
      </c>
      <c r="X149" s="179" t="str">
        <f>IF(B149="",X148,INDEX('Такс. опис.'!$A$5:$BW$50,MATCH(CONCATENATE($C149,"/",$D149,"/",$E149),'Такс. опис.'!$C$5:$C$50,0),26))</f>
        <v>8ОС2Б+ЛП</v>
      </c>
      <c r="Y149" s="179">
        <f>IF(B149="",Y148,INDEX('Такс. опис.'!$A$5:$BW$50,MATCH(CONCATENATE($C149,"/",$D149,"/",$E149),'Такс. опис.'!$C$5:$C$50,0),49))</f>
        <v>60</v>
      </c>
      <c r="Z149" s="179" t="str">
        <f>IF(C149="",Z148,INDEX('Такс. опис.'!$A$5:$BW$50,MATCH(CONCATENATE($C149,"/",$D149,"/",$E149),'Такс. опис.'!$C$5:$C$50,0),47))</f>
        <v>Осина</v>
      </c>
      <c r="AA149" s="179" t="str">
        <f>IF(D149="","",INDEX('Такс. опис.'!$A$5:$BW$50,MATCH('Ведомость расчета мин. платы'!AC149,'Такс. опис.'!$C$5:$C$50,0),31))</f>
        <v/>
      </c>
      <c r="AB149" s="115"/>
      <c r="AC149" s="47" t="str">
        <f t="shared" si="55"/>
        <v>Тимерликовское/16/6/1</v>
      </c>
      <c r="AD149" s="180">
        <f>INDEX(Периметр!$A$3:$Q$158,MATCH(AC149,Периметр!$A$3:$A$158,0),17)</f>
        <v>0.84</v>
      </c>
      <c r="AE149" s="47" t="str">
        <f t="shared" si="54"/>
        <v/>
      </c>
      <c r="AF149" s="115"/>
      <c r="AG149" s="176"/>
      <c r="AH149" s="176"/>
      <c r="AI149" s="176"/>
      <c r="AK149" s="186" t="str">
        <f t="shared" si="59"/>
        <v>//</v>
      </c>
    </row>
    <row r="150" spans="2:38" ht="15.95" customHeight="1" x14ac:dyDescent="0.2">
      <c r="B150" s="179">
        <f>IF(E150="","",COUNTA($E$10:E150))</f>
        <v>37</v>
      </c>
      <c r="C150" s="157" t="s">
        <v>22</v>
      </c>
      <c r="D150" s="113">
        <v>16</v>
      </c>
      <c r="E150" s="113">
        <v>9</v>
      </c>
      <c r="F150" s="113">
        <v>2</v>
      </c>
      <c r="G150" s="157">
        <v>6.7</v>
      </c>
      <c r="H150" s="113" t="s">
        <v>2086</v>
      </c>
      <c r="I150" s="157" t="s">
        <v>23</v>
      </c>
      <c r="J150" s="182" t="s">
        <v>17</v>
      </c>
      <c r="K150" s="183">
        <v>17.95</v>
      </c>
      <c r="L150" s="183">
        <v>67.2</v>
      </c>
      <c r="M150" s="183">
        <v>16.39</v>
      </c>
      <c r="N150" s="114">
        <f t="shared" si="52"/>
        <v>101.54</v>
      </c>
      <c r="O150" s="183">
        <v>65.77</v>
      </c>
      <c r="P150" s="183"/>
      <c r="Q150" s="370">
        <f t="shared" si="53"/>
        <v>167.31</v>
      </c>
      <c r="R150" s="183">
        <v>190.47</v>
      </c>
      <c r="S150" s="121">
        <v>9071.8799999999992</v>
      </c>
      <c r="T150" s="116" t="str">
        <f>IF(AE150="",INDEX(Коэффициенты!$B$4:$S$59,MATCH('Ведомость расчета мин. платы'!AC150,Коэффициенты!$O$4:$O$59,0),9),"")</f>
        <v/>
      </c>
      <c r="U150" s="31" t="s">
        <v>2114</v>
      </c>
      <c r="V150" s="184"/>
      <c r="W150" s="179" t="str">
        <f>IF(B150="",W149,INDEX('Такс. опис.'!$A$5:$BW$50,MATCH(CONCATENATE($C150,"/",$D150,"/",$E150),'Такс. опис.'!$C$5:$C$50,0),48))</f>
        <v>мл</v>
      </c>
      <c r="X150" s="179" t="str">
        <f>IF(B150="",X149,INDEX('Такс. опис.'!$A$5:$BW$50,MATCH(CONCATENATE($C150,"/",$D150,"/",$E150),'Такс. опис.'!$C$5:$C$50,0),26))</f>
        <v>9ОС1Б+ЛП</v>
      </c>
      <c r="Y150" s="179">
        <f>IF(B150="",Y149,INDEX('Такс. опис.'!$A$5:$BW$50,MATCH(CONCATENATE($C150,"/",$D150,"/",$E150),'Такс. опис.'!$C$5:$C$50,0),49))</f>
        <v>55</v>
      </c>
      <c r="Z150" s="179" t="str">
        <f>IF(C150="",Z149,INDEX('Такс. опис.'!$A$5:$BW$50,MATCH(CONCATENATE($C150,"/",$D150,"/",$E150),'Такс. опис.'!$C$5:$C$50,0),47))</f>
        <v>Осина</v>
      </c>
      <c r="AA150" s="179" t="e">
        <f>IF(D150="","",INDEX('Такс. опис.'!$A$5:$BW$50,MATCH('Ведомость расчета мин. платы'!AC150,'Такс. опис.'!$C$5:$C$50,0),31))</f>
        <v>#N/A</v>
      </c>
      <c r="AB150" s="115"/>
      <c r="AC150" s="47" t="str">
        <f t="shared" si="55"/>
        <v>Тимерликовское/16/9/2</v>
      </c>
      <c r="AD150" s="180">
        <f>INDEX(Периметр!$A$3:$Q$158,MATCH(AC150,Периметр!$A$3:$A$158,0),17)</f>
        <v>1.54</v>
      </c>
      <c r="AE150" s="47" t="str">
        <f t="shared" si="54"/>
        <v>Тимерликовское/16/9/2/Береза</v>
      </c>
      <c r="AF150" s="115"/>
      <c r="AG150" s="176"/>
      <c r="AH150" s="176"/>
      <c r="AI150" s="176"/>
      <c r="AK150" s="186" t="str">
        <f t="shared" si="59"/>
        <v>Тимерликовское/16/9</v>
      </c>
      <c r="AL150" s="181">
        <v>1</v>
      </c>
    </row>
    <row r="151" spans="2:38" ht="15.95" customHeight="1" x14ac:dyDescent="0.2">
      <c r="B151" s="179" t="str">
        <f>IF(E151="","",COUNTA($E$10:E151))</f>
        <v/>
      </c>
      <c r="C151" s="157"/>
      <c r="D151" s="113" t="s">
        <v>166</v>
      </c>
      <c r="E151" s="113"/>
      <c r="F151" s="113" t="s">
        <v>166</v>
      </c>
      <c r="G151" s="157" t="s">
        <v>166</v>
      </c>
      <c r="H151" s="113"/>
      <c r="I151" s="157"/>
      <c r="J151" s="182" t="s">
        <v>18</v>
      </c>
      <c r="K151" s="183">
        <v>501.46</v>
      </c>
      <c r="L151" s="183">
        <v>435.86</v>
      </c>
      <c r="M151" s="183">
        <v>26.32</v>
      </c>
      <c r="N151" s="114">
        <f t="shared" si="52"/>
        <v>963.64</v>
      </c>
      <c r="O151" s="183">
        <v>471.03</v>
      </c>
      <c r="P151" s="183"/>
      <c r="Q151" s="370">
        <f t="shared" si="53"/>
        <v>1434.67</v>
      </c>
      <c r="R151" s="183">
        <v>1647.72</v>
      </c>
      <c r="S151" s="121">
        <v>19538.060000000001</v>
      </c>
      <c r="T151" s="116" t="str">
        <f>IF(AE151="",INDEX(Коэффициенты!$B$4:$S$59,MATCH('Ведомость расчета мин. платы'!AC151,Коэффициенты!$O$4:$O$59,0),9),"")</f>
        <v/>
      </c>
      <c r="U151" s="31"/>
      <c r="V151" s="184"/>
      <c r="W151" s="179" t="str">
        <f>IF(B151="",W150,INDEX('Такс. опис.'!$A$5:$BW$50,MATCH(CONCATENATE($C151,"/",$D151,"/",$E151),'Такс. опис.'!$C$5:$C$50,0),48))</f>
        <v>мл</v>
      </c>
      <c r="X151" s="179" t="str">
        <f>IF(B151="",X150,INDEX('Такс. опис.'!$A$5:$BW$50,MATCH(CONCATENATE($C151,"/",$D151,"/",$E151),'Такс. опис.'!$C$5:$C$50,0),26))</f>
        <v>9ОС1Б+ЛП</v>
      </c>
      <c r="Y151" s="179">
        <f>IF(B151="",Y150,INDEX('Такс. опис.'!$A$5:$BW$50,MATCH(CONCATENATE($C151,"/",$D151,"/",$E151),'Такс. опис.'!$C$5:$C$50,0),49))</f>
        <v>55</v>
      </c>
      <c r="Z151" s="179" t="str">
        <f>IF(C151="",Z150,INDEX('Такс. опис.'!$A$5:$BW$50,MATCH(CONCATENATE($C151,"/",$D151,"/",$E151),'Такс. опис.'!$C$5:$C$50,0),47))</f>
        <v>Осина</v>
      </c>
      <c r="AA151" s="179" t="str">
        <f>IF(D151="","",INDEX('Такс. опис.'!$A$5:$BW$50,MATCH('Ведомость расчета мин. платы'!AC151,'Такс. опис.'!$C$5:$C$50,0),31))</f>
        <v/>
      </c>
      <c r="AB151" s="115"/>
      <c r="AC151" s="47" t="str">
        <f t="shared" si="55"/>
        <v>Тимерликовское/16/9/2</v>
      </c>
      <c r="AD151" s="180">
        <f>INDEX(Периметр!$A$3:$Q$158,MATCH(AC151,Периметр!$A$3:$A$158,0),17)</f>
        <v>1.54</v>
      </c>
      <c r="AE151" s="47" t="str">
        <f t="shared" si="54"/>
        <v>Тимерликовское/16/9/2/Осина</v>
      </c>
      <c r="AF151" s="115"/>
      <c r="AG151" s="176"/>
      <c r="AH151" s="176"/>
      <c r="AI151" s="176"/>
      <c r="AK151" s="186" t="str">
        <f t="shared" si="59"/>
        <v>//</v>
      </c>
    </row>
    <row r="152" spans="2:38" ht="15.95" customHeight="1" x14ac:dyDescent="0.2">
      <c r="B152" s="179" t="str">
        <f>IF(E152="","",COUNTA($E$10:E152))</f>
        <v/>
      </c>
      <c r="C152" s="157"/>
      <c r="D152" s="113"/>
      <c r="E152" s="113"/>
      <c r="F152" s="113"/>
      <c r="G152" s="157"/>
      <c r="H152" s="113"/>
      <c r="I152" s="157"/>
      <c r="J152" s="187" t="s">
        <v>15</v>
      </c>
      <c r="K152" s="114">
        <f>SUM(K150:K151)</f>
        <v>519.41</v>
      </c>
      <c r="L152" s="114">
        <f t="shared" ref="L152:S152" si="63">SUM(L150:L151)</f>
        <v>503.06</v>
      </c>
      <c r="M152" s="114">
        <f t="shared" si="63"/>
        <v>42.71</v>
      </c>
      <c r="N152" s="114">
        <f t="shared" si="63"/>
        <v>1065.18</v>
      </c>
      <c r="O152" s="114">
        <f t="shared" si="63"/>
        <v>536.79999999999995</v>
      </c>
      <c r="P152" s="114"/>
      <c r="Q152" s="370">
        <f t="shared" si="63"/>
        <v>1601.98</v>
      </c>
      <c r="R152" s="114">
        <f t="shared" si="63"/>
        <v>1838.19</v>
      </c>
      <c r="S152" s="114">
        <f t="shared" si="63"/>
        <v>28609.940000000002</v>
      </c>
      <c r="T152" s="116">
        <f>IF(AE152="",INDEX(Коэффициенты!$B$4:$S$59,MATCH('Ведомость расчета мин. платы'!AC152,Коэффициенты!$O$4:$O$59,0),9),"")</f>
        <v>51783.991400000021</v>
      </c>
      <c r="U152" s="31"/>
      <c r="V152" s="184"/>
      <c r="W152" s="179" t="str">
        <f>IF(B152="",W151,INDEX('Такс. опис.'!$A$5:$BW$50,MATCH(CONCATENATE($C152,"/",$D152,"/",$E152),'Такс. опис.'!$C$5:$C$50,0),48))</f>
        <v>мл</v>
      </c>
      <c r="X152" s="179" t="str">
        <f>IF(B152="",X151,INDEX('Такс. опис.'!$A$5:$BW$50,MATCH(CONCATENATE($C152,"/",$D152,"/",$E152),'Такс. опис.'!$C$5:$C$50,0),26))</f>
        <v>9ОС1Б+ЛП</v>
      </c>
      <c r="Y152" s="179">
        <f>IF(B152="",Y151,INDEX('Такс. опис.'!$A$5:$BW$50,MATCH(CONCATENATE($C152,"/",$D152,"/",$E152),'Такс. опис.'!$C$5:$C$50,0),49))</f>
        <v>55</v>
      </c>
      <c r="Z152" s="179" t="str">
        <f>IF(C152="",Z151,INDEX('Такс. опис.'!$A$5:$BW$50,MATCH(CONCATENATE($C152,"/",$D152,"/",$E152),'Такс. опис.'!$C$5:$C$50,0),47))</f>
        <v>Осина</v>
      </c>
      <c r="AA152" s="179" t="str">
        <f>IF(D152="","",INDEX('Такс. опис.'!$A$5:$BW$50,MATCH('Ведомость расчета мин. платы'!AC152,'Такс. опис.'!$C$5:$C$50,0),31))</f>
        <v/>
      </c>
      <c r="AB152" s="115"/>
      <c r="AC152" s="47" t="str">
        <f t="shared" si="55"/>
        <v>Тимерликовское/16/9/2</v>
      </c>
      <c r="AD152" s="180">
        <f>INDEX(Периметр!$A$3:$Q$158,MATCH(AC152,Периметр!$A$3:$A$158,0),17)</f>
        <v>1.54</v>
      </c>
      <c r="AE152" s="47" t="str">
        <f t="shared" si="54"/>
        <v/>
      </c>
      <c r="AF152" s="115"/>
      <c r="AG152" s="176"/>
      <c r="AH152" s="176"/>
      <c r="AI152" s="176"/>
      <c r="AK152" s="186" t="str">
        <f t="shared" si="59"/>
        <v>//</v>
      </c>
    </row>
    <row r="153" spans="2:38" ht="15.95" customHeight="1" x14ac:dyDescent="0.2">
      <c r="B153" s="179">
        <f>IF(E153="","",COUNTA($E$10:E153))</f>
        <v>38</v>
      </c>
      <c r="C153" s="157" t="s">
        <v>22</v>
      </c>
      <c r="D153" s="113">
        <v>16</v>
      </c>
      <c r="E153" s="113">
        <v>9</v>
      </c>
      <c r="F153" s="113">
        <v>3</v>
      </c>
      <c r="G153" s="157">
        <v>3.3</v>
      </c>
      <c r="H153" s="113" t="s">
        <v>2086</v>
      </c>
      <c r="I153" s="157" t="s">
        <v>23</v>
      </c>
      <c r="J153" s="182" t="s">
        <v>17</v>
      </c>
      <c r="K153" s="183">
        <v>8.1</v>
      </c>
      <c r="L153" s="183">
        <v>35.880000000000003</v>
      </c>
      <c r="M153" s="183">
        <v>9.5399999999999991</v>
      </c>
      <c r="N153" s="114">
        <f t="shared" si="52"/>
        <v>53.52</v>
      </c>
      <c r="O153" s="183">
        <v>32.4</v>
      </c>
      <c r="P153" s="183"/>
      <c r="Q153" s="370">
        <f t="shared" si="53"/>
        <v>85.92</v>
      </c>
      <c r="R153" s="183">
        <v>97.92</v>
      </c>
      <c r="S153" s="121">
        <v>4681.0600000000004</v>
      </c>
      <c r="T153" s="116" t="str">
        <f>IF(AE153="",INDEX(Коэффициенты!$B$4:$S$59,MATCH('Ведомость расчета мин. платы'!AC153,Коэффициенты!$O$4:$O$59,0),9),"")</f>
        <v/>
      </c>
      <c r="U153" s="31" t="s">
        <v>2114</v>
      </c>
      <c r="V153" s="184"/>
      <c r="W153" s="179" t="str">
        <f>IF(B153="",W152,INDEX('Такс. опис.'!$A$5:$BW$50,MATCH(CONCATENATE($C153,"/",$D153,"/",$E153),'Такс. опис.'!$C$5:$C$50,0),48))</f>
        <v>мл</v>
      </c>
      <c r="X153" s="179" t="str">
        <f>IF(B153="",X152,INDEX('Такс. опис.'!$A$5:$BW$50,MATCH(CONCATENATE($C153,"/",$D153,"/",$E153),'Такс. опис.'!$C$5:$C$50,0),26))</f>
        <v>9ОС1Б+ЛП</v>
      </c>
      <c r="Y153" s="179">
        <f>IF(B153="",Y152,INDEX('Такс. опис.'!$A$5:$BW$50,MATCH(CONCATENATE($C153,"/",$D153,"/",$E153),'Такс. опис.'!$C$5:$C$50,0),49))</f>
        <v>55</v>
      </c>
      <c r="Z153" s="179" t="str">
        <f>IF(C153="",Z152,INDEX('Такс. опис.'!$A$5:$BW$50,MATCH(CONCATENATE($C153,"/",$D153,"/",$E153),'Такс. опис.'!$C$5:$C$50,0),47))</f>
        <v>Осина</v>
      </c>
      <c r="AA153" s="179" t="e">
        <f>IF(D153="","",INDEX('Такс. опис.'!$A$5:$BW$50,MATCH('Ведомость расчета мин. платы'!AC153,'Такс. опис.'!$C$5:$C$50,0),31))</f>
        <v>#N/A</v>
      </c>
      <c r="AB153" s="115"/>
      <c r="AC153" s="47" t="str">
        <f t="shared" si="55"/>
        <v>Тимерликовское/16/9/3</v>
      </c>
      <c r="AD153" s="180">
        <f>INDEX(Периметр!$A$3:$Q$158,MATCH(AC153,Периметр!$A$3:$A$158,0),17)</f>
        <v>0.86</v>
      </c>
      <c r="AE153" s="47" t="str">
        <f t="shared" si="54"/>
        <v>Тимерликовское/16/9/3/Береза</v>
      </c>
      <c r="AF153" s="115"/>
      <c r="AG153" s="176"/>
      <c r="AH153" s="176"/>
      <c r="AI153" s="176"/>
      <c r="AK153" s="186" t="str">
        <f t="shared" si="59"/>
        <v>Тимерликовское/16/9</v>
      </c>
      <c r="AL153" s="181">
        <v>1</v>
      </c>
    </row>
    <row r="154" spans="2:38" ht="15.95" customHeight="1" x14ac:dyDescent="0.2">
      <c r="B154" s="179" t="str">
        <f>IF(E154="","",COUNTA($E$10:E154))</f>
        <v/>
      </c>
      <c r="C154" s="157"/>
      <c r="D154" s="113" t="s">
        <v>166</v>
      </c>
      <c r="E154" s="113"/>
      <c r="F154" s="113" t="s">
        <v>166</v>
      </c>
      <c r="G154" s="157" t="s">
        <v>166</v>
      </c>
      <c r="H154" s="113"/>
      <c r="I154" s="157"/>
      <c r="J154" s="182" t="s">
        <v>18</v>
      </c>
      <c r="K154" s="183">
        <v>241.44</v>
      </c>
      <c r="L154" s="183">
        <v>230.6</v>
      </c>
      <c r="M154" s="183">
        <v>14.04</v>
      </c>
      <c r="N154" s="114">
        <f t="shared" si="52"/>
        <v>486.08</v>
      </c>
      <c r="O154" s="183">
        <v>219.68</v>
      </c>
      <c r="P154" s="183"/>
      <c r="Q154" s="370">
        <f t="shared" si="53"/>
        <v>705.76</v>
      </c>
      <c r="R154" s="183">
        <v>808.1</v>
      </c>
      <c r="S154" s="121">
        <v>9776.31</v>
      </c>
      <c r="T154" s="116" t="str">
        <f>IF(AE154="",INDEX(Коэффициенты!$B$4:$S$59,MATCH('Ведомость расчета мин. платы'!AC154,Коэффициенты!$O$4:$O$59,0),9),"")</f>
        <v/>
      </c>
      <c r="U154" s="31"/>
      <c r="V154" s="184"/>
      <c r="W154" s="179" t="str">
        <f>IF(B154="",W153,INDEX('Такс. опис.'!$A$5:$BW$50,MATCH(CONCATENATE($C154,"/",$D154,"/",$E154),'Такс. опис.'!$C$5:$C$50,0),48))</f>
        <v>мл</v>
      </c>
      <c r="X154" s="179" t="str">
        <f>IF(B154="",X153,INDEX('Такс. опис.'!$A$5:$BW$50,MATCH(CONCATENATE($C154,"/",$D154,"/",$E154),'Такс. опис.'!$C$5:$C$50,0),26))</f>
        <v>9ОС1Б+ЛП</v>
      </c>
      <c r="Y154" s="179">
        <f>IF(B154="",Y153,INDEX('Такс. опис.'!$A$5:$BW$50,MATCH(CONCATENATE($C154,"/",$D154,"/",$E154),'Такс. опис.'!$C$5:$C$50,0),49))</f>
        <v>55</v>
      </c>
      <c r="Z154" s="179" t="str">
        <f>IF(C154="",Z153,INDEX('Такс. опис.'!$A$5:$BW$50,MATCH(CONCATENATE($C154,"/",$D154,"/",$E154),'Такс. опис.'!$C$5:$C$50,0),47))</f>
        <v>Осина</v>
      </c>
      <c r="AA154" s="179" t="str">
        <f>IF(D154="","",INDEX('Такс. опис.'!$A$5:$BW$50,MATCH('Ведомость расчета мин. платы'!AC154,'Такс. опис.'!$C$5:$C$50,0),31))</f>
        <v/>
      </c>
      <c r="AB154" s="115"/>
      <c r="AC154" s="47" t="str">
        <f t="shared" si="55"/>
        <v>Тимерликовское/16/9/3</v>
      </c>
      <c r="AD154" s="180">
        <f>INDEX(Периметр!$A$3:$Q$158,MATCH(AC154,Периметр!$A$3:$A$158,0),17)</f>
        <v>0.86</v>
      </c>
      <c r="AE154" s="47" t="str">
        <f t="shared" si="54"/>
        <v>Тимерликовское/16/9/3/Осина</v>
      </c>
      <c r="AF154" s="115"/>
      <c r="AG154" s="176"/>
      <c r="AH154" s="176"/>
      <c r="AI154" s="176"/>
      <c r="AK154" s="186" t="str">
        <f t="shared" si="59"/>
        <v>//</v>
      </c>
    </row>
    <row r="155" spans="2:38" ht="15.95" customHeight="1" x14ac:dyDescent="0.2">
      <c r="B155" s="179" t="str">
        <f>IF(E155="","",COUNTA($E$10:E155))</f>
        <v/>
      </c>
      <c r="C155" s="157"/>
      <c r="D155" s="113"/>
      <c r="E155" s="113"/>
      <c r="F155" s="113"/>
      <c r="G155" s="157"/>
      <c r="H155" s="113"/>
      <c r="I155" s="157"/>
      <c r="J155" s="187" t="s">
        <v>15</v>
      </c>
      <c r="K155" s="114">
        <f>SUM(K153:K154)</f>
        <v>249.54</v>
      </c>
      <c r="L155" s="114">
        <f t="shared" ref="L155:S155" si="64">SUM(L153:L154)</f>
        <v>266.48</v>
      </c>
      <c r="M155" s="114">
        <f t="shared" si="64"/>
        <v>23.58</v>
      </c>
      <c r="N155" s="114">
        <f t="shared" si="64"/>
        <v>539.6</v>
      </c>
      <c r="O155" s="114">
        <f t="shared" si="64"/>
        <v>252.08</v>
      </c>
      <c r="P155" s="114"/>
      <c r="Q155" s="370">
        <f t="shared" si="64"/>
        <v>791.68</v>
      </c>
      <c r="R155" s="114">
        <f t="shared" si="64"/>
        <v>906.02</v>
      </c>
      <c r="S155" s="114">
        <f t="shared" si="64"/>
        <v>14457.369999999999</v>
      </c>
      <c r="T155" s="116">
        <f>IF(AE155="",INDEX(Коэффициенты!$B$4:$S$59,MATCH('Ведомость расчета мин. платы'!AC155,Коэффициенты!$O$4:$O$59,0),9),"")</f>
        <v>26023.265999999996</v>
      </c>
      <c r="U155" s="31"/>
      <c r="V155" s="184"/>
      <c r="W155" s="179" t="str">
        <f>IF(B155="",W154,INDEX('Такс. опис.'!$A$5:$BW$50,MATCH(CONCATENATE($C155,"/",$D155,"/",$E155),'Такс. опис.'!$C$5:$C$50,0),48))</f>
        <v>мл</v>
      </c>
      <c r="X155" s="179" t="str">
        <f>IF(B155="",X154,INDEX('Такс. опис.'!$A$5:$BW$50,MATCH(CONCATENATE($C155,"/",$D155,"/",$E155),'Такс. опис.'!$C$5:$C$50,0),26))</f>
        <v>9ОС1Б+ЛП</v>
      </c>
      <c r="Y155" s="179">
        <f>IF(B155="",Y154,INDEX('Такс. опис.'!$A$5:$BW$50,MATCH(CONCATENATE($C155,"/",$D155,"/",$E155),'Такс. опис.'!$C$5:$C$50,0),49))</f>
        <v>55</v>
      </c>
      <c r="Z155" s="179" t="str">
        <f>IF(C155="",Z154,INDEX('Такс. опис.'!$A$5:$BW$50,MATCH(CONCATENATE($C155,"/",$D155,"/",$E155),'Такс. опис.'!$C$5:$C$50,0),47))</f>
        <v>Осина</v>
      </c>
      <c r="AA155" s="179" t="str">
        <f>IF(D155="","",INDEX('Такс. опис.'!$A$5:$BW$50,MATCH('Ведомость расчета мин. платы'!AC155,'Такс. опис.'!$C$5:$C$50,0),31))</f>
        <v/>
      </c>
      <c r="AB155" s="115"/>
      <c r="AC155" s="47" t="str">
        <f t="shared" si="55"/>
        <v>Тимерликовское/16/9/3</v>
      </c>
      <c r="AD155" s="180">
        <f>INDEX(Периметр!$A$3:$Q$158,MATCH(AC155,Периметр!$A$3:$A$158,0),17)</f>
        <v>0.86</v>
      </c>
      <c r="AE155" s="47" t="str">
        <f t="shared" si="54"/>
        <v/>
      </c>
      <c r="AF155" s="115"/>
      <c r="AG155" s="176"/>
      <c r="AH155" s="176"/>
      <c r="AI155" s="176"/>
      <c r="AK155" s="186" t="str">
        <f t="shared" si="59"/>
        <v>//</v>
      </c>
    </row>
    <row r="156" spans="2:38" ht="15.95" customHeight="1" x14ac:dyDescent="0.2">
      <c r="B156" s="179">
        <f>IF(E156="","",COUNTA($E$10:E156))</f>
        <v>39</v>
      </c>
      <c r="C156" s="157" t="s">
        <v>22</v>
      </c>
      <c r="D156" s="113">
        <v>16</v>
      </c>
      <c r="E156" s="113">
        <v>9</v>
      </c>
      <c r="F156" s="113">
        <v>4</v>
      </c>
      <c r="G156" s="157">
        <v>2.8</v>
      </c>
      <c r="H156" s="113" t="s">
        <v>2086</v>
      </c>
      <c r="I156" s="157" t="s">
        <v>23</v>
      </c>
      <c r="J156" s="182" t="s">
        <v>17</v>
      </c>
      <c r="K156" s="183">
        <v>4.4000000000000004</v>
      </c>
      <c r="L156" s="183">
        <v>30.65</v>
      </c>
      <c r="M156" s="183">
        <v>11.43</v>
      </c>
      <c r="N156" s="114">
        <f t="shared" si="52"/>
        <v>46.48</v>
      </c>
      <c r="O156" s="183">
        <v>20.78</v>
      </c>
      <c r="P156" s="183"/>
      <c r="Q156" s="370">
        <f t="shared" si="53"/>
        <v>67.259999999999991</v>
      </c>
      <c r="R156" s="183">
        <v>76.989999999999995</v>
      </c>
      <c r="S156" s="121">
        <v>3791.08</v>
      </c>
      <c r="T156" s="116" t="str">
        <f>IF(AE156="",INDEX(Коэффициенты!$B$4:$S$59,MATCH('Ведомость расчета мин. платы'!AC156,Коэффициенты!$O$4:$O$59,0),9),"")</f>
        <v/>
      </c>
      <c r="U156" s="31" t="s">
        <v>2114</v>
      </c>
      <c r="V156" s="184"/>
      <c r="W156" s="179" t="str">
        <f>IF(B156="",W155,INDEX('Такс. опис.'!$A$5:$BW$50,MATCH(CONCATENATE($C156,"/",$D156,"/",$E156),'Такс. опис.'!$C$5:$C$50,0),48))</f>
        <v>мл</v>
      </c>
      <c r="X156" s="179" t="str">
        <f>IF(B156="",X155,INDEX('Такс. опис.'!$A$5:$BW$50,MATCH(CONCATENATE($C156,"/",$D156,"/",$E156),'Такс. опис.'!$C$5:$C$50,0),26))</f>
        <v>9ОС1Б+ЛП</v>
      </c>
      <c r="Y156" s="179">
        <f>IF(B156="",Y155,INDEX('Такс. опис.'!$A$5:$BW$50,MATCH(CONCATENATE($C156,"/",$D156,"/",$E156),'Такс. опис.'!$C$5:$C$50,0),49))</f>
        <v>55</v>
      </c>
      <c r="Z156" s="179" t="str">
        <f>IF(C156="",Z155,INDEX('Такс. опис.'!$A$5:$BW$50,MATCH(CONCATENATE($C156,"/",$D156,"/",$E156),'Такс. опис.'!$C$5:$C$50,0),47))</f>
        <v>Осина</v>
      </c>
      <c r="AA156" s="179" t="e">
        <f>IF(D156="","",INDEX('Такс. опис.'!$A$5:$BW$50,MATCH('Ведомость расчета мин. платы'!AC156,'Такс. опис.'!$C$5:$C$50,0),31))</f>
        <v>#N/A</v>
      </c>
      <c r="AB156" s="115"/>
      <c r="AC156" s="47" t="str">
        <f t="shared" si="55"/>
        <v>Тимерликовское/16/9/4</v>
      </c>
      <c r="AD156" s="180">
        <f>INDEX(Периметр!$A$3:$Q$158,MATCH(AC156,Периметр!$A$3:$A$158,0),17)</f>
        <v>0.76</v>
      </c>
      <c r="AE156" s="47" t="str">
        <f t="shared" si="54"/>
        <v>Тимерликовское/16/9/4/Береза</v>
      </c>
      <c r="AF156" s="115"/>
      <c r="AG156" s="176"/>
      <c r="AH156" s="176"/>
      <c r="AI156" s="176"/>
      <c r="AK156" s="186" t="str">
        <f t="shared" si="59"/>
        <v>Тимерликовское/16/9</v>
      </c>
      <c r="AL156" s="181">
        <v>1</v>
      </c>
    </row>
    <row r="157" spans="2:38" ht="15.95" customHeight="1" x14ac:dyDescent="0.2">
      <c r="B157" s="179" t="str">
        <f>IF(E157="","",COUNTA($E$10:E157))</f>
        <v/>
      </c>
      <c r="C157" s="157"/>
      <c r="D157" s="113" t="s">
        <v>166</v>
      </c>
      <c r="E157" s="113"/>
      <c r="F157" s="113" t="s">
        <v>166</v>
      </c>
      <c r="G157" s="157" t="s">
        <v>166</v>
      </c>
      <c r="H157" s="113"/>
      <c r="I157" s="157"/>
      <c r="J157" s="182" t="s">
        <v>18</v>
      </c>
      <c r="K157" s="183">
        <v>240.43</v>
      </c>
      <c r="L157" s="183">
        <v>172.24</v>
      </c>
      <c r="M157" s="183">
        <v>11.19</v>
      </c>
      <c r="N157" s="114">
        <f t="shared" si="52"/>
        <v>423.86</v>
      </c>
      <c r="O157" s="183">
        <v>187.68</v>
      </c>
      <c r="P157" s="183"/>
      <c r="Q157" s="370">
        <f t="shared" si="53"/>
        <v>611.54</v>
      </c>
      <c r="R157" s="183">
        <v>699.2</v>
      </c>
      <c r="S157" s="121">
        <v>8693.73</v>
      </c>
      <c r="T157" s="116" t="str">
        <f>IF(AE157="",INDEX(Коэффициенты!$B$4:$S$59,MATCH('Ведомость расчета мин. платы'!AC157,Коэффициенты!$O$4:$O$59,0),9),"")</f>
        <v/>
      </c>
      <c r="U157" s="31"/>
      <c r="V157" s="184"/>
      <c r="W157" s="179" t="str">
        <f>IF(B157="",W156,INDEX('Такс. опис.'!$A$5:$BW$50,MATCH(CONCATENATE($C157,"/",$D157,"/",$E157),'Такс. опис.'!$C$5:$C$50,0),48))</f>
        <v>мл</v>
      </c>
      <c r="X157" s="179" t="str">
        <f>IF(B157="",X156,INDEX('Такс. опис.'!$A$5:$BW$50,MATCH(CONCATENATE($C157,"/",$D157,"/",$E157),'Такс. опис.'!$C$5:$C$50,0),26))</f>
        <v>9ОС1Б+ЛП</v>
      </c>
      <c r="Y157" s="179">
        <f>IF(B157="",Y156,INDEX('Такс. опис.'!$A$5:$BW$50,MATCH(CONCATENATE($C157,"/",$D157,"/",$E157),'Такс. опис.'!$C$5:$C$50,0),49))</f>
        <v>55</v>
      </c>
      <c r="Z157" s="179" t="str">
        <f>IF(C157="",Z156,INDEX('Такс. опис.'!$A$5:$BW$50,MATCH(CONCATENATE($C157,"/",$D157,"/",$E157),'Такс. опис.'!$C$5:$C$50,0),47))</f>
        <v>Осина</v>
      </c>
      <c r="AA157" s="179" t="str">
        <f>IF(D157="","",INDEX('Такс. опис.'!$A$5:$BW$50,MATCH('Ведомость расчета мин. платы'!AC157,'Такс. опис.'!$C$5:$C$50,0),31))</f>
        <v/>
      </c>
      <c r="AB157" s="115"/>
      <c r="AC157" s="47" t="str">
        <f t="shared" si="55"/>
        <v>Тимерликовское/16/9/4</v>
      </c>
      <c r="AD157" s="180">
        <f>INDEX(Периметр!$A$3:$Q$158,MATCH(AC157,Периметр!$A$3:$A$158,0),17)</f>
        <v>0.76</v>
      </c>
      <c r="AE157" s="47" t="str">
        <f t="shared" si="54"/>
        <v>Тимерликовское/16/9/4/Осина</v>
      </c>
      <c r="AF157" s="115"/>
      <c r="AG157" s="176"/>
      <c r="AH157" s="176"/>
      <c r="AI157" s="176"/>
      <c r="AK157" s="186" t="str">
        <f t="shared" si="59"/>
        <v>//</v>
      </c>
    </row>
    <row r="158" spans="2:38" ht="15.95" customHeight="1" x14ac:dyDescent="0.2">
      <c r="B158" s="179" t="str">
        <f>IF(E158="","",COUNTA($E$10:E158))</f>
        <v/>
      </c>
      <c r="C158" s="157"/>
      <c r="D158" s="113"/>
      <c r="E158" s="113"/>
      <c r="F158" s="113"/>
      <c r="G158" s="157"/>
      <c r="H158" s="113"/>
      <c r="I158" s="157"/>
      <c r="J158" s="187" t="s">
        <v>15</v>
      </c>
      <c r="K158" s="114">
        <f>SUM(K156:K157)</f>
        <v>244.83</v>
      </c>
      <c r="L158" s="114">
        <f t="shared" ref="L158:S158" si="65">SUM(L156:L157)</f>
        <v>202.89000000000001</v>
      </c>
      <c r="M158" s="114">
        <f t="shared" si="65"/>
        <v>22.619999999999997</v>
      </c>
      <c r="N158" s="114">
        <f t="shared" si="65"/>
        <v>470.34000000000003</v>
      </c>
      <c r="O158" s="114">
        <f t="shared" si="65"/>
        <v>208.46</v>
      </c>
      <c r="P158" s="114"/>
      <c r="Q158" s="370">
        <f t="shared" si="65"/>
        <v>678.8</v>
      </c>
      <c r="R158" s="114">
        <f t="shared" si="65"/>
        <v>776.19</v>
      </c>
      <c r="S158" s="114">
        <f t="shared" si="65"/>
        <v>12484.81</v>
      </c>
      <c r="T158" s="116">
        <f>IF(AE158="",INDEX(Коэффициенты!$B$4:$S$59,MATCH('Ведомость расчета мин. платы'!AC158,Коэффициенты!$O$4:$O$59,0),9),"")</f>
        <v>22098.113700000005</v>
      </c>
      <c r="U158" s="31"/>
      <c r="V158" s="184"/>
      <c r="W158" s="179" t="str">
        <f>IF(B158="",W157,INDEX('Такс. опис.'!$A$5:$BW$50,MATCH(CONCATENATE($C158,"/",$D158,"/",$E158),'Такс. опис.'!$C$5:$C$50,0),48))</f>
        <v>мл</v>
      </c>
      <c r="X158" s="179" t="str">
        <f>IF(B158="",X157,INDEX('Такс. опис.'!$A$5:$BW$50,MATCH(CONCATENATE($C158,"/",$D158,"/",$E158),'Такс. опис.'!$C$5:$C$50,0),26))</f>
        <v>9ОС1Б+ЛП</v>
      </c>
      <c r="Y158" s="179">
        <f>IF(B158="",Y157,INDEX('Такс. опис.'!$A$5:$BW$50,MATCH(CONCATENATE($C158,"/",$D158,"/",$E158),'Такс. опис.'!$C$5:$C$50,0),49))</f>
        <v>55</v>
      </c>
      <c r="Z158" s="179" t="str">
        <f>IF(C158="",Z157,INDEX('Такс. опис.'!$A$5:$BW$50,MATCH(CONCATENATE($C158,"/",$D158,"/",$E158),'Такс. опис.'!$C$5:$C$50,0),47))</f>
        <v>Осина</v>
      </c>
      <c r="AA158" s="179" t="str">
        <f>IF(D158="","",INDEX('Такс. опис.'!$A$5:$BW$50,MATCH('Ведомость расчета мин. платы'!AC158,'Такс. опис.'!$C$5:$C$50,0),31))</f>
        <v/>
      </c>
      <c r="AB158" s="115"/>
      <c r="AC158" s="47" t="str">
        <f t="shared" si="55"/>
        <v>Тимерликовское/16/9/4</v>
      </c>
      <c r="AD158" s="180">
        <f>INDEX(Периметр!$A$3:$Q$158,MATCH(AC158,Периметр!$A$3:$A$158,0),17)</f>
        <v>0.76</v>
      </c>
      <c r="AE158" s="47" t="str">
        <f t="shared" si="54"/>
        <v/>
      </c>
      <c r="AF158" s="115"/>
      <c r="AG158" s="176"/>
      <c r="AH158" s="176"/>
      <c r="AI158" s="176"/>
      <c r="AK158" s="186" t="str">
        <f t="shared" si="59"/>
        <v>//</v>
      </c>
    </row>
    <row r="159" spans="2:38" ht="15.95" customHeight="1" x14ac:dyDescent="0.2">
      <c r="B159" s="179">
        <f>IF(E159="","",COUNTA($E$10:E159))</f>
        <v>40</v>
      </c>
      <c r="C159" s="157" t="s">
        <v>22</v>
      </c>
      <c r="D159" s="113">
        <v>16</v>
      </c>
      <c r="E159" s="113">
        <v>9</v>
      </c>
      <c r="F159" s="113">
        <v>5</v>
      </c>
      <c r="G159" s="157">
        <v>2.8</v>
      </c>
      <c r="H159" s="113" t="s">
        <v>2086</v>
      </c>
      <c r="I159" s="157" t="s">
        <v>23</v>
      </c>
      <c r="J159" s="182" t="s">
        <v>17</v>
      </c>
      <c r="K159" s="183">
        <v>4.75</v>
      </c>
      <c r="L159" s="183">
        <v>30.95</v>
      </c>
      <c r="M159" s="183">
        <v>11.28</v>
      </c>
      <c r="N159" s="114">
        <f t="shared" si="52"/>
        <v>46.980000000000004</v>
      </c>
      <c r="O159" s="183">
        <v>21.87</v>
      </c>
      <c r="P159" s="183"/>
      <c r="Q159" s="370">
        <f t="shared" si="53"/>
        <v>68.850000000000009</v>
      </c>
      <c r="R159" s="183">
        <v>78.81</v>
      </c>
      <c r="S159" s="121">
        <v>3859.79</v>
      </c>
      <c r="T159" s="116" t="str">
        <f>IF(AE159="",INDEX(Коэффициенты!$B$4:$S$59,MATCH('Ведомость расчета мин. платы'!AC159,Коэффициенты!$O$4:$O$59,0),9),"")</f>
        <v/>
      </c>
      <c r="U159" s="31" t="s">
        <v>2114</v>
      </c>
      <c r="V159" s="184"/>
      <c r="W159" s="179" t="str">
        <f>IF(B159="",W158,INDEX('Такс. опис.'!$A$5:$BW$50,MATCH(CONCATENATE($C159,"/",$D159,"/",$E159),'Такс. опис.'!$C$5:$C$50,0),48))</f>
        <v>мл</v>
      </c>
      <c r="X159" s="179" t="str">
        <f>IF(B159="",X158,INDEX('Такс. опис.'!$A$5:$BW$50,MATCH(CONCATENATE($C159,"/",$D159,"/",$E159),'Такс. опис.'!$C$5:$C$50,0),26))</f>
        <v>9ОС1Б+ЛП</v>
      </c>
      <c r="Y159" s="179">
        <f>IF(B159="",Y158,INDEX('Такс. опис.'!$A$5:$BW$50,MATCH(CONCATENATE($C159,"/",$D159,"/",$E159),'Такс. опис.'!$C$5:$C$50,0),49))</f>
        <v>55</v>
      </c>
      <c r="Z159" s="179" t="str">
        <f>IF(C159="",Z158,INDEX('Такс. опис.'!$A$5:$BW$50,MATCH(CONCATENATE($C159,"/",$D159,"/",$E159),'Такс. опис.'!$C$5:$C$50,0),47))</f>
        <v>Осина</v>
      </c>
      <c r="AA159" s="179" t="e">
        <f>IF(D159="","",INDEX('Такс. опис.'!$A$5:$BW$50,MATCH('Ведомость расчета мин. платы'!AC159,'Такс. опис.'!$C$5:$C$50,0),31))</f>
        <v>#N/A</v>
      </c>
      <c r="AB159" s="115"/>
      <c r="AC159" s="47" t="str">
        <f t="shared" si="55"/>
        <v>Тимерликовское/16/9/5</v>
      </c>
      <c r="AD159" s="180">
        <f>INDEX(Периметр!$A$3:$Q$158,MATCH(AC159,Периметр!$A$3:$A$158,0),17)</f>
        <v>0.76</v>
      </c>
      <c r="AE159" s="47" t="str">
        <f t="shared" si="54"/>
        <v>Тимерликовское/16/9/5/Береза</v>
      </c>
      <c r="AF159" s="115"/>
      <c r="AG159" s="176"/>
      <c r="AH159" s="176"/>
      <c r="AI159" s="176"/>
      <c r="AK159" s="186" t="str">
        <f t="shared" si="59"/>
        <v>Тимерликовское/16/9</v>
      </c>
      <c r="AL159" s="181">
        <v>1</v>
      </c>
    </row>
    <row r="160" spans="2:38" ht="15.95" customHeight="1" x14ac:dyDescent="0.2">
      <c r="B160" s="179" t="str">
        <f>IF(E160="","",COUNTA($E$10:E160))</f>
        <v/>
      </c>
      <c r="C160" s="157"/>
      <c r="D160" s="113" t="s">
        <v>166</v>
      </c>
      <c r="E160" s="113"/>
      <c r="F160" s="113" t="s">
        <v>166</v>
      </c>
      <c r="G160" s="157" t="s">
        <v>166</v>
      </c>
      <c r="H160" s="113"/>
      <c r="I160" s="157"/>
      <c r="J160" s="182" t="s">
        <v>18</v>
      </c>
      <c r="K160" s="183">
        <v>224.01</v>
      </c>
      <c r="L160" s="183">
        <v>168.54</v>
      </c>
      <c r="M160" s="183">
        <v>11.22</v>
      </c>
      <c r="N160" s="114">
        <f t="shared" si="52"/>
        <v>403.77</v>
      </c>
      <c r="O160" s="183">
        <v>178.56</v>
      </c>
      <c r="P160" s="183"/>
      <c r="Q160" s="370">
        <f t="shared" si="53"/>
        <v>582.32999999999993</v>
      </c>
      <c r="R160" s="183">
        <v>665.8</v>
      </c>
      <c r="S160" s="121">
        <v>8249.51</v>
      </c>
      <c r="T160" s="116" t="str">
        <f>IF(AE160="",INDEX(Коэффициенты!$B$4:$S$59,MATCH('Ведомость расчета мин. платы'!AC160,Коэффициенты!$O$4:$O$59,0),9),"")</f>
        <v/>
      </c>
      <c r="U160" s="31"/>
      <c r="V160" s="184"/>
      <c r="W160" s="179" t="str">
        <f>IF(B160="",W159,INDEX('Такс. опис.'!$A$5:$BW$50,MATCH(CONCATENATE($C160,"/",$D160,"/",$E160),'Такс. опис.'!$C$5:$C$50,0),48))</f>
        <v>мл</v>
      </c>
      <c r="X160" s="179" t="str">
        <f>IF(B160="",X159,INDEX('Такс. опис.'!$A$5:$BW$50,MATCH(CONCATENATE($C160,"/",$D160,"/",$E160),'Такс. опис.'!$C$5:$C$50,0),26))</f>
        <v>9ОС1Б+ЛП</v>
      </c>
      <c r="Y160" s="179">
        <f>IF(B160="",Y159,INDEX('Такс. опис.'!$A$5:$BW$50,MATCH(CONCATENATE($C160,"/",$D160,"/",$E160),'Такс. опис.'!$C$5:$C$50,0),49))</f>
        <v>55</v>
      </c>
      <c r="Z160" s="179" t="str">
        <f>IF(C160="",Z159,INDEX('Такс. опис.'!$A$5:$BW$50,MATCH(CONCATENATE($C160,"/",$D160,"/",$E160),'Такс. опис.'!$C$5:$C$50,0),47))</f>
        <v>Осина</v>
      </c>
      <c r="AA160" s="179" t="str">
        <f>IF(D160="","",INDEX('Такс. опис.'!$A$5:$BW$50,MATCH('Ведомость расчета мин. платы'!AC160,'Такс. опис.'!$C$5:$C$50,0),31))</f>
        <v/>
      </c>
      <c r="AB160" s="115"/>
      <c r="AC160" s="47" t="str">
        <f t="shared" si="55"/>
        <v>Тимерликовское/16/9/5</v>
      </c>
      <c r="AD160" s="180">
        <f>INDEX(Периметр!$A$3:$Q$158,MATCH(AC160,Периметр!$A$3:$A$158,0),17)</f>
        <v>0.76</v>
      </c>
      <c r="AE160" s="47" t="str">
        <f t="shared" si="54"/>
        <v>Тимерликовское/16/9/5/Осина</v>
      </c>
      <c r="AF160" s="115"/>
      <c r="AG160" s="176"/>
      <c r="AH160" s="176"/>
      <c r="AI160" s="176"/>
      <c r="AK160" s="186" t="str">
        <f t="shared" si="59"/>
        <v>//</v>
      </c>
    </row>
    <row r="161" spans="2:38" ht="15.95" customHeight="1" x14ac:dyDescent="0.2">
      <c r="B161" s="179" t="str">
        <f>IF(E161="","",COUNTA($E$10:E161))</f>
        <v/>
      </c>
      <c r="C161" s="157"/>
      <c r="D161" s="113"/>
      <c r="E161" s="113"/>
      <c r="F161" s="113"/>
      <c r="G161" s="157"/>
      <c r="H161" s="113"/>
      <c r="I161" s="157"/>
      <c r="J161" s="187" t="s">
        <v>15</v>
      </c>
      <c r="K161" s="114">
        <f>SUM(K159:K160)</f>
        <v>228.76</v>
      </c>
      <c r="L161" s="114">
        <f t="shared" ref="L161:S161" si="66">SUM(L159:L160)</f>
        <v>199.48999999999998</v>
      </c>
      <c r="M161" s="114">
        <f t="shared" si="66"/>
        <v>22.5</v>
      </c>
      <c r="N161" s="114">
        <f t="shared" si="66"/>
        <v>450.75</v>
      </c>
      <c r="O161" s="114">
        <f t="shared" si="66"/>
        <v>200.43</v>
      </c>
      <c r="P161" s="114"/>
      <c r="Q161" s="370">
        <f t="shared" si="66"/>
        <v>651.17999999999995</v>
      </c>
      <c r="R161" s="114">
        <f t="shared" si="66"/>
        <v>744.6099999999999</v>
      </c>
      <c r="S161" s="114">
        <f t="shared" si="66"/>
        <v>12109.3</v>
      </c>
      <c r="T161" s="116">
        <f>IF(AE161="",INDEX(Коэффициенты!$B$4:$S$59,MATCH('Ведомость расчета мин. платы'!AC161,Коэффициенты!$O$4:$O$59,0),9),"")</f>
        <v>21917.833000000006</v>
      </c>
      <c r="U161" s="31"/>
      <c r="V161" s="184"/>
      <c r="W161" s="179" t="str">
        <f>IF(B161="",W160,INDEX('Такс. опис.'!$A$5:$BW$50,MATCH(CONCATENATE($C161,"/",$D161,"/",$E161),'Такс. опис.'!$C$5:$C$50,0),48))</f>
        <v>мл</v>
      </c>
      <c r="X161" s="179" t="str">
        <f>IF(B161="",X160,INDEX('Такс. опис.'!$A$5:$BW$50,MATCH(CONCATENATE($C161,"/",$D161,"/",$E161),'Такс. опис.'!$C$5:$C$50,0),26))</f>
        <v>9ОС1Б+ЛП</v>
      </c>
      <c r="Y161" s="179">
        <f>IF(B161="",Y160,INDEX('Такс. опис.'!$A$5:$BW$50,MATCH(CONCATENATE($C161,"/",$D161,"/",$E161),'Такс. опис.'!$C$5:$C$50,0),49))</f>
        <v>55</v>
      </c>
      <c r="Z161" s="179" t="str">
        <f>IF(C161="",Z160,INDEX('Такс. опис.'!$A$5:$BW$50,MATCH(CONCATENATE($C161,"/",$D161,"/",$E161),'Такс. опис.'!$C$5:$C$50,0),47))</f>
        <v>Осина</v>
      </c>
      <c r="AA161" s="179" t="str">
        <f>IF(D161="","",INDEX('Такс. опис.'!$A$5:$BW$50,MATCH('Ведомость расчета мин. платы'!AC161,'Такс. опис.'!$C$5:$C$50,0),31))</f>
        <v/>
      </c>
      <c r="AB161" s="115"/>
      <c r="AC161" s="47" t="str">
        <f t="shared" si="55"/>
        <v>Тимерликовское/16/9/5</v>
      </c>
      <c r="AD161" s="180">
        <f>INDEX(Периметр!$A$3:$Q$158,MATCH(AC161,Периметр!$A$3:$A$158,0),17)</f>
        <v>0.76</v>
      </c>
      <c r="AE161" s="47" t="str">
        <f t="shared" si="54"/>
        <v/>
      </c>
      <c r="AF161" s="115"/>
      <c r="AG161" s="176"/>
      <c r="AH161" s="176"/>
      <c r="AI161" s="176"/>
      <c r="AK161" s="186" t="str">
        <f t="shared" si="59"/>
        <v>//</v>
      </c>
    </row>
    <row r="162" spans="2:38" ht="15.95" customHeight="1" x14ac:dyDescent="0.2">
      <c r="B162" s="179">
        <f>IF(E162="","",COUNTA($E$10:E162))</f>
        <v>41</v>
      </c>
      <c r="C162" s="157" t="s">
        <v>22</v>
      </c>
      <c r="D162" s="113">
        <v>115</v>
      </c>
      <c r="E162" s="113">
        <v>6</v>
      </c>
      <c r="F162" s="113">
        <v>1</v>
      </c>
      <c r="G162" s="157">
        <v>4</v>
      </c>
      <c r="H162" s="113" t="s">
        <v>2086</v>
      </c>
      <c r="I162" s="157" t="s">
        <v>23</v>
      </c>
      <c r="J162" s="182" t="s">
        <v>18</v>
      </c>
      <c r="K162" s="183">
        <v>184.24</v>
      </c>
      <c r="L162" s="183">
        <v>267.27999999999997</v>
      </c>
      <c r="M162" s="183">
        <v>18.5</v>
      </c>
      <c r="N162" s="114">
        <f t="shared" ref="N162:N176" si="67">SUM(K162:M162)</f>
        <v>470.02</v>
      </c>
      <c r="O162" s="183">
        <v>160.72999999999999</v>
      </c>
      <c r="P162" s="183"/>
      <c r="Q162" s="370">
        <f t="shared" ref="Q162:Q176" si="68">SUM(N162:P162)</f>
        <v>630.75</v>
      </c>
      <c r="R162" s="183">
        <v>715.37</v>
      </c>
      <c r="S162" s="121">
        <v>9114.89</v>
      </c>
      <c r="T162" s="116" t="str">
        <f>IF(AE162="",INDEX(Коэффициенты!$B$4:$S$59,MATCH('Ведомость расчета мин. платы'!AC162,Коэффициенты!$O$4:$O$59,0),9),"")</f>
        <v/>
      </c>
      <c r="U162" s="31" t="s">
        <v>2115</v>
      </c>
      <c r="V162" s="184"/>
      <c r="W162" s="179" t="str">
        <f>IF(B162="",#REF!,INDEX('Такс. опис.'!$A$5:$BW$50,MATCH(CONCATENATE($C162,"/",$D162,"/",$E162),'Такс. опис.'!$C$5:$C$50,0),48))</f>
        <v>мл</v>
      </c>
      <c r="X162" s="179" t="str">
        <f>IF(B162="",#REF!,INDEX('Такс. опис.'!$A$5:$BW$50,MATCH(CONCATENATE($C162,"/",$D162,"/",$E162),'Такс. опис.'!$C$5:$C$50,0),26))</f>
        <v>10ОС+Б</v>
      </c>
      <c r="Y162" s="179">
        <f>IF(B162="",#REF!,INDEX('Такс. опис.'!$A$5:$BW$50,MATCH(CONCATENATE($C162,"/",$D162,"/",$E162),'Такс. опис.'!$C$5:$C$50,0),49))</f>
        <v>45</v>
      </c>
      <c r="Z162" s="179" t="str">
        <f>IF(C162="",#REF!,INDEX('Такс. опис.'!$A$5:$BW$50,MATCH(CONCATENATE($C162,"/",$D162,"/",$E162),'Такс. опис.'!$C$5:$C$50,0),47))</f>
        <v>Осина</v>
      </c>
      <c r="AA162" s="179" t="e">
        <f>IF(D162="","",INDEX('Такс. опис.'!$A$5:$BW$50,MATCH('Ведомость расчета мин. платы'!AC162,'Такс. опис.'!$C$5:$C$50,0),31))</f>
        <v>#N/A</v>
      </c>
      <c r="AB162" s="115"/>
      <c r="AC162" s="47" t="str">
        <f>IF(B162="",#REF!,CONCATENATE($C162,"/",$D162,"/",$E162,"/",F162))</f>
        <v>Тимерликовское/115/6/1</v>
      </c>
      <c r="AD162" s="180">
        <f>INDEX(Периметр!$A$3:$Q$158,MATCH(AC162,Периметр!$A$3:$A$158,0),17)</f>
        <v>0.99</v>
      </c>
      <c r="AE162" s="47" t="str">
        <f t="shared" ref="AE162:AE177" si="69">IF(J162="Итого","",CONCATENATE(AC162,"/",J162))</f>
        <v>Тимерликовское/115/6/1/Осина</v>
      </c>
      <c r="AF162" s="115"/>
      <c r="AG162" s="176"/>
      <c r="AH162" s="176"/>
      <c r="AI162" s="176"/>
      <c r="AK162" s="186" t="str">
        <f t="shared" si="59"/>
        <v>Тимерликовское/115/6</v>
      </c>
      <c r="AL162" s="181">
        <v>1</v>
      </c>
    </row>
    <row r="163" spans="2:38" ht="15.95" customHeight="1" x14ac:dyDescent="0.2">
      <c r="B163" s="179" t="str">
        <f>IF(E163="","",COUNTA($E$10:E163))</f>
        <v/>
      </c>
      <c r="C163" s="157"/>
      <c r="D163" s="113"/>
      <c r="E163" s="113"/>
      <c r="F163" s="113"/>
      <c r="G163" s="157"/>
      <c r="H163" s="113"/>
      <c r="I163" s="157"/>
      <c r="J163" s="187" t="s">
        <v>15</v>
      </c>
      <c r="K163" s="114">
        <f>SUM(K162)</f>
        <v>184.24</v>
      </c>
      <c r="L163" s="114">
        <f t="shared" ref="L163:S163" si="70">SUM(L162)</f>
        <v>267.27999999999997</v>
      </c>
      <c r="M163" s="114">
        <f t="shared" si="70"/>
        <v>18.5</v>
      </c>
      <c r="N163" s="114">
        <f t="shared" si="70"/>
        <v>470.02</v>
      </c>
      <c r="O163" s="114">
        <f t="shared" si="70"/>
        <v>160.72999999999999</v>
      </c>
      <c r="P163" s="114"/>
      <c r="Q163" s="370">
        <f t="shared" si="70"/>
        <v>630.75</v>
      </c>
      <c r="R163" s="114">
        <f t="shared" si="70"/>
        <v>715.37</v>
      </c>
      <c r="S163" s="114">
        <f t="shared" si="70"/>
        <v>9114.89</v>
      </c>
      <c r="T163" s="116">
        <f>IF(AE163="",INDEX(Коэффициенты!$B$4:$S$59,MATCH('Ведомость расчета мин. платы'!AC163,Коэффициенты!$O$4:$O$59,0),9),"")</f>
        <v>22969.522799999995</v>
      </c>
      <c r="U163" s="31"/>
      <c r="V163" s="184"/>
      <c r="W163" s="179" t="str">
        <f>IF(B163="",W162,INDEX('Такс. опис.'!$A$5:$BW$50,MATCH(CONCATENATE($C163,"/",$D163,"/",$E163),'Такс. опис.'!$C$5:$C$50,0),48))</f>
        <v>мл</v>
      </c>
      <c r="X163" s="179" t="str">
        <f>IF(B163="",X162,INDEX('Такс. опис.'!$A$5:$BW$50,MATCH(CONCATENATE($C163,"/",$D163,"/",$E163),'Такс. опис.'!$C$5:$C$50,0),26))</f>
        <v>10ОС+Б</v>
      </c>
      <c r="Y163" s="179">
        <f>IF(B163="",Y162,INDEX('Такс. опис.'!$A$5:$BW$50,MATCH(CONCATENATE($C163,"/",$D163,"/",$E163),'Такс. опис.'!$C$5:$C$50,0),49))</f>
        <v>45</v>
      </c>
      <c r="Z163" s="179" t="str">
        <f>IF(C163="",Z162,INDEX('Такс. опис.'!$A$5:$BW$50,MATCH(CONCATENATE($C163,"/",$D163,"/",$E163),'Такс. опис.'!$C$5:$C$50,0),47))</f>
        <v>Осина</v>
      </c>
      <c r="AA163" s="179" t="str">
        <f>IF(D163="","",INDEX('Такс. опис.'!$A$5:$BW$50,MATCH('Ведомость расчета мин. платы'!AC163,'Такс. опис.'!$C$5:$C$50,0),31))</f>
        <v/>
      </c>
      <c r="AB163" s="115"/>
      <c r="AC163" s="47" t="str">
        <f t="shared" ref="AC163:AC177" si="71">IF(B163="",AC162,CONCATENATE($C163,"/",$D163,"/",$E163,"/",F163))</f>
        <v>Тимерликовское/115/6/1</v>
      </c>
      <c r="AD163" s="180">
        <f>INDEX(Периметр!$A$3:$Q$158,MATCH(AC163,Периметр!$A$3:$A$158,0),17)</f>
        <v>0.99</v>
      </c>
      <c r="AE163" s="47" t="str">
        <f t="shared" si="69"/>
        <v/>
      </c>
      <c r="AF163" s="115"/>
      <c r="AG163" s="176"/>
      <c r="AH163" s="176"/>
      <c r="AI163" s="176"/>
      <c r="AK163" s="186" t="str">
        <f t="shared" si="59"/>
        <v>//</v>
      </c>
    </row>
    <row r="164" spans="2:38" ht="15.95" customHeight="1" x14ac:dyDescent="0.2">
      <c r="B164" s="179">
        <f>IF(E164="","",COUNTA($E$10:E164))</f>
        <v>42</v>
      </c>
      <c r="C164" s="157" t="s">
        <v>22</v>
      </c>
      <c r="D164" s="113">
        <v>115</v>
      </c>
      <c r="E164" s="113">
        <v>6</v>
      </c>
      <c r="F164" s="113">
        <v>3</v>
      </c>
      <c r="G164" s="157">
        <v>3.2</v>
      </c>
      <c r="H164" s="113" t="s">
        <v>2086</v>
      </c>
      <c r="I164" s="157" t="s">
        <v>23</v>
      </c>
      <c r="J164" s="182" t="s">
        <v>18</v>
      </c>
      <c r="K164" s="183">
        <v>110.02</v>
      </c>
      <c r="L164" s="183">
        <v>227.58</v>
      </c>
      <c r="M164" s="183">
        <v>16.920000000000002</v>
      </c>
      <c r="N164" s="114">
        <f t="shared" si="67"/>
        <v>354.52000000000004</v>
      </c>
      <c r="O164" s="183">
        <v>141.82</v>
      </c>
      <c r="P164" s="183"/>
      <c r="Q164" s="370">
        <f t="shared" si="68"/>
        <v>496.34000000000003</v>
      </c>
      <c r="R164" s="183">
        <v>566.16</v>
      </c>
      <c r="S164" s="121">
        <v>6704.51</v>
      </c>
      <c r="T164" s="116" t="str">
        <f>IF(AE164="",INDEX(Коэффициенты!$B$4:$S$59,MATCH('Ведомость расчета мин. платы'!AC164,Коэффициенты!$O$4:$O$59,0),9),"")</f>
        <v/>
      </c>
      <c r="U164" s="31" t="s">
        <v>2115</v>
      </c>
      <c r="V164" s="184"/>
      <c r="W164" s="179" t="str">
        <f>IF(B164="",W163,INDEX('Такс. опис.'!$A$5:$BW$50,MATCH(CONCATENATE($C164,"/",$D164,"/",$E164),'Такс. опис.'!$C$5:$C$50,0),48))</f>
        <v>мл</v>
      </c>
      <c r="X164" s="179" t="str">
        <f>IF(B164="",X163,INDEX('Такс. опис.'!$A$5:$BW$50,MATCH(CONCATENATE($C164,"/",$D164,"/",$E164),'Такс. опис.'!$C$5:$C$50,0),26))</f>
        <v>10ОС+Б</v>
      </c>
      <c r="Y164" s="179">
        <f>IF(B164="",Y163,INDEX('Такс. опис.'!$A$5:$BW$50,MATCH(CONCATENATE($C164,"/",$D164,"/",$E164),'Такс. опис.'!$C$5:$C$50,0),49))</f>
        <v>45</v>
      </c>
      <c r="Z164" s="179" t="str">
        <f>IF(C164="",Z163,INDEX('Такс. опис.'!$A$5:$BW$50,MATCH(CONCATENATE($C164,"/",$D164,"/",$E164),'Такс. опис.'!$C$5:$C$50,0),47))</f>
        <v>Осина</v>
      </c>
      <c r="AA164" s="179" t="e">
        <f>IF(D164="","",INDEX('Такс. опис.'!$A$5:$BW$50,MATCH('Ведомость расчета мин. платы'!AC164,'Такс. опис.'!$C$5:$C$50,0),31))</f>
        <v>#N/A</v>
      </c>
      <c r="AB164" s="115"/>
      <c r="AC164" s="47" t="str">
        <f t="shared" si="71"/>
        <v>Тимерликовское/115/6/3</v>
      </c>
      <c r="AD164" s="180">
        <f>INDEX(Периметр!$A$3:$Q$158,MATCH(AC164,Периметр!$A$3:$A$158,0),17)</f>
        <v>0.9</v>
      </c>
      <c r="AE164" s="47" t="str">
        <f t="shared" si="69"/>
        <v>Тимерликовское/115/6/3/Осина</v>
      </c>
      <c r="AF164" s="115"/>
      <c r="AG164" s="176"/>
      <c r="AH164" s="176"/>
      <c r="AI164" s="176"/>
      <c r="AK164" s="186" t="str">
        <f t="shared" si="59"/>
        <v>Тимерликовское/115/6</v>
      </c>
      <c r="AL164" s="181">
        <v>1</v>
      </c>
    </row>
    <row r="165" spans="2:38" ht="15.95" customHeight="1" x14ac:dyDescent="0.2">
      <c r="B165" s="179" t="str">
        <f>IF(E165="","",COUNTA($E$10:E165))</f>
        <v/>
      </c>
      <c r="C165" s="157"/>
      <c r="D165" s="113"/>
      <c r="E165" s="113"/>
      <c r="F165" s="113"/>
      <c r="G165" s="157"/>
      <c r="H165" s="113"/>
      <c r="I165" s="157"/>
      <c r="J165" s="187" t="s">
        <v>15</v>
      </c>
      <c r="K165" s="114">
        <f>SUM(K164)</f>
        <v>110.02</v>
      </c>
      <c r="L165" s="114">
        <f t="shared" ref="L165:S165" si="72">SUM(L164)</f>
        <v>227.58</v>
      </c>
      <c r="M165" s="114">
        <f t="shared" si="72"/>
        <v>16.920000000000002</v>
      </c>
      <c r="N165" s="114">
        <f t="shared" si="72"/>
        <v>354.52000000000004</v>
      </c>
      <c r="O165" s="114">
        <f t="shared" si="72"/>
        <v>141.82</v>
      </c>
      <c r="P165" s="114"/>
      <c r="Q165" s="370">
        <f t="shared" si="72"/>
        <v>496.34000000000003</v>
      </c>
      <c r="R165" s="114">
        <f t="shared" si="72"/>
        <v>566.16</v>
      </c>
      <c r="S165" s="114">
        <f t="shared" si="72"/>
        <v>6704.51</v>
      </c>
      <c r="T165" s="116">
        <f>IF(AE165="",INDEX(Коэффициенты!$B$4:$S$59,MATCH('Ведомость расчета мин. платы'!AC165,Коэффициенты!$O$4:$O$59,0),9),"")</f>
        <v>17766.951500000003</v>
      </c>
      <c r="U165" s="31"/>
      <c r="V165" s="184"/>
      <c r="W165" s="179" t="str">
        <f>IF(B165="",W164,INDEX('Такс. опис.'!$A$5:$BW$50,MATCH(CONCATENATE($C165,"/",$D165,"/",$E165),'Такс. опис.'!$C$5:$C$50,0),48))</f>
        <v>мл</v>
      </c>
      <c r="X165" s="179" t="str">
        <f>IF(B165="",X164,INDEX('Такс. опис.'!$A$5:$BW$50,MATCH(CONCATENATE($C165,"/",$D165,"/",$E165),'Такс. опис.'!$C$5:$C$50,0),26))</f>
        <v>10ОС+Б</v>
      </c>
      <c r="Y165" s="179">
        <f>IF(B165="",Y164,INDEX('Такс. опис.'!$A$5:$BW$50,MATCH(CONCATENATE($C165,"/",$D165,"/",$E165),'Такс. опис.'!$C$5:$C$50,0),49))</f>
        <v>45</v>
      </c>
      <c r="Z165" s="179" t="str">
        <f>IF(C165="",Z164,INDEX('Такс. опис.'!$A$5:$BW$50,MATCH(CONCATENATE($C165,"/",$D165,"/",$E165),'Такс. опис.'!$C$5:$C$50,0),47))</f>
        <v>Осина</v>
      </c>
      <c r="AA165" s="179" t="str">
        <f>IF(D165="","",INDEX('Такс. опис.'!$A$5:$BW$50,MATCH('Ведомость расчета мин. платы'!AC165,'Такс. опис.'!$C$5:$C$50,0),31))</f>
        <v/>
      </c>
      <c r="AB165" s="115"/>
      <c r="AC165" s="47" t="str">
        <f t="shared" si="71"/>
        <v>Тимерликовское/115/6/3</v>
      </c>
      <c r="AD165" s="180">
        <f>INDEX(Периметр!$A$3:$Q$158,MATCH(AC165,Периметр!$A$3:$A$158,0),17)</f>
        <v>0.9</v>
      </c>
      <c r="AE165" s="47" t="str">
        <f t="shared" si="69"/>
        <v/>
      </c>
      <c r="AF165" s="115"/>
      <c r="AG165" s="176"/>
      <c r="AH165" s="176"/>
      <c r="AI165" s="176"/>
      <c r="AK165" s="186" t="str">
        <f t="shared" si="59"/>
        <v>//</v>
      </c>
    </row>
    <row r="166" spans="2:38" ht="15.95" customHeight="1" x14ac:dyDescent="0.2">
      <c r="B166" s="179">
        <f>IF(E166="","",COUNTA($E$10:E166))</f>
        <v>43</v>
      </c>
      <c r="C166" s="157" t="s">
        <v>27</v>
      </c>
      <c r="D166" s="113">
        <v>3</v>
      </c>
      <c r="E166" s="113">
        <v>3</v>
      </c>
      <c r="F166" s="113">
        <v>1</v>
      </c>
      <c r="G166" s="157">
        <v>10</v>
      </c>
      <c r="H166" s="113" t="s">
        <v>2086</v>
      </c>
      <c r="I166" s="157" t="s">
        <v>23</v>
      </c>
      <c r="J166" s="182" t="s">
        <v>19</v>
      </c>
      <c r="K166" s="183">
        <v>29.37</v>
      </c>
      <c r="L166" s="183">
        <v>200.19</v>
      </c>
      <c r="M166" s="183">
        <v>22.7</v>
      </c>
      <c r="N166" s="114">
        <f t="shared" si="67"/>
        <v>252.26</v>
      </c>
      <c r="O166" s="183">
        <v>884.23</v>
      </c>
      <c r="P166" s="183"/>
      <c r="Q166" s="370">
        <f t="shared" si="68"/>
        <v>1136.49</v>
      </c>
      <c r="R166" s="183">
        <v>1293.8</v>
      </c>
      <c r="S166" s="121">
        <v>14360.33</v>
      </c>
      <c r="T166" s="116" t="str">
        <f>IF(AE166="",INDEX(Коэффициенты!$B$4:$S$59,MATCH('Ведомость расчета мин. платы'!AC166,Коэффициенты!$O$4:$O$59,0),9),"")</f>
        <v/>
      </c>
      <c r="U166" s="31" t="s">
        <v>2116</v>
      </c>
      <c r="V166" s="184"/>
      <c r="W166" s="179" t="str">
        <f>IF(B166="",W165,INDEX('Такс. опис.'!$A$5:$BW$50,MATCH(CONCATENATE($C166,"/",$D166,"/",$E166),'Такс. опис.'!$C$5:$C$50,0),48))</f>
        <v>мл</v>
      </c>
      <c r="X166" s="179" t="str">
        <f>IF(B166="",X165,INDEX('Такс. опис.'!$A$5:$BW$50,MATCH(CONCATENATE($C166,"/",$D166,"/",$E166),'Такс. опис.'!$C$5:$C$50,0),26))</f>
        <v>7ЛП3ОС+Б</v>
      </c>
      <c r="Y166" s="179">
        <f>IF(B166="",Y165,INDEX('Такс. опис.'!$A$5:$BW$50,MATCH(CONCATENATE($C166,"/",$D166,"/",$E166),'Такс. опис.'!$C$5:$C$50,0),49))</f>
        <v>75</v>
      </c>
      <c r="Z166" s="179" t="str">
        <f>IF(C166="",Z165,INDEX('Такс. опис.'!$A$5:$BW$50,MATCH(CONCATENATE($C166,"/",$D166,"/",$E166),'Такс. опис.'!$C$5:$C$50,0),47))</f>
        <v>Липа</v>
      </c>
      <c r="AA166" s="179" t="e">
        <f>IF(D166="","",INDEX('Такс. опис.'!$A$5:$BW$50,MATCH('Ведомость расчета мин. платы'!AC166,'Такс. опис.'!$C$5:$C$50,0),31))</f>
        <v>#N/A</v>
      </c>
      <c r="AB166" s="115"/>
      <c r="AC166" s="47" t="str">
        <f t="shared" si="71"/>
        <v>Тумбинское/3/3/1</v>
      </c>
      <c r="AD166" s="180">
        <f>INDEX(Периметр!$A$3:$Q$158,MATCH(AC166,Периметр!$A$3:$A$158,0),17)</f>
        <v>2.2000000000000002</v>
      </c>
      <c r="AE166" s="47" t="str">
        <f t="shared" si="69"/>
        <v>Тумбинское/3/3/1/Липа</v>
      </c>
      <c r="AF166" s="115"/>
      <c r="AG166" s="176"/>
      <c r="AH166" s="176"/>
      <c r="AI166" s="176"/>
      <c r="AK166" s="186" t="str">
        <f t="shared" si="59"/>
        <v>Тумбинское/3/3</v>
      </c>
      <c r="AL166" s="181">
        <v>1</v>
      </c>
    </row>
    <row r="167" spans="2:38" ht="15.95" customHeight="1" x14ac:dyDescent="0.2">
      <c r="B167" s="179" t="str">
        <f>IF(E167="","",COUNTA($E$10:E167))</f>
        <v/>
      </c>
      <c r="C167" s="157"/>
      <c r="D167" s="113" t="s">
        <v>166</v>
      </c>
      <c r="E167" s="113"/>
      <c r="F167" s="113" t="s">
        <v>166</v>
      </c>
      <c r="G167" s="157" t="s">
        <v>166</v>
      </c>
      <c r="H167" s="113"/>
      <c r="I167" s="157"/>
      <c r="J167" s="182" t="s">
        <v>18</v>
      </c>
      <c r="K167" s="183">
        <v>114.6</v>
      </c>
      <c r="L167" s="183">
        <v>98.6</v>
      </c>
      <c r="M167" s="183"/>
      <c r="N167" s="114">
        <f t="shared" si="67"/>
        <v>213.2</v>
      </c>
      <c r="O167" s="183">
        <v>257.8</v>
      </c>
      <c r="P167" s="183"/>
      <c r="Q167" s="370">
        <f t="shared" si="68"/>
        <v>471</v>
      </c>
      <c r="R167" s="183">
        <v>561.70000000000005</v>
      </c>
      <c r="S167" s="121">
        <v>4479.8900000000003</v>
      </c>
      <c r="T167" s="116" t="str">
        <f>IF(AE167="",INDEX(Коэффициенты!$B$4:$S$59,MATCH('Ведомость расчета мин. платы'!AC167,Коэффициенты!$O$4:$O$59,0),9),"")</f>
        <v/>
      </c>
      <c r="U167" s="31"/>
      <c r="V167" s="184"/>
      <c r="W167" s="179" t="str">
        <f>IF(B167="",W166,INDEX('Такс. опис.'!$A$5:$BW$50,MATCH(CONCATENATE($C167,"/",$D167,"/",$E167),'Такс. опис.'!$C$5:$C$50,0),48))</f>
        <v>мл</v>
      </c>
      <c r="X167" s="179" t="str">
        <f>IF(B167="",X166,INDEX('Такс. опис.'!$A$5:$BW$50,MATCH(CONCATENATE($C167,"/",$D167,"/",$E167),'Такс. опис.'!$C$5:$C$50,0),26))</f>
        <v>7ЛП3ОС+Б</v>
      </c>
      <c r="Y167" s="179">
        <f>IF(B167="",Y166,INDEX('Такс. опис.'!$A$5:$BW$50,MATCH(CONCATENATE($C167,"/",$D167,"/",$E167),'Такс. опис.'!$C$5:$C$50,0),49))</f>
        <v>75</v>
      </c>
      <c r="Z167" s="179" t="str">
        <f>IF(C167="",Z166,INDEX('Такс. опис.'!$A$5:$BW$50,MATCH(CONCATENATE($C167,"/",$D167,"/",$E167),'Такс. опис.'!$C$5:$C$50,0),47))</f>
        <v>Липа</v>
      </c>
      <c r="AA167" s="179" t="str">
        <f>IF(D167="","",INDEX('Такс. опис.'!$A$5:$BW$50,MATCH('Ведомость расчета мин. платы'!AC167,'Такс. опис.'!$C$5:$C$50,0),31))</f>
        <v/>
      </c>
      <c r="AB167" s="115"/>
      <c r="AC167" s="47" t="str">
        <f t="shared" si="71"/>
        <v>Тумбинское/3/3/1</v>
      </c>
      <c r="AD167" s="180">
        <f>INDEX(Периметр!$A$3:$Q$158,MATCH(AC167,Периметр!$A$3:$A$158,0),17)</f>
        <v>2.2000000000000002</v>
      </c>
      <c r="AE167" s="47" t="str">
        <f t="shared" si="69"/>
        <v>Тумбинское/3/3/1/Осина</v>
      </c>
      <c r="AF167" s="115"/>
      <c r="AG167" s="176"/>
      <c r="AH167" s="176"/>
      <c r="AI167" s="176"/>
      <c r="AK167" s="186" t="str">
        <f t="shared" si="59"/>
        <v>//</v>
      </c>
    </row>
    <row r="168" spans="2:38" ht="15.95" customHeight="1" x14ac:dyDescent="0.2">
      <c r="B168" s="179" t="str">
        <f>IF(E168="","",COUNTA($E$10:E168))</f>
        <v/>
      </c>
      <c r="C168" s="157"/>
      <c r="D168" s="113"/>
      <c r="E168" s="113"/>
      <c r="F168" s="113"/>
      <c r="G168" s="157"/>
      <c r="H168" s="113"/>
      <c r="I168" s="157"/>
      <c r="J168" s="187" t="s">
        <v>15</v>
      </c>
      <c r="K168" s="114">
        <f>SUM(K166:K167)</f>
        <v>143.97</v>
      </c>
      <c r="L168" s="114">
        <f t="shared" ref="L168:S168" si="73">SUM(L166:L167)</f>
        <v>298.78999999999996</v>
      </c>
      <c r="M168" s="114">
        <f t="shared" si="73"/>
        <v>22.7</v>
      </c>
      <c r="N168" s="114">
        <f t="shared" si="73"/>
        <v>465.46</v>
      </c>
      <c r="O168" s="114">
        <f t="shared" si="73"/>
        <v>1142.03</v>
      </c>
      <c r="P168" s="114"/>
      <c r="Q168" s="370">
        <f t="shared" si="73"/>
        <v>1607.49</v>
      </c>
      <c r="R168" s="114">
        <f t="shared" si="73"/>
        <v>1855.5</v>
      </c>
      <c r="S168" s="114">
        <f t="shared" si="73"/>
        <v>18840.22</v>
      </c>
      <c r="T168" s="116">
        <f>IF(AE168="",INDEX(Коэффициенты!$B$4:$S$59,MATCH('Ведомость расчета мин. платы'!AC168,Коэффициенты!$O$4:$O$59,0),9),"")</f>
        <v>53317.822600000007</v>
      </c>
      <c r="U168" s="31"/>
      <c r="V168" s="184"/>
      <c r="W168" s="179" t="str">
        <f>IF(B168="",W167,INDEX('Такс. опис.'!$A$5:$BW$50,MATCH(CONCATENATE($C168,"/",$D168,"/",$E168),'Такс. опис.'!$C$5:$C$50,0),48))</f>
        <v>мл</v>
      </c>
      <c r="X168" s="179" t="str">
        <f>IF(B168="",X167,INDEX('Такс. опис.'!$A$5:$BW$50,MATCH(CONCATENATE($C168,"/",$D168,"/",$E168),'Такс. опис.'!$C$5:$C$50,0),26))</f>
        <v>7ЛП3ОС+Б</v>
      </c>
      <c r="Y168" s="179">
        <f>IF(B168="",Y167,INDEX('Такс. опис.'!$A$5:$BW$50,MATCH(CONCATENATE($C168,"/",$D168,"/",$E168),'Такс. опис.'!$C$5:$C$50,0),49))</f>
        <v>75</v>
      </c>
      <c r="Z168" s="179" t="str">
        <f>IF(C168="",Z167,INDEX('Такс. опис.'!$A$5:$BW$50,MATCH(CONCATENATE($C168,"/",$D168,"/",$E168),'Такс. опис.'!$C$5:$C$50,0),47))</f>
        <v>Липа</v>
      </c>
      <c r="AA168" s="179" t="str">
        <f>IF(D168="","",INDEX('Такс. опис.'!$A$5:$BW$50,MATCH('Ведомость расчета мин. платы'!AC168,'Такс. опис.'!$C$5:$C$50,0),31))</f>
        <v/>
      </c>
      <c r="AB168" s="115"/>
      <c r="AC168" s="47" t="str">
        <f t="shared" si="71"/>
        <v>Тумбинское/3/3/1</v>
      </c>
      <c r="AD168" s="180">
        <f>INDEX(Периметр!$A$3:$Q$158,MATCH(AC168,Периметр!$A$3:$A$158,0),17)</f>
        <v>2.2000000000000002</v>
      </c>
      <c r="AE168" s="47" t="str">
        <f t="shared" si="69"/>
        <v/>
      </c>
      <c r="AF168" s="115"/>
      <c r="AG168" s="176"/>
      <c r="AH168" s="176"/>
      <c r="AI168" s="176"/>
      <c r="AK168" s="186" t="str">
        <f t="shared" si="59"/>
        <v>//</v>
      </c>
    </row>
    <row r="169" spans="2:38" ht="15.95" customHeight="1" x14ac:dyDescent="0.2">
      <c r="B169" s="179">
        <f>IF(E169="","",COUNTA($E$10:E169))</f>
        <v>44</v>
      </c>
      <c r="C169" s="157" t="s">
        <v>27</v>
      </c>
      <c r="D169" s="113">
        <v>4</v>
      </c>
      <c r="E169" s="113">
        <v>1</v>
      </c>
      <c r="F169" s="113">
        <v>1</v>
      </c>
      <c r="G169" s="157">
        <v>10</v>
      </c>
      <c r="H169" s="113" t="s">
        <v>2086</v>
      </c>
      <c r="I169" s="157" t="s">
        <v>23</v>
      </c>
      <c r="J169" s="182" t="s">
        <v>19</v>
      </c>
      <c r="K169" s="183">
        <v>44.66</v>
      </c>
      <c r="L169" s="183">
        <v>235.73</v>
      </c>
      <c r="M169" s="183">
        <v>27.43</v>
      </c>
      <c r="N169" s="114">
        <f t="shared" si="67"/>
        <v>307.82</v>
      </c>
      <c r="O169" s="183">
        <v>809.53</v>
      </c>
      <c r="P169" s="183"/>
      <c r="Q169" s="370">
        <f t="shared" si="68"/>
        <v>1117.3499999999999</v>
      </c>
      <c r="R169" s="183">
        <v>1470.9</v>
      </c>
      <c r="S169" s="121">
        <v>16490.599999999999</v>
      </c>
      <c r="T169" s="116" t="str">
        <f>IF(AE169="",INDEX(Коэффициенты!$B$4:$S$59,MATCH('Ведомость расчета мин. платы'!AC169,Коэффициенты!$O$4:$O$59,0),9),"")</f>
        <v/>
      </c>
      <c r="U169" s="31" t="s">
        <v>2117</v>
      </c>
      <c r="V169" s="184"/>
      <c r="W169" s="179" t="str">
        <f>IF(B169="",W168,INDEX('Такс. опис.'!$A$5:$BW$50,MATCH(CONCATENATE($C169,"/",$D169,"/",$E169),'Такс. опис.'!$C$5:$C$50,0),48))</f>
        <v>мл</v>
      </c>
      <c r="X169" s="179" t="str">
        <f>IF(B169="",X168,INDEX('Такс. опис.'!$A$5:$BW$50,MATCH(CONCATENATE($C169,"/",$D169,"/",$E169),'Такс. опис.'!$C$5:$C$50,0),26))</f>
        <v>8ЛП2ОС+Б</v>
      </c>
      <c r="Y169" s="179">
        <f>IF(B169="",Y168,INDEX('Такс. опис.'!$A$5:$BW$50,MATCH(CONCATENATE($C169,"/",$D169,"/",$E169),'Такс. опис.'!$C$5:$C$50,0),49))</f>
        <v>75</v>
      </c>
      <c r="Z169" s="179" t="str">
        <f>IF(C169="",Z168,INDEX('Такс. опис.'!$A$5:$BW$50,MATCH(CONCATENATE($C169,"/",$D169,"/",$E169),'Такс. опис.'!$C$5:$C$50,0),47))</f>
        <v>Липа</v>
      </c>
      <c r="AA169" s="179" t="e">
        <f>IF(D169="","",INDEX('Такс. опис.'!$A$5:$BW$50,MATCH('Ведомость расчета мин. платы'!AC169,'Такс. опис.'!$C$5:$C$50,0),31))</f>
        <v>#N/A</v>
      </c>
      <c r="AB169" s="115"/>
      <c r="AC169" s="47" t="str">
        <f t="shared" si="71"/>
        <v>Тумбинское/4/1/1</v>
      </c>
      <c r="AD169" s="180">
        <f>INDEX(Периметр!$A$3:$Q$158,MATCH(AC169,Периметр!$A$3:$A$158,0),17)</f>
        <v>2.2000000000000002</v>
      </c>
      <c r="AE169" s="47" t="str">
        <f t="shared" si="69"/>
        <v>Тумбинское/4/1/1/Липа</v>
      </c>
      <c r="AF169" s="115"/>
      <c r="AG169" s="176"/>
      <c r="AH169" s="176"/>
      <c r="AI169" s="176"/>
      <c r="AK169" s="186" t="str">
        <f t="shared" si="59"/>
        <v>Тумбинское/4/1</v>
      </c>
      <c r="AL169" s="181">
        <v>1</v>
      </c>
    </row>
    <row r="170" spans="2:38" ht="15.95" customHeight="1" x14ac:dyDescent="0.2">
      <c r="B170" s="179" t="str">
        <f>IF(E170="","",COUNTA($E$10:E170))</f>
        <v/>
      </c>
      <c r="C170" s="157"/>
      <c r="D170" s="113" t="s">
        <v>166</v>
      </c>
      <c r="E170" s="113"/>
      <c r="F170" s="113" t="s">
        <v>166</v>
      </c>
      <c r="G170" s="157" t="s">
        <v>166</v>
      </c>
      <c r="H170" s="113"/>
      <c r="I170" s="157"/>
      <c r="J170" s="182" t="s">
        <v>18</v>
      </c>
      <c r="K170" s="183">
        <v>83.9</v>
      </c>
      <c r="L170" s="183">
        <v>64.900000000000006</v>
      </c>
      <c r="M170" s="183"/>
      <c r="N170" s="114">
        <f t="shared" si="67"/>
        <v>148.80000000000001</v>
      </c>
      <c r="O170" s="183">
        <v>162.1</v>
      </c>
      <c r="P170" s="183"/>
      <c r="Q170" s="370">
        <f t="shared" si="68"/>
        <v>310.89999999999998</v>
      </c>
      <c r="R170" s="183">
        <v>369.3</v>
      </c>
      <c r="S170" s="121">
        <v>2987.56</v>
      </c>
      <c r="T170" s="116" t="str">
        <f>IF(AE170="",INDEX(Коэффициенты!$B$4:$S$59,MATCH('Ведомость расчета мин. платы'!AC170,Коэффициенты!$O$4:$O$59,0),9),"")</f>
        <v/>
      </c>
      <c r="U170" s="31"/>
      <c r="V170" s="184"/>
      <c r="W170" s="179" t="str">
        <f>IF(B170="",W169,INDEX('Такс. опис.'!$A$5:$BW$50,MATCH(CONCATENATE($C170,"/",$D170,"/",$E170),'Такс. опис.'!$C$5:$C$50,0),48))</f>
        <v>мл</v>
      </c>
      <c r="X170" s="179" t="str">
        <f>IF(B170="",X169,INDEX('Такс. опис.'!$A$5:$BW$50,MATCH(CONCATENATE($C170,"/",$D170,"/",$E170),'Такс. опис.'!$C$5:$C$50,0),26))</f>
        <v>8ЛП2ОС+Б</v>
      </c>
      <c r="Y170" s="179">
        <f>IF(B170="",Y169,INDEX('Такс. опис.'!$A$5:$BW$50,MATCH(CONCATENATE($C170,"/",$D170,"/",$E170),'Такс. опис.'!$C$5:$C$50,0),49))</f>
        <v>75</v>
      </c>
      <c r="Z170" s="179" t="str">
        <f>IF(C170="",Z169,INDEX('Такс. опис.'!$A$5:$BW$50,MATCH(CONCATENATE($C170,"/",$D170,"/",$E170),'Такс. опис.'!$C$5:$C$50,0),47))</f>
        <v>Липа</v>
      </c>
      <c r="AA170" s="179" t="str">
        <f>IF(D170="","",INDEX('Такс. опис.'!$A$5:$BW$50,MATCH('Ведомость расчета мин. платы'!AC170,'Такс. опис.'!$C$5:$C$50,0),31))</f>
        <v/>
      </c>
      <c r="AB170" s="115"/>
      <c r="AC170" s="47" t="str">
        <f t="shared" si="71"/>
        <v>Тумбинское/4/1/1</v>
      </c>
      <c r="AD170" s="180">
        <f>INDEX(Периметр!$A$3:$Q$158,MATCH(AC170,Периметр!$A$3:$A$158,0),17)</f>
        <v>2.2000000000000002</v>
      </c>
      <c r="AE170" s="47" t="str">
        <f t="shared" si="69"/>
        <v>Тумбинское/4/1/1/Осина</v>
      </c>
      <c r="AF170" s="115"/>
      <c r="AG170" s="176"/>
      <c r="AH170" s="176"/>
      <c r="AI170" s="176"/>
      <c r="AK170" s="186" t="str">
        <f t="shared" si="59"/>
        <v>//</v>
      </c>
    </row>
    <row r="171" spans="2:38" ht="15.95" customHeight="1" x14ac:dyDescent="0.2">
      <c r="B171" s="179" t="str">
        <f>IF(E171="","",COUNTA($E$10:E171))</f>
        <v/>
      </c>
      <c r="C171" s="157"/>
      <c r="D171" s="113"/>
      <c r="E171" s="113"/>
      <c r="F171" s="113"/>
      <c r="G171" s="157"/>
      <c r="H171" s="113"/>
      <c r="I171" s="157"/>
      <c r="J171" s="187" t="s">
        <v>15</v>
      </c>
      <c r="K171" s="114">
        <f>SUM(K169:K170)</f>
        <v>128.56</v>
      </c>
      <c r="L171" s="114">
        <f t="shared" ref="L171:S171" si="74">SUM(L169:L170)</f>
        <v>300.63</v>
      </c>
      <c r="M171" s="114">
        <f t="shared" si="74"/>
        <v>27.43</v>
      </c>
      <c r="N171" s="114">
        <f t="shared" si="74"/>
        <v>456.62</v>
      </c>
      <c r="O171" s="114">
        <f t="shared" si="74"/>
        <v>971.63</v>
      </c>
      <c r="P171" s="114"/>
      <c r="Q171" s="370">
        <f t="shared" si="74"/>
        <v>1428.25</v>
      </c>
      <c r="R171" s="114">
        <f t="shared" si="74"/>
        <v>1840.2</v>
      </c>
      <c r="S171" s="114">
        <f t="shared" si="74"/>
        <v>19478.16</v>
      </c>
      <c r="T171" s="116">
        <f>IF(AE171="",INDEX(Коэффициенты!$B$4:$S$59,MATCH('Ведомость расчета мин. платы'!AC171,Коэффициенты!$O$4:$O$59,0),9),"")</f>
        <v>53759.721599999997</v>
      </c>
      <c r="U171" s="31"/>
      <c r="V171" s="184"/>
      <c r="W171" s="179" t="str">
        <f>IF(B171="",W170,INDEX('Такс. опис.'!$A$5:$BW$50,MATCH(CONCATENATE($C171,"/",$D171,"/",$E171),'Такс. опис.'!$C$5:$C$50,0),48))</f>
        <v>мл</v>
      </c>
      <c r="X171" s="179" t="str">
        <f>IF(B171="",X170,INDEX('Такс. опис.'!$A$5:$BW$50,MATCH(CONCATENATE($C171,"/",$D171,"/",$E171),'Такс. опис.'!$C$5:$C$50,0),26))</f>
        <v>8ЛП2ОС+Б</v>
      </c>
      <c r="Y171" s="179">
        <f>IF(B171="",Y170,INDEX('Такс. опис.'!$A$5:$BW$50,MATCH(CONCATENATE($C171,"/",$D171,"/",$E171),'Такс. опис.'!$C$5:$C$50,0),49))</f>
        <v>75</v>
      </c>
      <c r="Z171" s="179" t="str">
        <f>IF(C171="",Z170,INDEX('Такс. опис.'!$A$5:$BW$50,MATCH(CONCATENATE($C171,"/",$D171,"/",$E171),'Такс. опис.'!$C$5:$C$50,0),47))</f>
        <v>Липа</v>
      </c>
      <c r="AA171" s="179" t="str">
        <f>IF(D171="","",INDEX('Такс. опис.'!$A$5:$BW$50,MATCH('Ведомость расчета мин. платы'!AC171,'Такс. опис.'!$C$5:$C$50,0),31))</f>
        <v/>
      </c>
      <c r="AB171" s="115"/>
      <c r="AC171" s="47" t="str">
        <f t="shared" si="71"/>
        <v>Тумбинское/4/1/1</v>
      </c>
      <c r="AD171" s="180">
        <f>INDEX(Периметр!$A$3:$Q$158,MATCH(AC171,Периметр!$A$3:$A$158,0),17)</f>
        <v>2.2000000000000002</v>
      </c>
      <c r="AE171" s="47" t="str">
        <f t="shared" si="69"/>
        <v/>
      </c>
      <c r="AF171" s="115"/>
      <c r="AG171" s="176"/>
      <c r="AH171" s="176"/>
      <c r="AI171" s="176"/>
      <c r="AK171" s="186" t="str">
        <f t="shared" si="59"/>
        <v>//</v>
      </c>
    </row>
    <row r="172" spans="2:38" ht="15.95" customHeight="1" x14ac:dyDescent="0.2">
      <c r="B172" s="179">
        <f>IF(E172="","",COUNTA($E$10:E172))</f>
        <v>45</v>
      </c>
      <c r="C172" s="157" t="s">
        <v>27</v>
      </c>
      <c r="D172" s="113">
        <v>4</v>
      </c>
      <c r="E172" s="113">
        <v>1</v>
      </c>
      <c r="F172" s="113">
        <v>2</v>
      </c>
      <c r="G172" s="157">
        <v>10</v>
      </c>
      <c r="H172" s="113" t="s">
        <v>2086</v>
      </c>
      <c r="I172" s="157" t="s">
        <v>23</v>
      </c>
      <c r="J172" s="182" t="s">
        <v>19</v>
      </c>
      <c r="K172" s="183">
        <v>31.88</v>
      </c>
      <c r="L172" s="183">
        <v>177.17</v>
      </c>
      <c r="M172" s="183">
        <v>21.72</v>
      </c>
      <c r="N172" s="114">
        <f t="shared" si="67"/>
        <v>230.76999999999998</v>
      </c>
      <c r="O172" s="183">
        <v>875.87</v>
      </c>
      <c r="P172" s="183"/>
      <c r="Q172" s="370">
        <f t="shared" si="68"/>
        <v>1106.6399999999999</v>
      </c>
      <c r="R172" s="183">
        <v>1411.1</v>
      </c>
      <c r="S172" s="121">
        <v>12671.11</v>
      </c>
      <c r="T172" s="116" t="str">
        <f>IF(AE172="",INDEX(Коэффициенты!$B$4:$S$59,MATCH('Ведомость расчета мин. платы'!AC172,Коэффициенты!$O$4:$O$59,0),9),"")</f>
        <v/>
      </c>
      <c r="U172" s="31" t="s">
        <v>2117</v>
      </c>
      <c r="V172" s="184"/>
      <c r="W172" s="179" t="str">
        <f>IF(B172="",W171,INDEX('Такс. опис.'!$A$5:$BW$50,MATCH(CONCATENATE($C172,"/",$D172,"/",$E172),'Такс. опис.'!$C$5:$C$50,0),48))</f>
        <v>мл</v>
      </c>
      <c r="X172" s="179" t="str">
        <f>IF(B172="",X171,INDEX('Такс. опис.'!$A$5:$BW$50,MATCH(CONCATENATE($C172,"/",$D172,"/",$E172),'Такс. опис.'!$C$5:$C$50,0),26))</f>
        <v>8ЛП2ОС+Б</v>
      </c>
      <c r="Y172" s="179">
        <f>IF(B172="",Y171,INDEX('Такс. опис.'!$A$5:$BW$50,MATCH(CONCATENATE($C172,"/",$D172,"/",$E172),'Такс. опис.'!$C$5:$C$50,0),49))</f>
        <v>75</v>
      </c>
      <c r="Z172" s="179" t="str">
        <f>IF(C172="",Z171,INDEX('Такс. опис.'!$A$5:$BW$50,MATCH(CONCATENATE($C172,"/",$D172,"/",$E172),'Такс. опис.'!$C$5:$C$50,0),47))</f>
        <v>Липа</v>
      </c>
      <c r="AA172" s="179" t="e">
        <f>IF(D172="","",INDEX('Такс. опис.'!$A$5:$BW$50,MATCH('Ведомость расчета мин. платы'!AC172,'Такс. опис.'!$C$5:$C$50,0),31))</f>
        <v>#N/A</v>
      </c>
      <c r="AB172" s="115"/>
      <c r="AC172" s="47" t="str">
        <f t="shared" si="71"/>
        <v>Тумбинское/4/1/2</v>
      </c>
      <c r="AD172" s="180">
        <f>INDEX(Периметр!$A$3:$Q$158,MATCH(AC172,Периметр!$A$3:$A$158,0),17)</f>
        <v>2.2000000000000002</v>
      </c>
      <c r="AE172" s="47" t="str">
        <f t="shared" si="69"/>
        <v>Тумбинское/4/1/2/Липа</v>
      </c>
      <c r="AF172" s="115"/>
      <c r="AG172" s="176"/>
      <c r="AH172" s="176"/>
      <c r="AI172" s="176"/>
      <c r="AK172" s="186" t="str">
        <f t="shared" si="59"/>
        <v>Тумбинское/4/1</v>
      </c>
      <c r="AL172" s="181">
        <v>1</v>
      </c>
    </row>
    <row r="173" spans="2:38" ht="15.95" customHeight="1" x14ac:dyDescent="0.2">
      <c r="B173" s="179" t="str">
        <f>IF(E173="","",COUNTA($E$10:E173))</f>
        <v/>
      </c>
      <c r="C173" s="157"/>
      <c r="D173" s="113" t="s">
        <v>166</v>
      </c>
      <c r="E173" s="113"/>
      <c r="F173" s="113" t="s">
        <v>166</v>
      </c>
      <c r="G173" s="157" t="s">
        <v>166</v>
      </c>
      <c r="H173" s="113"/>
      <c r="I173" s="157"/>
      <c r="J173" s="182" t="s">
        <v>18</v>
      </c>
      <c r="K173" s="183">
        <v>87.1</v>
      </c>
      <c r="L173" s="183">
        <v>62.4</v>
      </c>
      <c r="M173" s="183"/>
      <c r="N173" s="114">
        <f t="shared" si="67"/>
        <v>149.5</v>
      </c>
      <c r="O173" s="183">
        <v>161.9</v>
      </c>
      <c r="P173" s="183"/>
      <c r="Q173" s="370">
        <f t="shared" si="68"/>
        <v>311.39999999999998</v>
      </c>
      <c r="R173" s="183">
        <v>370.1</v>
      </c>
      <c r="S173" s="121">
        <v>3015.56</v>
      </c>
      <c r="T173" s="116" t="str">
        <f>IF(AE173="",INDEX(Коэффициенты!$B$4:$S$59,MATCH('Ведомость расчета мин. платы'!AC173,Коэффициенты!$O$4:$O$59,0),9),"")</f>
        <v/>
      </c>
      <c r="U173" s="31"/>
      <c r="V173" s="184"/>
      <c r="W173" s="179" t="str">
        <f>IF(B173="",W172,INDEX('Такс. опис.'!$A$5:$BW$50,MATCH(CONCATENATE($C173,"/",$D173,"/",$E173),'Такс. опис.'!$C$5:$C$50,0),48))</f>
        <v>мл</v>
      </c>
      <c r="X173" s="179" t="str">
        <f>IF(B173="",X172,INDEX('Такс. опис.'!$A$5:$BW$50,MATCH(CONCATENATE($C173,"/",$D173,"/",$E173),'Такс. опис.'!$C$5:$C$50,0),26))</f>
        <v>8ЛП2ОС+Б</v>
      </c>
      <c r="Y173" s="179">
        <f>IF(B173="",Y172,INDEX('Такс. опис.'!$A$5:$BW$50,MATCH(CONCATENATE($C173,"/",$D173,"/",$E173),'Такс. опис.'!$C$5:$C$50,0),49))</f>
        <v>75</v>
      </c>
      <c r="Z173" s="179" t="str">
        <f>IF(C173="",Z172,INDEX('Такс. опис.'!$A$5:$BW$50,MATCH(CONCATENATE($C173,"/",$D173,"/",$E173),'Такс. опис.'!$C$5:$C$50,0),47))</f>
        <v>Липа</v>
      </c>
      <c r="AA173" s="179" t="str">
        <f>IF(D173="","",INDEX('Такс. опис.'!$A$5:$BW$50,MATCH('Ведомость расчета мин. платы'!AC173,'Такс. опис.'!$C$5:$C$50,0),31))</f>
        <v/>
      </c>
      <c r="AB173" s="115"/>
      <c r="AC173" s="47" t="str">
        <f t="shared" si="71"/>
        <v>Тумбинское/4/1/2</v>
      </c>
      <c r="AD173" s="180">
        <f>INDEX(Периметр!$A$3:$Q$158,MATCH(AC173,Периметр!$A$3:$A$158,0),17)</f>
        <v>2.2000000000000002</v>
      </c>
      <c r="AE173" s="47" t="str">
        <f t="shared" si="69"/>
        <v>Тумбинское/4/1/2/Осина</v>
      </c>
      <c r="AF173" s="115"/>
      <c r="AG173" s="176"/>
      <c r="AH173" s="176"/>
      <c r="AI173" s="176"/>
      <c r="AK173" s="186" t="str">
        <f t="shared" si="59"/>
        <v>//</v>
      </c>
    </row>
    <row r="174" spans="2:38" ht="15.95" customHeight="1" x14ac:dyDescent="0.2">
      <c r="B174" s="179" t="str">
        <f>IF(E174="","",COUNTA($E$10:E174))</f>
        <v/>
      </c>
      <c r="C174" s="157"/>
      <c r="D174" s="113"/>
      <c r="E174" s="113"/>
      <c r="F174" s="113"/>
      <c r="G174" s="157"/>
      <c r="H174" s="113"/>
      <c r="I174" s="157"/>
      <c r="J174" s="187" t="s">
        <v>15</v>
      </c>
      <c r="K174" s="114">
        <f>SUM(K172:K173)</f>
        <v>118.97999999999999</v>
      </c>
      <c r="L174" s="114">
        <f t="shared" ref="L174:S174" si="75">SUM(L172:L173)</f>
        <v>239.57</v>
      </c>
      <c r="M174" s="114">
        <f t="shared" si="75"/>
        <v>21.72</v>
      </c>
      <c r="N174" s="114">
        <f t="shared" si="75"/>
        <v>380.27</v>
      </c>
      <c r="O174" s="114">
        <f t="shared" si="75"/>
        <v>1037.77</v>
      </c>
      <c r="P174" s="114"/>
      <c r="Q174" s="370">
        <f t="shared" si="75"/>
        <v>1418.04</v>
      </c>
      <c r="R174" s="114">
        <f t="shared" si="75"/>
        <v>1781.1999999999998</v>
      </c>
      <c r="S174" s="114">
        <f t="shared" si="75"/>
        <v>15686.67</v>
      </c>
      <c r="T174" s="116">
        <f>IF(AE174="",INDEX(Коэффициенты!$B$4:$S$59,MATCH('Ведомость расчета мин. платы'!AC174,Коэффициенты!$O$4:$O$59,0),9),"")</f>
        <v>50040.477299999991</v>
      </c>
      <c r="U174" s="31"/>
      <c r="V174" s="184"/>
      <c r="W174" s="179" t="str">
        <f>IF(B174="",W173,INDEX('Такс. опис.'!$A$5:$BW$50,MATCH(CONCATENATE($C174,"/",$D174,"/",$E174),'Такс. опис.'!$C$5:$C$50,0),48))</f>
        <v>мл</v>
      </c>
      <c r="X174" s="179" t="str">
        <f>IF(B174="",X173,INDEX('Такс. опис.'!$A$5:$BW$50,MATCH(CONCATENATE($C174,"/",$D174,"/",$E174),'Такс. опис.'!$C$5:$C$50,0),26))</f>
        <v>8ЛП2ОС+Б</v>
      </c>
      <c r="Y174" s="179">
        <f>IF(B174="",Y173,INDEX('Такс. опис.'!$A$5:$BW$50,MATCH(CONCATENATE($C174,"/",$D174,"/",$E174),'Такс. опис.'!$C$5:$C$50,0),49))</f>
        <v>75</v>
      </c>
      <c r="Z174" s="179" t="str">
        <f>IF(C174="",Z173,INDEX('Такс. опис.'!$A$5:$BW$50,MATCH(CONCATENATE($C174,"/",$D174,"/",$E174),'Такс. опис.'!$C$5:$C$50,0),47))</f>
        <v>Липа</v>
      </c>
      <c r="AA174" s="179" t="str">
        <f>IF(D174="","",INDEX('Такс. опис.'!$A$5:$BW$50,MATCH('Ведомость расчета мин. платы'!AC174,'Такс. опис.'!$C$5:$C$50,0),31))</f>
        <v/>
      </c>
      <c r="AB174" s="115"/>
      <c r="AC174" s="47" t="str">
        <f t="shared" si="71"/>
        <v>Тумбинское/4/1/2</v>
      </c>
      <c r="AD174" s="180">
        <f>INDEX(Периметр!$A$3:$Q$158,MATCH(AC174,Периметр!$A$3:$A$158,0),17)</f>
        <v>2.2000000000000002</v>
      </c>
      <c r="AE174" s="47" t="str">
        <f t="shared" si="69"/>
        <v/>
      </c>
      <c r="AF174" s="115"/>
      <c r="AG174" s="176"/>
      <c r="AH174" s="176"/>
      <c r="AI174" s="176"/>
      <c r="AK174" s="186" t="str">
        <f t="shared" si="59"/>
        <v>//</v>
      </c>
    </row>
    <row r="175" spans="2:38" ht="15.95" customHeight="1" x14ac:dyDescent="0.2">
      <c r="B175" s="179">
        <f>IF(E175="","",COUNTA($E$10:E175))</f>
        <v>46</v>
      </c>
      <c r="C175" s="157" t="s">
        <v>27</v>
      </c>
      <c r="D175" s="113">
        <v>4</v>
      </c>
      <c r="E175" s="113">
        <v>2</v>
      </c>
      <c r="F175" s="113">
        <v>3</v>
      </c>
      <c r="G175" s="157">
        <v>4.3</v>
      </c>
      <c r="H175" s="113" t="s">
        <v>2086</v>
      </c>
      <c r="I175" s="157" t="s">
        <v>23</v>
      </c>
      <c r="J175" s="182" t="s">
        <v>17</v>
      </c>
      <c r="K175" s="183">
        <v>5.16</v>
      </c>
      <c r="L175" s="183">
        <v>21.29</v>
      </c>
      <c r="M175" s="183">
        <v>3.48</v>
      </c>
      <c r="N175" s="114">
        <f t="shared" si="67"/>
        <v>29.93</v>
      </c>
      <c r="O175" s="183">
        <v>70.64</v>
      </c>
      <c r="P175" s="183"/>
      <c r="Q175" s="370">
        <f t="shared" si="68"/>
        <v>100.57</v>
      </c>
      <c r="R175" s="183">
        <v>112.92</v>
      </c>
      <c r="S175" s="121">
        <v>3077.66</v>
      </c>
      <c r="T175" s="116" t="str">
        <f>IF(AE175="",INDEX(Коэффициенты!$B$4:$S$59,MATCH('Ведомость расчета мин. платы'!AC175,Коэффициенты!$O$4:$O$59,0),9),"")</f>
        <v/>
      </c>
      <c r="U175" s="31" t="s">
        <v>2117</v>
      </c>
      <c r="V175" s="184"/>
      <c r="W175" s="179" t="str">
        <f>IF(B175="",W174,INDEX('Такс. опис.'!$A$5:$BW$50,MATCH(CONCATENATE($C175,"/",$D175,"/",$E175),'Такс. опис.'!$C$5:$C$50,0),48))</f>
        <v>мл</v>
      </c>
      <c r="X175" s="179" t="str">
        <f>IF(B175="",X174,INDEX('Такс. опис.'!$A$5:$BW$50,MATCH(CONCATENATE($C175,"/",$D175,"/",$E175),'Такс. опис.'!$C$5:$C$50,0),26))</f>
        <v>9ОС1Б+ЛП</v>
      </c>
      <c r="Y175" s="179">
        <f>IF(B175="",Y174,INDEX('Такс. опис.'!$A$5:$BW$50,MATCH(CONCATENATE($C175,"/",$D175,"/",$E175),'Такс. опис.'!$C$5:$C$50,0),49))</f>
        <v>45</v>
      </c>
      <c r="Z175" s="179" t="str">
        <f>IF(C175="",Z174,INDEX('Такс. опис.'!$A$5:$BW$50,MATCH(CONCATENATE($C175,"/",$D175,"/",$E175),'Такс. опис.'!$C$5:$C$50,0),47))</f>
        <v>Осина</v>
      </c>
      <c r="AA175" s="179" t="e">
        <f>IF(D175="","",INDEX('Такс. опис.'!$A$5:$BW$50,MATCH('Ведомость расчета мин. платы'!AC175,'Такс. опис.'!$C$5:$C$50,0),31))</f>
        <v>#N/A</v>
      </c>
      <c r="AB175" s="115"/>
      <c r="AC175" s="47" t="str">
        <f t="shared" si="71"/>
        <v>Тумбинское/4/2/3</v>
      </c>
      <c r="AD175" s="180">
        <f>INDEX(Периметр!$A$3:$Q$158,MATCH(AC175,Периметр!$A$3:$A$158,0),17)</f>
        <v>0.67</v>
      </c>
      <c r="AE175" s="47" t="str">
        <f t="shared" si="69"/>
        <v>Тумбинское/4/2/3/Береза</v>
      </c>
      <c r="AF175" s="115"/>
      <c r="AG175" s="176"/>
      <c r="AH175" s="176"/>
      <c r="AI175" s="176"/>
      <c r="AK175" s="186" t="str">
        <f t="shared" si="59"/>
        <v>Тумбинское/4/2</v>
      </c>
      <c r="AL175" s="181">
        <v>1</v>
      </c>
    </row>
    <row r="176" spans="2:38" ht="15.95" customHeight="1" x14ac:dyDescent="0.2">
      <c r="B176" s="179" t="str">
        <f>IF(E176="","",COUNTA($E$10:E176))</f>
        <v/>
      </c>
      <c r="C176" s="157"/>
      <c r="D176" s="113" t="s">
        <v>166</v>
      </c>
      <c r="E176" s="113"/>
      <c r="F176" s="113" t="s">
        <v>166</v>
      </c>
      <c r="G176" s="157" t="s">
        <v>166</v>
      </c>
      <c r="H176" s="113"/>
      <c r="I176" s="157"/>
      <c r="J176" s="182" t="s">
        <v>18</v>
      </c>
      <c r="K176" s="183">
        <v>178.79</v>
      </c>
      <c r="L176" s="183">
        <v>173.59</v>
      </c>
      <c r="M176" s="183"/>
      <c r="N176" s="114">
        <f t="shared" si="67"/>
        <v>352.38</v>
      </c>
      <c r="O176" s="183">
        <v>596.63</v>
      </c>
      <c r="P176" s="183"/>
      <c r="Q176" s="370">
        <f t="shared" si="68"/>
        <v>949.01</v>
      </c>
      <c r="R176" s="183">
        <v>1144.8800000000001</v>
      </c>
      <c r="S176" s="121">
        <v>7444.06</v>
      </c>
      <c r="T176" s="116" t="str">
        <f>IF(AE176="",INDEX(Коэффициенты!$B$4:$S$59,MATCH('Ведомость расчета мин. платы'!AC176,Коэффициенты!$O$4:$O$59,0),9),"")</f>
        <v/>
      </c>
      <c r="U176" s="31"/>
      <c r="V176" s="184"/>
      <c r="W176" s="179" t="str">
        <f>IF(B176="",W175,INDEX('Такс. опис.'!$A$5:$BW$50,MATCH(CONCATENATE($C176,"/",$D176,"/",$E176),'Такс. опис.'!$C$5:$C$50,0),48))</f>
        <v>мл</v>
      </c>
      <c r="X176" s="179" t="str">
        <f>IF(B176="",X175,INDEX('Такс. опис.'!$A$5:$BW$50,MATCH(CONCATENATE($C176,"/",$D176,"/",$E176),'Такс. опис.'!$C$5:$C$50,0),26))</f>
        <v>9ОС1Б+ЛП</v>
      </c>
      <c r="Y176" s="179">
        <f>IF(B176="",Y175,INDEX('Такс. опис.'!$A$5:$BW$50,MATCH(CONCATENATE($C176,"/",$D176,"/",$E176),'Такс. опис.'!$C$5:$C$50,0),49))</f>
        <v>45</v>
      </c>
      <c r="Z176" s="179" t="str">
        <f>IF(C176="",Z175,INDEX('Такс. опис.'!$A$5:$BW$50,MATCH(CONCATENATE($C176,"/",$D176,"/",$E176),'Такс. опис.'!$C$5:$C$50,0),47))</f>
        <v>Осина</v>
      </c>
      <c r="AA176" s="179" t="str">
        <f>IF(D176="","",INDEX('Такс. опис.'!$A$5:$BW$50,MATCH('Ведомость расчета мин. платы'!AC176,'Такс. опис.'!$C$5:$C$50,0),31))</f>
        <v/>
      </c>
      <c r="AB176" s="115"/>
      <c r="AC176" s="47" t="str">
        <f t="shared" si="71"/>
        <v>Тумбинское/4/2/3</v>
      </c>
      <c r="AD176" s="180">
        <f>INDEX(Периметр!$A$3:$Q$158,MATCH(AC176,Периметр!$A$3:$A$158,0),17)</f>
        <v>0.67</v>
      </c>
      <c r="AE176" s="47" t="str">
        <f t="shared" si="69"/>
        <v>Тумбинское/4/2/3/Осина</v>
      </c>
      <c r="AF176" s="115"/>
      <c r="AG176" s="176"/>
      <c r="AH176" s="176"/>
      <c r="AI176" s="176"/>
      <c r="AK176" s="186" t="str">
        <f t="shared" si="59"/>
        <v>//</v>
      </c>
    </row>
    <row r="177" spans="2:38" ht="15.95" customHeight="1" x14ac:dyDescent="0.2">
      <c r="B177" s="179" t="str">
        <f>IF(E177="","",COUNTA($E$10:E177))</f>
        <v/>
      </c>
      <c r="C177" s="157"/>
      <c r="D177" s="113"/>
      <c r="E177" s="113"/>
      <c r="F177" s="113"/>
      <c r="G177" s="157"/>
      <c r="H177" s="113"/>
      <c r="I177" s="157"/>
      <c r="J177" s="187" t="s">
        <v>15</v>
      </c>
      <c r="K177" s="114">
        <f>SUM(K175:K176)</f>
        <v>183.95</v>
      </c>
      <c r="L177" s="114">
        <f t="shared" ref="L177:S177" si="76">SUM(L175:L176)</f>
        <v>194.88</v>
      </c>
      <c r="M177" s="114">
        <f t="shared" si="76"/>
        <v>3.48</v>
      </c>
      <c r="N177" s="114">
        <f t="shared" si="76"/>
        <v>382.31</v>
      </c>
      <c r="O177" s="114">
        <f t="shared" si="76"/>
        <v>667.27</v>
      </c>
      <c r="P177" s="114"/>
      <c r="Q177" s="370">
        <f t="shared" si="76"/>
        <v>1049.58</v>
      </c>
      <c r="R177" s="114">
        <f t="shared" si="76"/>
        <v>1257.8000000000002</v>
      </c>
      <c r="S177" s="114">
        <f t="shared" si="76"/>
        <v>10521.720000000001</v>
      </c>
      <c r="T177" s="116">
        <f>IF(AE177="",INDEX(Коэффициенты!$B$4:$S$59,MATCH('Ведомость расчета мин. платы'!AC177,Коэффициенты!$O$4:$O$59,0),9),"")</f>
        <v>25146.910800000009</v>
      </c>
      <c r="U177" s="31"/>
      <c r="V177" s="184"/>
      <c r="W177" s="179" t="str">
        <f>IF(B177="",W176,INDEX('Такс. опис.'!$A$5:$BW$50,MATCH(CONCATENATE($C177,"/",$D177,"/",$E177),'Такс. опис.'!$C$5:$C$50,0),48))</f>
        <v>мл</v>
      </c>
      <c r="X177" s="179" t="str">
        <f>IF(B177="",X176,INDEX('Такс. опис.'!$A$5:$BW$50,MATCH(CONCATENATE($C177,"/",$D177,"/",$E177),'Такс. опис.'!$C$5:$C$50,0),26))</f>
        <v>9ОС1Б+ЛП</v>
      </c>
      <c r="Y177" s="179">
        <f>IF(B177="",Y176,INDEX('Такс. опис.'!$A$5:$BW$50,MATCH(CONCATENATE($C177,"/",$D177,"/",$E177),'Такс. опис.'!$C$5:$C$50,0),49))</f>
        <v>45</v>
      </c>
      <c r="Z177" s="179" t="str">
        <f>IF(C177="",Z176,INDEX('Такс. опис.'!$A$5:$BW$50,MATCH(CONCATENATE($C177,"/",$D177,"/",$E177),'Такс. опис.'!$C$5:$C$50,0),47))</f>
        <v>Осина</v>
      </c>
      <c r="AA177" s="179" t="str">
        <f>IF(D177="","",INDEX('Такс. опис.'!$A$5:$BW$50,MATCH('Ведомость расчета мин. платы'!AC177,'Такс. опис.'!$C$5:$C$50,0),31))</f>
        <v/>
      </c>
      <c r="AB177" s="115"/>
      <c r="AC177" s="47" t="str">
        <f t="shared" si="71"/>
        <v>Тумбинское/4/2/3</v>
      </c>
      <c r="AD177" s="180">
        <f>INDEX(Периметр!$A$3:$Q$158,MATCH(AC177,Периметр!$A$3:$A$158,0),17)</f>
        <v>0.67</v>
      </c>
      <c r="AE177" s="47" t="str">
        <f t="shared" si="69"/>
        <v/>
      </c>
      <c r="AF177" s="115"/>
      <c r="AG177" s="176"/>
      <c r="AH177" s="176"/>
      <c r="AI177" s="176"/>
      <c r="AK177" s="186" t="str">
        <f t="shared" si="59"/>
        <v>//</v>
      </c>
    </row>
    <row r="178" spans="2:38" ht="15.95" customHeight="1" x14ac:dyDescent="0.2">
      <c r="B178" s="179">
        <f>IF(E178="","",COUNTA($E$10:E178))</f>
        <v>47</v>
      </c>
      <c r="C178" s="157" t="s">
        <v>27</v>
      </c>
      <c r="D178" s="113">
        <v>54</v>
      </c>
      <c r="E178" s="113">
        <v>9</v>
      </c>
      <c r="F178" s="113">
        <v>1</v>
      </c>
      <c r="G178" s="157">
        <v>7.7</v>
      </c>
      <c r="H178" s="113" t="s">
        <v>2086</v>
      </c>
      <c r="I178" s="157" t="s">
        <v>23</v>
      </c>
      <c r="J178" s="182" t="s">
        <v>17</v>
      </c>
      <c r="K178" s="183">
        <v>9.24</v>
      </c>
      <c r="L178" s="183">
        <v>39.58</v>
      </c>
      <c r="M178" s="183">
        <v>8.32</v>
      </c>
      <c r="N178" s="114">
        <f t="shared" ref="N178:N193" si="77">SUM(K178:M178)</f>
        <v>57.14</v>
      </c>
      <c r="O178" s="183">
        <v>168.32</v>
      </c>
      <c r="P178" s="183"/>
      <c r="Q178" s="370">
        <f t="shared" ref="Q178:Q193" si="78">SUM(N178:P178)</f>
        <v>225.45999999999998</v>
      </c>
      <c r="R178" s="183">
        <v>262.88</v>
      </c>
      <c r="S178" s="121">
        <v>6012.95</v>
      </c>
      <c r="T178" s="116" t="str">
        <f>IF(AE178="",INDEX(Коэффициенты!$B$4:$S$59,MATCH('Ведомость расчета мин. платы'!AC178,Коэффициенты!$O$4:$O$59,0),9),"")</f>
        <v/>
      </c>
      <c r="U178" s="31" t="s">
        <v>2116</v>
      </c>
      <c r="V178" s="184"/>
      <c r="W178" s="179" t="str">
        <f>IF(B178="",#REF!,INDEX('Такс. опис.'!$A$5:$BW$50,MATCH(CONCATENATE($C178,"/",$D178,"/",$E178),'Такс. опис.'!$C$5:$C$50,0),48))</f>
        <v>мл</v>
      </c>
      <c r="X178" s="179" t="str">
        <f>IF(B178="",#REF!,INDEX('Такс. опис.'!$A$5:$BW$50,MATCH(CONCATENATE($C178,"/",$D178,"/",$E178),'Такс. опис.'!$C$5:$C$50,0),26))</f>
        <v>5ОС2Б2ЛП1С</v>
      </c>
      <c r="Y178" s="179">
        <f>IF(B178="",#REF!,INDEX('Такс. опис.'!$A$5:$BW$50,MATCH(CONCATENATE($C178,"/",$D178,"/",$E178),'Такс. опис.'!$C$5:$C$50,0),49))</f>
        <v>45</v>
      </c>
      <c r="Z178" s="179" t="str">
        <f>IF(C178="",#REF!,INDEX('Такс. опис.'!$A$5:$BW$50,MATCH(CONCATENATE($C178,"/",$D178,"/",$E178),'Такс. опис.'!$C$5:$C$50,0),47))</f>
        <v>Осина</v>
      </c>
      <c r="AA178" s="179" t="e">
        <f>IF(D178="","",INDEX('Такс. опис.'!$A$5:$BW$50,MATCH('Ведомость расчета мин. платы'!AC178,'Такс. опис.'!$C$5:$C$50,0),31))</f>
        <v>#N/A</v>
      </c>
      <c r="AB178" s="115"/>
      <c r="AC178" s="47" t="str">
        <f>IF(B178="",#REF!,CONCATENATE($C178,"/",$D178,"/",$E178,"/",F178))</f>
        <v>Тумбинское/54/9/1</v>
      </c>
      <c r="AD178" s="180">
        <f>INDEX(Периметр!$A$3:$Q$158,MATCH(AC178,Периметр!$A$3:$A$158,0),17)</f>
        <v>1.74</v>
      </c>
      <c r="AE178" s="47" t="str">
        <f t="shared" ref="AE178:AE194" si="79">IF(J178="Итого","",CONCATENATE(AC178,"/",J178))</f>
        <v>Тумбинское/54/9/1/Береза</v>
      </c>
      <c r="AF178" s="115"/>
      <c r="AG178" s="176"/>
      <c r="AH178" s="176"/>
      <c r="AI178" s="176"/>
      <c r="AK178" s="186" t="str">
        <f t="shared" si="59"/>
        <v>Тумбинское/54/9</v>
      </c>
      <c r="AL178" s="181">
        <v>1</v>
      </c>
    </row>
    <row r="179" spans="2:38" ht="15.95" customHeight="1" x14ac:dyDescent="0.2">
      <c r="B179" s="179" t="str">
        <f>IF(E179="","",COUNTA($E$10:E179))</f>
        <v/>
      </c>
      <c r="C179" s="157"/>
      <c r="D179" s="113" t="s">
        <v>166</v>
      </c>
      <c r="E179" s="113"/>
      <c r="F179" s="113" t="s">
        <v>166</v>
      </c>
      <c r="G179" s="157" t="s">
        <v>166</v>
      </c>
      <c r="H179" s="113"/>
      <c r="I179" s="157"/>
      <c r="J179" s="182" t="s">
        <v>19</v>
      </c>
      <c r="K179" s="183">
        <v>2.19</v>
      </c>
      <c r="L179" s="183">
        <v>28.54</v>
      </c>
      <c r="M179" s="183">
        <v>4.47</v>
      </c>
      <c r="N179" s="114">
        <f t="shared" si="77"/>
        <v>35.200000000000003</v>
      </c>
      <c r="O179" s="183">
        <v>297.58999999999997</v>
      </c>
      <c r="P179" s="183"/>
      <c r="Q179" s="370">
        <f t="shared" si="78"/>
        <v>332.78999999999996</v>
      </c>
      <c r="R179" s="183">
        <v>379.69</v>
      </c>
      <c r="S179" s="121">
        <v>2182.8200000000002</v>
      </c>
      <c r="T179" s="116" t="str">
        <f>IF(AE179="",INDEX(Коэффициенты!$B$4:$S$59,MATCH('Ведомость расчета мин. платы'!AC179,Коэффициенты!$O$4:$O$59,0),9),"")</f>
        <v/>
      </c>
      <c r="U179" s="31"/>
      <c r="V179" s="184"/>
      <c r="W179" s="179" t="str">
        <f>IF(B179="",W178,INDEX('Такс. опис.'!$A$5:$BW$50,MATCH(CONCATENATE($C179,"/",$D179,"/",$E179),'Такс. опис.'!$C$5:$C$50,0),48))</f>
        <v>мл</v>
      </c>
      <c r="X179" s="179" t="str">
        <f>IF(B179="",X178,INDEX('Такс. опис.'!$A$5:$BW$50,MATCH(CONCATENATE($C179,"/",$D179,"/",$E179),'Такс. опис.'!$C$5:$C$50,0),26))</f>
        <v>5ОС2Б2ЛП1С</v>
      </c>
      <c r="Y179" s="179">
        <f>IF(B179="",Y178,INDEX('Такс. опис.'!$A$5:$BW$50,MATCH(CONCATENATE($C179,"/",$D179,"/",$E179),'Такс. опис.'!$C$5:$C$50,0),49))</f>
        <v>45</v>
      </c>
      <c r="Z179" s="179" t="str">
        <f>IF(C179="",Z178,INDEX('Такс. опис.'!$A$5:$BW$50,MATCH(CONCATENATE($C179,"/",$D179,"/",$E179),'Такс. опис.'!$C$5:$C$50,0),47))</f>
        <v>Осина</v>
      </c>
      <c r="AA179" s="179" t="str">
        <f>IF(D179="","",INDEX('Такс. опис.'!$A$5:$BW$50,MATCH('Ведомость расчета мин. платы'!AC179,'Такс. опис.'!$C$5:$C$50,0),31))</f>
        <v/>
      </c>
      <c r="AB179" s="115"/>
      <c r="AC179" s="47" t="str">
        <f t="shared" ref="AC179:AC195" si="80">IF(B179="",AC178,CONCATENATE($C179,"/",$D179,"/",$E179,"/",F179))</f>
        <v>Тумбинское/54/9/1</v>
      </c>
      <c r="AD179" s="180">
        <f>INDEX(Периметр!$A$3:$Q$158,MATCH(AC179,Периметр!$A$3:$A$158,0),17)</f>
        <v>1.74</v>
      </c>
      <c r="AE179" s="47" t="str">
        <f t="shared" si="79"/>
        <v>Тумбинское/54/9/1/Липа</v>
      </c>
      <c r="AF179" s="115"/>
      <c r="AG179" s="176"/>
      <c r="AH179" s="176"/>
      <c r="AI179" s="176"/>
      <c r="AK179" s="186" t="str">
        <f t="shared" si="59"/>
        <v>//</v>
      </c>
    </row>
    <row r="180" spans="2:38" ht="15.95" customHeight="1" x14ac:dyDescent="0.2">
      <c r="B180" s="179" t="str">
        <f>IF(E180="","",COUNTA($E$10:E180))</f>
        <v/>
      </c>
      <c r="C180" s="157"/>
      <c r="D180" s="113" t="s">
        <v>166</v>
      </c>
      <c r="E180" s="113"/>
      <c r="F180" s="113" t="s">
        <v>166</v>
      </c>
      <c r="G180" s="157" t="s">
        <v>166</v>
      </c>
      <c r="H180" s="113"/>
      <c r="I180" s="157"/>
      <c r="J180" s="182" t="s">
        <v>18</v>
      </c>
      <c r="K180" s="183">
        <v>101.26</v>
      </c>
      <c r="L180" s="183">
        <v>83.78</v>
      </c>
      <c r="M180" s="183"/>
      <c r="N180" s="114">
        <f t="shared" si="77"/>
        <v>185.04000000000002</v>
      </c>
      <c r="O180" s="183">
        <v>469.39</v>
      </c>
      <c r="P180" s="183"/>
      <c r="Q180" s="370">
        <f t="shared" si="78"/>
        <v>654.43000000000006</v>
      </c>
      <c r="R180" s="183">
        <v>802.11</v>
      </c>
      <c r="S180" s="121">
        <v>4037.93</v>
      </c>
      <c r="T180" s="116" t="str">
        <f>IF(AE180="",INDEX(Коэффициенты!$B$4:$S$59,MATCH('Ведомость расчета мин. платы'!AC180,Коэффициенты!$O$4:$O$59,0),9),"")</f>
        <v/>
      </c>
      <c r="U180" s="31"/>
      <c r="V180" s="184"/>
      <c r="W180" s="179" t="str">
        <f>IF(B180="",W179,INDEX('Такс. опис.'!$A$5:$BW$50,MATCH(CONCATENATE($C180,"/",$D180,"/",$E180),'Такс. опис.'!$C$5:$C$50,0),48))</f>
        <v>мл</v>
      </c>
      <c r="X180" s="179" t="str">
        <f>IF(B180="",X179,INDEX('Такс. опис.'!$A$5:$BW$50,MATCH(CONCATENATE($C180,"/",$D180,"/",$E180),'Такс. опис.'!$C$5:$C$50,0),26))</f>
        <v>5ОС2Б2ЛП1С</v>
      </c>
      <c r="Y180" s="179">
        <f>IF(B180="",Y179,INDEX('Такс. опис.'!$A$5:$BW$50,MATCH(CONCATENATE($C180,"/",$D180,"/",$E180),'Такс. опис.'!$C$5:$C$50,0),49))</f>
        <v>45</v>
      </c>
      <c r="Z180" s="179" t="str">
        <f>IF(C180="",Z179,INDEX('Такс. опис.'!$A$5:$BW$50,MATCH(CONCATENATE($C180,"/",$D180,"/",$E180),'Такс. опис.'!$C$5:$C$50,0),47))</f>
        <v>Осина</v>
      </c>
      <c r="AA180" s="179" t="str">
        <f>IF(D180="","",INDEX('Такс. опис.'!$A$5:$BW$50,MATCH('Ведомость расчета мин. платы'!AC180,'Такс. опис.'!$C$5:$C$50,0),31))</f>
        <v/>
      </c>
      <c r="AB180" s="115"/>
      <c r="AC180" s="47" t="str">
        <f t="shared" si="80"/>
        <v>Тумбинское/54/9/1</v>
      </c>
      <c r="AD180" s="180">
        <f>INDEX(Периметр!$A$3:$Q$158,MATCH(AC180,Периметр!$A$3:$A$158,0),17)</f>
        <v>1.74</v>
      </c>
      <c r="AE180" s="47" t="str">
        <f t="shared" si="79"/>
        <v>Тумбинское/54/9/1/Осина</v>
      </c>
      <c r="AF180" s="115"/>
      <c r="AG180" s="176"/>
      <c r="AH180" s="176"/>
      <c r="AI180" s="176"/>
      <c r="AK180" s="186" t="str">
        <f t="shared" si="59"/>
        <v>//</v>
      </c>
    </row>
    <row r="181" spans="2:38" ht="15.95" customHeight="1" x14ac:dyDescent="0.2">
      <c r="B181" s="179" t="str">
        <f>IF(E181="","",COUNTA($E$10:E181))</f>
        <v/>
      </c>
      <c r="C181" s="157"/>
      <c r="D181" s="113"/>
      <c r="E181" s="113"/>
      <c r="F181" s="113"/>
      <c r="G181" s="157"/>
      <c r="H181" s="113"/>
      <c r="I181" s="157"/>
      <c r="J181" s="187" t="s">
        <v>15</v>
      </c>
      <c r="K181" s="114">
        <f>SUM(K178:K180)</f>
        <v>112.69</v>
      </c>
      <c r="L181" s="114">
        <f t="shared" ref="L181:S181" si="81">SUM(L178:L180)</f>
        <v>151.9</v>
      </c>
      <c r="M181" s="114">
        <f t="shared" si="81"/>
        <v>12.79</v>
      </c>
      <c r="N181" s="114">
        <f t="shared" si="81"/>
        <v>277.38</v>
      </c>
      <c r="O181" s="114">
        <f t="shared" si="81"/>
        <v>935.3</v>
      </c>
      <c r="P181" s="114"/>
      <c r="Q181" s="370">
        <f t="shared" si="81"/>
        <v>1212.68</v>
      </c>
      <c r="R181" s="114">
        <f t="shared" si="81"/>
        <v>1444.6799999999998</v>
      </c>
      <c r="S181" s="114">
        <f t="shared" si="81"/>
        <v>12233.7</v>
      </c>
      <c r="T181" s="116">
        <f>IF(AE181="",INDEX(Коэффициенты!$B$4:$S$59,MATCH('Ведомость расчета мин. платы'!AC181,Коэффициенты!$O$4:$O$59,0),9),"")</f>
        <v>38658.492000000006</v>
      </c>
      <c r="U181" s="31"/>
      <c r="V181" s="184"/>
      <c r="W181" s="179" t="str">
        <f>IF(B181="",W180,INDEX('Такс. опис.'!$A$5:$BW$50,MATCH(CONCATENATE($C181,"/",$D181,"/",$E181),'Такс. опис.'!$C$5:$C$50,0),48))</f>
        <v>мл</v>
      </c>
      <c r="X181" s="179" t="str">
        <f>IF(B181="",X180,INDEX('Такс. опис.'!$A$5:$BW$50,MATCH(CONCATENATE($C181,"/",$D181,"/",$E181),'Такс. опис.'!$C$5:$C$50,0),26))</f>
        <v>5ОС2Б2ЛП1С</v>
      </c>
      <c r="Y181" s="179">
        <f>IF(B181="",Y180,INDEX('Такс. опис.'!$A$5:$BW$50,MATCH(CONCATENATE($C181,"/",$D181,"/",$E181),'Такс. опис.'!$C$5:$C$50,0),49))</f>
        <v>45</v>
      </c>
      <c r="Z181" s="179" t="str">
        <f>IF(C181="",Z180,INDEX('Такс. опис.'!$A$5:$BW$50,MATCH(CONCATENATE($C181,"/",$D181,"/",$E181),'Такс. опис.'!$C$5:$C$50,0),47))</f>
        <v>Осина</v>
      </c>
      <c r="AA181" s="179" t="str">
        <f>IF(D181="","",INDEX('Такс. опис.'!$A$5:$BW$50,MATCH('Ведомость расчета мин. платы'!AC181,'Такс. опис.'!$C$5:$C$50,0),31))</f>
        <v/>
      </c>
      <c r="AB181" s="115"/>
      <c r="AC181" s="47" t="str">
        <f t="shared" si="80"/>
        <v>Тумбинское/54/9/1</v>
      </c>
      <c r="AD181" s="180">
        <f>INDEX(Периметр!$A$3:$Q$158,MATCH(AC181,Периметр!$A$3:$A$158,0),17)</f>
        <v>1.74</v>
      </c>
      <c r="AE181" s="47" t="str">
        <f t="shared" si="79"/>
        <v/>
      </c>
      <c r="AF181" s="115"/>
      <c r="AG181" s="176"/>
      <c r="AH181" s="176"/>
      <c r="AI181" s="176"/>
      <c r="AK181" s="186" t="str">
        <f t="shared" si="59"/>
        <v>//</v>
      </c>
    </row>
    <row r="182" spans="2:38" ht="15.95" customHeight="1" x14ac:dyDescent="0.2">
      <c r="B182" s="179">
        <f>IF(E182="","",COUNTA($E$10:E182))</f>
        <v>48</v>
      </c>
      <c r="C182" s="157" t="s">
        <v>27</v>
      </c>
      <c r="D182" s="113">
        <v>54</v>
      </c>
      <c r="E182" s="113">
        <v>9</v>
      </c>
      <c r="F182" s="113">
        <v>2</v>
      </c>
      <c r="G182" s="157">
        <v>6.5</v>
      </c>
      <c r="H182" s="113" t="s">
        <v>2086</v>
      </c>
      <c r="I182" s="157" t="s">
        <v>23</v>
      </c>
      <c r="J182" s="182" t="s">
        <v>17</v>
      </c>
      <c r="K182" s="183">
        <v>7.8</v>
      </c>
      <c r="L182" s="183">
        <v>34.130000000000003</v>
      </c>
      <c r="M182" s="183">
        <v>5.27</v>
      </c>
      <c r="N182" s="114">
        <f t="shared" si="77"/>
        <v>47.2</v>
      </c>
      <c r="O182" s="183">
        <v>189.22</v>
      </c>
      <c r="P182" s="183"/>
      <c r="Q182" s="370">
        <f t="shared" si="78"/>
        <v>236.42000000000002</v>
      </c>
      <c r="R182" s="183">
        <v>273</v>
      </c>
      <c r="S182" s="121">
        <v>5384.15</v>
      </c>
      <c r="T182" s="116" t="str">
        <f>IF(AE182="",INDEX(Коэффициенты!$B$4:$S$59,MATCH('Ведомость расчета мин. платы'!AC182,Коэффициенты!$O$4:$O$59,0),9),"")</f>
        <v/>
      </c>
      <c r="U182" s="31" t="s">
        <v>2116</v>
      </c>
      <c r="V182" s="184"/>
      <c r="W182" s="179" t="str">
        <f>IF(B182="",W181,INDEX('Такс. опис.'!$A$5:$BW$50,MATCH(CONCATENATE($C182,"/",$D182,"/",$E182),'Такс. опис.'!$C$5:$C$50,0),48))</f>
        <v>мл</v>
      </c>
      <c r="X182" s="179" t="str">
        <f>IF(B182="",X181,INDEX('Такс. опис.'!$A$5:$BW$50,MATCH(CONCATENATE($C182,"/",$D182,"/",$E182),'Такс. опис.'!$C$5:$C$50,0),26))</f>
        <v>5ОС2Б2ЛП1С</v>
      </c>
      <c r="Y182" s="179">
        <f>IF(B182="",Y181,INDEX('Такс. опис.'!$A$5:$BW$50,MATCH(CONCATENATE($C182,"/",$D182,"/",$E182),'Такс. опис.'!$C$5:$C$50,0),49))</f>
        <v>45</v>
      </c>
      <c r="Z182" s="179" t="str">
        <f>IF(C182="",Z181,INDEX('Такс. опис.'!$A$5:$BW$50,MATCH(CONCATENATE($C182,"/",$D182,"/",$E182),'Такс. опис.'!$C$5:$C$50,0),47))</f>
        <v>Осина</v>
      </c>
      <c r="AA182" s="179" t="e">
        <f>IF(D182="","",INDEX('Такс. опис.'!$A$5:$BW$50,MATCH('Ведомость расчета мин. платы'!AC182,'Такс. опис.'!$C$5:$C$50,0),31))</f>
        <v>#N/A</v>
      </c>
      <c r="AB182" s="115"/>
      <c r="AC182" s="47" t="str">
        <f t="shared" si="80"/>
        <v>Тумбинское/54/9/2</v>
      </c>
      <c r="AD182" s="180">
        <f>INDEX(Периметр!$A$3:$Q$158,MATCH(AC182,Периметр!$A$3:$A$158,0),17)</f>
        <v>1.5</v>
      </c>
      <c r="AE182" s="47" t="str">
        <f t="shared" si="79"/>
        <v>Тумбинское/54/9/2/Береза</v>
      </c>
      <c r="AF182" s="115"/>
      <c r="AG182" s="176"/>
      <c r="AH182" s="176"/>
      <c r="AI182" s="176"/>
      <c r="AK182" s="186" t="str">
        <f t="shared" si="59"/>
        <v>Тумбинское/54/9</v>
      </c>
      <c r="AL182" s="181">
        <v>1</v>
      </c>
    </row>
    <row r="183" spans="2:38" ht="15.95" customHeight="1" x14ac:dyDescent="0.2">
      <c r="B183" s="179" t="str">
        <f>IF(E183="","",COUNTA($E$10:E183))</f>
        <v/>
      </c>
      <c r="C183" s="157"/>
      <c r="D183" s="113" t="s">
        <v>166</v>
      </c>
      <c r="E183" s="113"/>
      <c r="F183" s="113" t="s">
        <v>166</v>
      </c>
      <c r="G183" s="157" t="s">
        <v>166</v>
      </c>
      <c r="H183" s="113"/>
      <c r="I183" s="157"/>
      <c r="J183" s="182" t="s">
        <v>19</v>
      </c>
      <c r="K183" s="183">
        <v>1.85</v>
      </c>
      <c r="L183" s="183">
        <v>36.15</v>
      </c>
      <c r="M183" s="183">
        <v>7.93</v>
      </c>
      <c r="N183" s="114">
        <f t="shared" si="77"/>
        <v>45.93</v>
      </c>
      <c r="O183" s="183">
        <v>264.52</v>
      </c>
      <c r="P183" s="183"/>
      <c r="Q183" s="370">
        <f t="shared" si="78"/>
        <v>310.45</v>
      </c>
      <c r="R183" s="183">
        <v>353.6</v>
      </c>
      <c r="S183" s="121">
        <v>2598.36</v>
      </c>
      <c r="T183" s="116" t="str">
        <f>IF(AE183="",INDEX(Коэффициенты!$B$4:$S$59,MATCH('Ведомость расчета мин. платы'!AC183,Коэффициенты!$O$4:$O$59,0),9),"")</f>
        <v/>
      </c>
      <c r="U183" s="31"/>
      <c r="V183" s="184"/>
      <c r="W183" s="179" t="str">
        <f>IF(B183="",W182,INDEX('Такс. опис.'!$A$5:$BW$50,MATCH(CONCATENATE($C183,"/",$D183,"/",$E183),'Такс. опис.'!$C$5:$C$50,0),48))</f>
        <v>мл</v>
      </c>
      <c r="X183" s="179" t="str">
        <f>IF(B183="",X182,INDEX('Такс. опис.'!$A$5:$BW$50,MATCH(CONCATENATE($C183,"/",$D183,"/",$E183),'Такс. опис.'!$C$5:$C$50,0),26))</f>
        <v>5ОС2Б2ЛП1С</v>
      </c>
      <c r="Y183" s="179">
        <f>IF(B183="",Y182,INDEX('Такс. опис.'!$A$5:$BW$50,MATCH(CONCATENATE($C183,"/",$D183,"/",$E183),'Такс. опис.'!$C$5:$C$50,0),49))</f>
        <v>45</v>
      </c>
      <c r="Z183" s="179" t="str">
        <f>IF(C183="",Z182,INDEX('Такс. опис.'!$A$5:$BW$50,MATCH(CONCATENATE($C183,"/",$D183,"/",$E183),'Такс. опис.'!$C$5:$C$50,0),47))</f>
        <v>Осина</v>
      </c>
      <c r="AA183" s="179" t="str">
        <f>IF(D183="","",INDEX('Такс. опис.'!$A$5:$BW$50,MATCH('Ведомость расчета мин. платы'!AC183,'Такс. опис.'!$C$5:$C$50,0),31))</f>
        <v/>
      </c>
      <c r="AB183" s="115"/>
      <c r="AC183" s="47" t="str">
        <f t="shared" si="80"/>
        <v>Тумбинское/54/9/2</v>
      </c>
      <c r="AD183" s="180">
        <f>INDEX(Периметр!$A$3:$Q$158,MATCH(AC183,Периметр!$A$3:$A$158,0),17)</f>
        <v>1.5</v>
      </c>
      <c r="AE183" s="47" t="str">
        <f t="shared" si="79"/>
        <v>Тумбинское/54/9/2/Липа</v>
      </c>
      <c r="AF183" s="115"/>
      <c r="AG183" s="176"/>
      <c r="AH183" s="176"/>
      <c r="AI183" s="176"/>
      <c r="AK183" s="186" t="str">
        <f t="shared" si="59"/>
        <v>//</v>
      </c>
    </row>
    <row r="184" spans="2:38" ht="15.95" customHeight="1" x14ac:dyDescent="0.2">
      <c r="B184" s="179" t="str">
        <f>IF(E184="","",COUNTA($E$10:E184))</f>
        <v/>
      </c>
      <c r="C184" s="157"/>
      <c r="D184" s="113" t="s">
        <v>166</v>
      </c>
      <c r="E184" s="113"/>
      <c r="F184" s="113" t="s">
        <v>166</v>
      </c>
      <c r="G184" s="157" t="s">
        <v>166</v>
      </c>
      <c r="H184" s="113"/>
      <c r="I184" s="157"/>
      <c r="J184" s="182" t="s">
        <v>18</v>
      </c>
      <c r="K184" s="183">
        <v>121.42</v>
      </c>
      <c r="L184" s="183">
        <v>83.92</v>
      </c>
      <c r="M184" s="183"/>
      <c r="N184" s="114">
        <f t="shared" si="77"/>
        <v>205.34</v>
      </c>
      <c r="O184" s="183">
        <v>410.88</v>
      </c>
      <c r="P184" s="183"/>
      <c r="Q184" s="370">
        <f t="shared" si="78"/>
        <v>616.22</v>
      </c>
      <c r="R184" s="183">
        <v>748.74</v>
      </c>
      <c r="S184" s="121">
        <v>4467.28</v>
      </c>
      <c r="T184" s="116" t="str">
        <f>IF(AE184="",INDEX(Коэффициенты!$B$4:$S$59,MATCH('Ведомость расчета мин. платы'!AC184,Коэффициенты!$O$4:$O$59,0),9),"")</f>
        <v/>
      </c>
      <c r="U184" s="31"/>
      <c r="V184" s="184"/>
      <c r="W184" s="179" t="str">
        <f>IF(B184="",W183,INDEX('Такс. опис.'!$A$5:$BW$50,MATCH(CONCATENATE($C184,"/",$D184,"/",$E184),'Такс. опис.'!$C$5:$C$50,0),48))</f>
        <v>мл</v>
      </c>
      <c r="X184" s="179" t="str">
        <f>IF(B184="",X183,INDEX('Такс. опис.'!$A$5:$BW$50,MATCH(CONCATENATE($C184,"/",$D184,"/",$E184),'Такс. опис.'!$C$5:$C$50,0),26))</f>
        <v>5ОС2Б2ЛП1С</v>
      </c>
      <c r="Y184" s="179">
        <f>IF(B184="",Y183,INDEX('Такс. опис.'!$A$5:$BW$50,MATCH(CONCATENATE($C184,"/",$D184,"/",$E184),'Такс. опис.'!$C$5:$C$50,0),49))</f>
        <v>45</v>
      </c>
      <c r="Z184" s="179" t="str">
        <f>IF(C184="",Z183,INDEX('Такс. опис.'!$A$5:$BW$50,MATCH(CONCATENATE($C184,"/",$D184,"/",$E184),'Такс. опис.'!$C$5:$C$50,0),47))</f>
        <v>Осина</v>
      </c>
      <c r="AA184" s="179" t="str">
        <f>IF(D184="","",INDEX('Такс. опис.'!$A$5:$BW$50,MATCH('Ведомость расчета мин. платы'!AC184,'Такс. опис.'!$C$5:$C$50,0),31))</f>
        <v/>
      </c>
      <c r="AB184" s="115"/>
      <c r="AC184" s="47" t="str">
        <f t="shared" si="80"/>
        <v>Тумбинское/54/9/2</v>
      </c>
      <c r="AD184" s="180">
        <f>INDEX(Периметр!$A$3:$Q$158,MATCH(AC184,Периметр!$A$3:$A$158,0),17)</f>
        <v>1.5</v>
      </c>
      <c r="AE184" s="47" t="str">
        <f t="shared" si="79"/>
        <v>Тумбинское/54/9/2/Осина</v>
      </c>
      <c r="AF184" s="115"/>
      <c r="AG184" s="176"/>
      <c r="AH184" s="176"/>
      <c r="AI184" s="176"/>
      <c r="AK184" s="186" t="str">
        <f t="shared" si="59"/>
        <v>//</v>
      </c>
    </row>
    <row r="185" spans="2:38" ht="15.95" customHeight="1" x14ac:dyDescent="0.2">
      <c r="B185" s="179" t="str">
        <f>IF(E185="","",COUNTA($E$10:E185))</f>
        <v/>
      </c>
      <c r="C185" s="157"/>
      <c r="D185" s="113"/>
      <c r="E185" s="113"/>
      <c r="F185" s="113"/>
      <c r="G185" s="157"/>
      <c r="H185" s="113"/>
      <c r="I185" s="157"/>
      <c r="J185" s="187" t="s">
        <v>15</v>
      </c>
      <c r="K185" s="114">
        <f>SUM(K182:K184)</f>
        <v>131.07</v>
      </c>
      <c r="L185" s="114">
        <f t="shared" ref="L185:S185" si="82">SUM(L182:L184)</f>
        <v>154.19999999999999</v>
      </c>
      <c r="M185" s="114">
        <f t="shared" si="82"/>
        <v>13.2</v>
      </c>
      <c r="N185" s="114">
        <f t="shared" si="82"/>
        <v>298.47000000000003</v>
      </c>
      <c r="O185" s="114">
        <f t="shared" si="82"/>
        <v>864.62</v>
      </c>
      <c r="P185" s="114"/>
      <c r="Q185" s="370">
        <f t="shared" si="82"/>
        <v>1163.0900000000001</v>
      </c>
      <c r="R185" s="114">
        <f t="shared" si="82"/>
        <v>1375.3400000000001</v>
      </c>
      <c r="S185" s="114">
        <f t="shared" si="82"/>
        <v>12449.79</v>
      </c>
      <c r="T185" s="116">
        <f>IF(AE185="",INDEX(Коэффициенты!$B$4:$S$59,MATCH('Ведомость расчета мин. платы'!AC185,Коэффициенты!$O$4:$O$59,0),9),"")</f>
        <v>34734.914100000016</v>
      </c>
      <c r="U185" s="31"/>
      <c r="V185" s="184"/>
      <c r="W185" s="179" t="str">
        <f>IF(B185="",W184,INDEX('Такс. опис.'!$A$5:$BW$50,MATCH(CONCATENATE($C185,"/",$D185,"/",$E185),'Такс. опис.'!$C$5:$C$50,0),48))</f>
        <v>мл</v>
      </c>
      <c r="X185" s="179" t="str">
        <f>IF(B185="",X184,INDEX('Такс. опис.'!$A$5:$BW$50,MATCH(CONCATENATE($C185,"/",$D185,"/",$E185),'Такс. опис.'!$C$5:$C$50,0),26))</f>
        <v>5ОС2Б2ЛП1С</v>
      </c>
      <c r="Y185" s="179">
        <f>IF(B185="",Y184,INDEX('Такс. опис.'!$A$5:$BW$50,MATCH(CONCATENATE($C185,"/",$D185,"/",$E185),'Такс. опис.'!$C$5:$C$50,0),49))</f>
        <v>45</v>
      </c>
      <c r="Z185" s="179" t="str">
        <f>IF(C185="",Z184,INDEX('Такс. опис.'!$A$5:$BW$50,MATCH(CONCATENATE($C185,"/",$D185,"/",$E185),'Такс. опис.'!$C$5:$C$50,0),47))</f>
        <v>Осина</v>
      </c>
      <c r="AA185" s="179" t="str">
        <f>IF(D185="","",INDEX('Такс. опис.'!$A$5:$BW$50,MATCH('Ведомость расчета мин. платы'!AC185,'Такс. опис.'!$C$5:$C$50,0),31))</f>
        <v/>
      </c>
      <c r="AB185" s="115"/>
      <c r="AC185" s="47" t="str">
        <f t="shared" si="80"/>
        <v>Тумбинское/54/9/2</v>
      </c>
      <c r="AD185" s="180">
        <f>INDEX(Периметр!$A$3:$Q$158,MATCH(AC185,Периметр!$A$3:$A$158,0),17)</f>
        <v>1.5</v>
      </c>
      <c r="AE185" s="47" t="str">
        <f t="shared" si="79"/>
        <v/>
      </c>
      <c r="AF185" s="115"/>
      <c r="AG185" s="176"/>
      <c r="AH185" s="176"/>
      <c r="AI185" s="176"/>
      <c r="AK185" s="186" t="str">
        <f t="shared" si="59"/>
        <v>//</v>
      </c>
    </row>
    <row r="186" spans="2:38" ht="15.95" customHeight="1" x14ac:dyDescent="0.2">
      <c r="B186" s="179">
        <f>IF(E186="","",COUNTA($E$10:E186))</f>
        <v>49</v>
      </c>
      <c r="C186" s="157" t="s">
        <v>27</v>
      </c>
      <c r="D186" s="113">
        <v>57</v>
      </c>
      <c r="E186" s="113">
        <v>19</v>
      </c>
      <c r="F186" s="113">
        <v>1</v>
      </c>
      <c r="G186" s="157">
        <v>3</v>
      </c>
      <c r="H186" s="113" t="s">
        <v>2086</v>
      </c>
      <c r="I186" s="157" t="s">
        <v>23</v>
      </c>
      <c r="J186" s="182" t="s">
        <v>17</v>
      </c>
      <c r="K186" s="183">
        <v>42.82</v>
      </c>
      <c r="L186" s="183">
        <v>53.76</v>
      </c>
      <c r="M186" s="183">
        <v>1.8</v>
      </c>
      <c r="N186" s="114">
        <f t="shared" si="77"/>
        <v>98.38</v>
      </c>
      <c r="O186" s="183">
        <v>118.15</v>
      </c>
      <c r="P186" s="183"/>
      <c r="Q186" s="370">
        <f t="shared" si="78"/>
        <v>216.53</v>
      </c>
      <c r="R186" s="183">
        <v>244.81</v>
      </c>
      <c r="S186" s="121">
        <v>10128.18</v>
      </c>
      <c r="T186" s="116" t="str">
        <f>IF(AE186="",INDEX(Коэффициенты!$B$4:$S$59,MATCH('Ведомость расчета мин. платы'!AC186,Коэффициенты!$O$4:$O$59,0),9),"")</f>
        <v/>
      </c>
      <c r="U186" s="31" t="s">
        <v>2118</v>
      </c>
      <c r="V186" s="184"/>
      <c r="W186" s="179" t="str">
        <f>IF(B186="",W185,INDEX('Такс. опис.'!$A$5:$BW$50,MATCH(CONCATENATE($C186,"/",$D186,"/",$E186),'Такс. опис.'!$C$5:$C$50,0),48))</f>
        <v>мл</v>
      </c>
      <c r="X186" s="179" t="str">
        <f>IF(B186="",X185,INDEX('Такс. опис.'!$A$5:$BW$50,MATCH(CONCATENATE($C186,"/",$D186,"/",$E186),'Такс. опис.'!$C$5:$C$50,0),26))</f>
        <v>6Б4ОС</v>
      </c>
      <c r="Y186" s="179">
        <f>IF(B186="",Y185,INDEX('Такс. опис.'!$A$5:$BW$50,MATCH(CONCATENATE($C186,"/",$D186,"/",$E186),'Такс. опис.'!$C$5:$C$50,0),49))</f>
        <v>65</v>
      </c>
      <c r="Z186" s="179" t="str">
        <f>IF(C186="",Z185,INDEX('Такс. опис.'!$A$5:$BW$50,MATCH(CONCATENATE($C186,"/",$D186,"/",$E186),'Такс. опис.'!$C$5:$C$50,0),47))</f>
        <v>Береза</v>
      </c>
      <c r="AA186" s="179" t="e">
        <f>IF(D186="","",INDEX('Такс. опис.'!$A$5:$BW$50,MATCH('Ведомость расчета мин. платы'!AC186,'Такс. опис.'!$C$5:$C$50,0),31))</f>
        <v>#N/A</v>
      </c>
      <c r="AB186" s="115"/>
      <c r="AC186" s="47" t="str">
        <f t="shared" si="80"/>
        <v>Тумбинское/57/19/1</v>
      </c>
      <c r="AD186" s="180">
        <f>INDEX(Периметр!$A$3:$Q$158,MATCH(AC186,Периметр!$A$3:$A$158,0),17)</f>
        <v>0.8</v>
      </c>
      <c r="AE186" s="47" t="str">
        <f t="shared" si="79"/>
        <v>Тумбинское/57/19/1/Береза</v>
      </c>
      <c r="AF186" s="115"/>
      <c r="AG186" s="176"/>
      <c r="AH186" s="176"/>
      <c r="AI186" s="176"/>
      <c r="AK186" s="186" t="str">
        <f t="shared" si="59"/>
        <v>Тумбинское/57/19</v>
      </c>
      <c r="AL186" s="181">
        <v>1</v>
      </c>
    </row>
    <row r="187" spans="2:38" ht="15.95" customHeight="1" x14ac:dyDescent="0.2">
      <c r="B187" s="179" t="str">
        <f>IF(E187="","",COUNTA($E$10:E187))</f>
        <v/>
      </c>
      <c r="C187" s="157"/>
      <c r="D187" s="113" t="s">
        <v>166</v>
      </c>
      <c r="E187" s="113"/>
      <c r="F187" s="113" t="s">
        <v>166</v>
      </c>
      <c r="G187" s="157" t="s">
        <v>166</v>
      </c>
      <c r="H187" s="113"/>
      <c r="I187" s="157"/>
      <c r="J187" s="182" t="s">
        <v>18</v>
      </c>
      <c r="K187" s="183">
        <v>21.12</v>
      </c>
      <c r="L187" s="183">
        <v>17.53</v>
      </c>
      <c r="M187" s="183"/>
      <c r="N187" s="114">
        <f t="shared" si="77"/>
        <v>38.650000000000006</v>
      </c>
      <c r="O187" s="183">
        <v>104.92</v>
      </c>
      <c r="P187" s="183"/>
      <c r="Q187" s="370">
        <f t="shared" si="78"/>
        <v>143.57</v>
      </c>
      <c r="R187" s="183">
        <v>176.42</v>
      </c>
      <c r="S187" s="121">
        <v>806.45</v>
      </c>
      <c r="T187" s="116" t="str">
        <f>IF(AE187="",INDEX(Коэффициенты!$B$4:$S$59,MATCH('Ведомость расчета мин. платы'!AC187,Коэффициенты!$O$4:$O$59,0),9),"")</f>
        <v/>
      </c>
      <c r="U187" s="31"/>
      <c r="V187" s="184"/>
      <c r="W187" s="179" t="str">
        <f>IF(B187="",W186,INDEX('Такс. опис.'!$A$5:$BW$50,MATCH(CONCATENATE($C187,"/",$D187,"/",$E187),'Такс. опис.'!$C$5:$C$50,0),48))</f>
        <v>мл</v>
      </c>
      <c r="X187" s="179" t="str">
        <f>IF(B187="",X186,INDEX('Такс. опис.'!$A$5:$BW$50,MATCH(CONCATENATE($C187,"/",$D187,"/",$E187),'Такс. опис.'!$C$5:$C$50,0),26))</f>
        <v>6Б4ОС</v>
      </c>
      <c r="Y187" s="179">
        <f>IF(B187="",Y186,INDEX('Такс. опис.'!$A$5:$BW$50,MATCH(CONCATENATE($C187,"/",$D187,"/",$E187),'Такс. опис.'!$C$5:$C$50,0),49))</f>
        <v>65</v>
      </c>
      <c r="Z187" s="179" t="str">
        <f>IF(C187="",Z186,INDEX('Такс. опис.'!$A$5:$BW$50,MATCH(CONCATENATE($C187,"/",$D187,"/",$E187),'Такс. опис.'!$C$5:$C$50,0),47))</f>
        <v>Береза</v>
      </c>
      <c r="AA187" s="179" t="str">
        <f>IF(D187="","",INDEX('Такс. опис.'!$A$5:$BW$50,MATCH('Ведомость расчета мин. платы'!AC187,'Такс. опис.'!$C$5:$C$50,0),31))</f>
        <v/>
      </c>
      <c r="AB187" s="115"/>
      <c r="AC187" s="47" t="str">
        <f t="shared" si="80"/>
        <v>Тумбинское/57/19/1</v>
      </c>
      <c r="AD187" s="180">
        <f>INDEX(Периметр!$A$3:$Q$158,MATCH(AC187,Периметр!$A$3:$A$158,0),17)</f>
        <v>0.8</v>
      </c>
      <c r="AE187" s="47" t="str">
        <f t="shared" si="79"/>
        <v>Тумбинское/57/19/1/Осина</v>
      </c>
      <c r="AF187" s="115"/>
      <c r="AG187" s="176"/>
      <c r="AH187" s="176"/>
      <c r="AI187" s="176"/>
      <c r="AK187" s="186" t="str">
        <f t="shared" si="59"/>
        <v>//</v>
      </c>
    </row>
    <row r="188" spans="2:38" ht="15.95" customHeight="1" x14ac:dyDescent="0.2">
      <c r="B188" s="179" t="str">
        <f>IF(E188="","",COUNTA($E$10:E188))</f>
        <v/>
      </c>
      <c r="C188" s="157"/>
      <c r="D188" s="113"/>
      <c r="E188" s="113"/>
      <c r="F188" s="113"/>
      <c r="G188" s="157"/>
      <c r="H188" s="113"/>
      <c r="I188" s="157"/>
      <c r="J188" s="187" t="s">
        <v>15</v>
      </c>
      <c r="K188" s="114">
        <f>SUM(K186:K187)</f>
        <v>63.94</v>
      </c>
      <c r="L188" s="114">
        <f t="shared" ref="L188:S188" si="83">SUM(L186:L187)</f>
        <v>71.289999999999992</v>
      </c>
      <c r="M188" s="114">
        <f t="shared" si="83"/>
        <v>1.8</v>
      </c>
      <c r="N188" s="114">
        <f t="shared" si="83"/>
        <v>137.03</v>
      </c>
      <c r="O188" s="114">
        <f t="shared" si="83"/>
        <v>223.07</v>
      </c>
      <c r="P188" s="114"/>
      <c r="Q188" s="370">
        <f t="shared" si="83"/>
        <v>360.1</v>
      </c>
      <c r="R188" s="114">
        <f t="shared" si="83"/>
        <v>421.23</v>
      </c>
      <c r="S188" s="114">
        <f t="shared" si="83"/>
        <v>10934.630000000001</v>
      </c>
      <c r="T188" s="116">
        <f>IF(AE188="",INDEX(Коэффициенты!$B$4:$S$59,MATCH('Ведомость расчета мин. платы'!AC188,Коэффициенты!$O$4:$O$59,0),9),"")</f>
        <v>21213.182200000007</v>
      </c>
      <c r="U188" s="31"/>
      <c r="V188" s="184"/>
      <c r="W188" s="179" t="str">
        <f>IF(B188="",W187,INDEX('Такс. опис.'!$A$5:$BW$50,MATCH(CONCATENATE($C188,"/",$D188,"/",$E188),'Такс. опис.'!$C$5:$C$50,0),48))</f>
        <v>мл</v>
      </c>
      <c r="X188" s="179" t="str">
        <f>IF(B188="",X187,INDEX('Такс. опис.'!$A$5:$BW$50,MATCH(CONCATENATE($C188,"/",$D188,"/",$E188),'Такс. опис.'!$C$5:$C$50,0),26))</f>
        <v>6Б4ОС</v>
      </c>
      <c r="Y188" s="179">
        <f>IF(B188="",Y187,INDEX('Такс. опис.'!$A$5:$BW$50,MATCH(CONCATENATE($C188,"/",$D188,"/",$E188),'Такс. опис.'!$C$5:$C$50,0),49))</f>
        <v>65</v>
      </c>
      <c r="Z188" s="179" t="str">
        <f>IF(C188="",Z187,INDEX('Такс. опис.'!$A$5:$BW$50,MATCH(CONCATENATE($C188,"/",$D188,"/",$E188),'Такс. опис.'!$C$5:$C$50,0),47))</f>
        <v>Береза</v>
      </c>
      <c r="AA188" s="179" t="str">
        <f>IF(D188="","",INDEX('Такс. опис.'!$A$5:$BW$50,MATCH('Ведомость расчета мин. платы'!AC188,'Такс. опис.'!$C$5:$C$50,0),31))</f>
        <v/>
      </c>
      <c r="AB188" s="115"/>
      <c r="AC188" s="47" t="str">
        <f t="shared" si="80"/>
        <v>Тумбинское/57/19/1</v>
      </c>
      <c r="AD188" s="180">
        <f>INDEX(Периметр!$A$3:$Q$158,MATCH(AC188,Периметр!$A$3:$A$158,0),17)</f>
        <v>0.8</v>
      </c>
      <c r="AE188" s="47" t="str">
        <f t="shared" si="79"/>
        <v/>
      </c>
      <c r="AF188" s="115"/>
      <c r="AG188" s="176"/>
      <c r="AH188" s="176"/>
      <c r="AI188" s="176"/>
      <c r="AK188" s="186" t="str">
        <f t="shared" si="59"/>
        <v>//</v>
      </c>
    </row>
    <row r="189" spans="2:38" ht="15.95" customHeight="1" x14ac:dyDescent="0.2">
      <c r="B189" s="179">
        <f>IF(E189="","",COUNTA($E$10:E189))</f>
        <v>50</v>
      </c>
      <c r="C189" s="157" t="s">
        <v>27</v>
      </c>
      <c r="D189" s="113">
        <v>68</v>
      </c>
      <c r="E189" s="113">
        <v>7</v>
      </c>
      <c r="F189" s="113">
        <v>1</v>
      </c>
      <c r="G189" s="157">
        <v>10</v>
      </c>
      <c r="H189" s="113" t="s">
        <v>2086</v>
      </c>
      <c r="I189" s="157" t="s">
        <v>23</v>
      </c>
      <c r="J189" s="182" t="s">
        <v>17</v>
      </c>
      <c r="K189" s="183">
        <v>8</v>
      </c>
      <c r="L189" s="183">
        <v>41.4</v>
      </c>
      <c r="M189" s="183">
        <v>3.6</v>
      </c>
      <c r="N189" s="114">
        <f t="shared" si="77"/>
        <v>53</v>
      </c>
      <c r="O189" s="183">
        <v>159.4</v>
      </c>
      <c r="P189" s="183"/>
      <c r="Q189" s="370">
        <f t="shared" si="78"/>
        <v>212.4</v>
      </c>
      <c r="R189" s="183">
        <v>248</v>
      </c>
      <c r="S189" s="121">
        <v>5479.21</v>
      </c>
      <c r="T189" s="116" t="str">
        <f>IF(AE189="",INDEX(Коэффициенты!$B$4:$S$59,MATCH('Ведомость расчета мин. платы'!AC189,Коэффициенты!$O$4:$O$59,0),9),"")</f>
        <v/>
      </c>
      <c r="U189" s="31" t="s">
        <v>2116</v>
      </c>
      <c r="V189" s="184"/>
      <c r="W189" s="179" t="str">
        <f>IF(B189="",W188,INDEX('Такс. опис.'!$A$5:$BW$50,MATCH(CONCATENATE($C189,"/",$D189,"/",$E189),'Такс. опис.'!$C$5:$C$50,0),48))</f>
        <v>мл</v>
      </c>
      <c r="X189" s="179" t="str">
        <f>IF(B189="",X188,INDEX('Такс. опис.'!$A$5:$BW$50,MATCH(CONCATENATE($C189,"/",$D189,"/",$E189),'Такс. опис.'!$C$5:$C$50,0),26))</f>
        <v>7ОС2Б1ЛП</v>
      </c>
      <c r="Y189" s="179">
        <f>IF(B189="",Y188,INDEX('Такс. опис.'!$A$5:$BW$50,MATCH(CONCATENATE($C189,"/",$D189,"/",$E189),'Такс. опис.'!$C$5:$C$50,0),49))</f>
        <v>45</v>
      </c>
      <c r="Z189" s="179" t="str">
        <f>IF(C189="",Z188,INDEX('Такс. опис.'!$A$5:$BW$50,MATCH(CONCATENATE($C189,"/",$D189,"/",$E189),'Такс. опис.'!$C$5:$C$50,0),47))</f>
        <v>Осина</v>
      </c>
      <c r="AA189" s="179" t="e">
        <f>IF(D189="","",INDEX('Такс. опис.'!$A$5:$BW$50,MATCH('Ведомость расчета мин. платы'!AC189,'Такс. опис.'!$C$5:$C$50,0),31))</f>
        <v>#N/A</v>
      </c>
      <c r="AB189" s="115"/>
      <c r="AC189" s="47" t="str">
        <f t="shared" si="80"/>
        <v>Тумбинское/68/7/1</v>
      </c>
      <c r="AD189" s="180">
        <f>INDEX(Периметр!$A$3:$Q$158,MATCH(AC189,Периметр!$A$3:$A$158,0),17)</f>
        <v>1.84</v>
      </c>
      <c r="AE189" s="47" t="str">
        <f t="shared" si="79"/>
        <v>Тумбинское/68/7/1/Береза</v>
      </c>
      <c r="AF189" s="115"/>
      <c r="AG189" s="176"/>
      <c r="AH189" s="176"/>
      <c r="AI189" s="176"/>
      <c r="AK189" s="186" t="str">
        <f t="shared" si="59"/>
        <v>Тумбинское/68/7</v>
      </c>
      <c r="AL189" s="181">
        <v>1</v>
      </c>
    </row>
    <row r="190" spans="2:38" ht="15.95" customHeight="1" x14ac:dyDescent="0.2">
      <c r="B190" s="179" t="str">
        <f>IF(E190="","",COUNTA($E$10:E190))</f>
        <v/>
      </c>
      <c r="C190" s="157"/>
      <c r="D190" s="113" t="s">
        <v>166</v>
      </c>
      <c r="E190" s="113"/>
      <c r="F190" s="113" t="s">
        <v>166</v>
      </c>
      <c r="G190" s="157" t="s">
        <v>166</v>
      </c>
      <c r="H190" s="113"/>
      <c r="I190" s="157"/>
      <c r="J190" s="182" t="s">
        <v>19</v>
      </c>
      <c r="K190" s="183"/>
      <c r="L190" s="183">
        <v>26.04</v>
      </c>
      <c r="M190" s="183">
        <v>8.1199999999999992</v>
      </c>
      <c r="N190" s="114">
        <f t="shared" si="77"/>
        <v>34.159999999999997</v>
      </c>
      <c r="O190" s="183">
        <v>96.46</v>
      </c>
      <c r="P190" s="183"/>
      <c r="Q190" s="370">
        <f t="shared" si="78"/>
        <v>130.62</v>
      </c>
      <c r="R190" s="183">
        <v>146.5</v>
      </c>
      <c r="S190" s="121">
        <v>1624.66</v>
      </c>
      <c r="T190" s="116" t="str">
        <f>IF(AE190="",INDEX(Коэффициенты!$B$4:$S$59,MATCH('Ведомость расчета мин. платы'!AC190,Коэффициенты!$O$4:$O$59,0),9),"")</f>
        <v/>
      </c>
      <c r="U190" s="31"/>
      <c r="V190" s="184"/>
      <c r="W190" s="179" t="str">
        <f>IF(B190="",W189,INDEX('Такс. опис.'!$A$5:$BW$50,MATCH(CONCATENATE($C190,"/",$D190,"/",$E190),'Такс. опис.'!$C$5:$C$50,0),48))</f>
        <v>мл</v>
      </c>
      <c r="X190" s="179" t="str">
        <f>IF(B190="",X189,INDEX('Такс. опис.'!$A$5:$BW$50,MATCH(CONCATENATE($C190,"/",$D190,"/",$E190),'Такс. опис.'!$C$5:$C$50,0),26))</f>
        <v>7ОС2Б1ЛП</v>
      </c>
      <c r="Y190" s="179">
        <f>IF(B190="",Y189,INDEX('Такс. опис.'!$A$5:$BW$50,MATCH(CONCATENATE($C190,"/",$D190,"/",$E190),'Такс. опис.'!$C$5:$C$50,0),49))</f>
        <v>45</v>
      </c>
      <c r="Z190" s="179" t="str">
        <f>IF(C190="",Z189,INDEX('Такс. опис.'!$A$5:$BW$50,MATCH(CONCATENATE($C190,"/",$D190,"/",$E190),'Такс. опис.'!$C$5:$C$50,0),47))</f>
        <v>Осина</v>
      </c>
      <c r="AA190" s="179" t="str">
        <f>IF(D190="","",INDEX('Такс. опис.'!$A$5:$BW$50,MATCH('Ведомость расчета мин. платы'!AC190,'Такс. опис.'!$C$5:$C$50,0),31))</f>
        <v/>
      </c>
      <c r="AB190" s="115"/>
      <c r="AC190" s="47" t="str">
        <f t="shared" si="80"/>
        <v>Тумбинское/68/7/1</v>
      </c>
      <c r="AD190" s="180">
        <f>INDEX(Периметр!$A$3:$Q$158,MATCH(AC190,Периметр!$A$3:$A$158,0),17)</f>
        <v>1.84</v>
      </c>
      <c r="AE190" s="47" t="str">
        <f t="shared" si="79"/>
        <v>Тумбинское/68/7/1/Липа</v>
      </c>
      <c r="AF190" s="115"/>
      <c r="AG190" s="176"/>
      <c r="AH190" s="176"/>
      <c r="AI190" s="176"/>
      <c r="AK190" s="186" t="str">
        <f t="shared" si="59"/>
        <v>//</v>
      </c>
    </row>
    <row r="191" spans="2:38" ht="15.95" customHeight="1" x14ac:dyDescent="0.2">
      <c r="B191" s="179" t="str">
        <f>IF(E191="","",COUNTA($E$10:E191))</f>
        <v/>
      </c>
      <c r="C191" s="157"/>
      <c r="D191" s="113" t="s">
        <v>166</v>
      </c>
      <c r="E191" s="113"/>
      <c r="F191" s="113" t="s">
        <v>166</v>
      </c>
      <c r="G191" s="157" t="s">
        <v>166</v>
      </c>
      <c r="H191" s="113"/>
      <c r="I191" s="157"/>
      <c r="J191" s="182" t="s">
        <v>18</v>
      </c>
      <c r="K191" s="183">
        <v>62.2</v>
      </c>
      <c r="L191" s="183">
        <v>189</v>
      </c>
      <c r="M191" s="183">
        <v>26.4</v>
      </c>
      <c r="N191" s="114">
        <f t="shared" si="77"/>
        <v>277.59999999999997</v>
      </c>
      <c r="O191" s="183">
        <v>659.3</v>
      </c>
      <c r="P191" s="183"/>
      <c r="Q191" s="370">
        <f t="shared" si="78"/>
        <v>936.89999999999986</v>
      </c>
      <c r="R191" s="183">
        <v>1142.5999999999999</v>
      </c>
      <c r="S191" s="121">
        <v>5064.42</v>
      </c>
      <c r="T191" s="116" t="str">
        <f>IF(AE191="",INDEX(Коэффициенты!$B$4:$S$59,MATCH('Ведомость расчета мин. платы'!AC191,Коэффициенты!$O$4:$O$59,0),9),"")</f>
        <v/>
      </c>
      <c r="U191" s="31"/>
      <c r="V191" s="184"/>
      <c r="W191" s="179" t="str">
        <f>IF(B191="",W190,INDEX('Такс. опис.'!$A$5:$BW$50,MATCH(CONCATENATE($C191,"/",$D191,"/",$E191),'Такс. опис.'!$C$5:$C$50,0),48))</f>
        <v>мл</v>
      </c>
      <c r="X191" s="179" t="str">
        <f>IF(B191="",X190,INDEX('Такс. опис.'!$A$5:$BW$50,MATCH(CONCATENATE($C191,"/",$D191,"/",$E191),'Такс. опис.'!$C$5:$C$50,0),26))</f>
        <v>7ОС2Б1ЛП</v>
      </c>
      <c r="Y191" s="179">
        <f>IF(B191="",Y190,INDEX('Такс. опис.'!$A$5:$BW$50,MATCH(CONCATENATE($C191,"/",$D191,"/",$E191),'Такс. опис.'!$C$5:$C$50,0),49))</f>
        <v>45</v>
      </c>
      <c r="Z191" s="179" t="str">
        <f>IF(C191="",Z190,INDEX('Такс. опис.'!$A$5:$BW$50,MATCH(CONCATENATE($C191,"/",$D191,"/",$E191),'Такс. опис.'!$C$5:$C$50,0),47))</f>
        <v>Осина</v>
      </c>
      <c r="AA191" s="179" t="str">
        <f>IF(D191="","",INDEX('Такс. опис.'!$A$5:$BW$50,MATCH('Ведомость расчета мин. платы'!AC191,'Такс. опис.'!$C$5:$C$50,0),31))</f>
        <v/>
      </c>
      <c r="AB191" s="115"/>
      <c r="AC191" s="47" t="str">
        <f t="shared" si="80"/>
        <v>Тумбинское/68/7/1</v>
      </c>
      <c r="AD191" s="180">
        <f>INDEX(Периметр!$A$3:$Q$158,MATCH(AC191,Периметр!$A$3:$A$158,0),17)</f>
        <v>1.84</v>
      </c>
      <c r="AE191" s="47" t="str">
        <f t="shared" si="79"/>
        <v>Тумбинское/68/7/1/Осина</v>
      </c>
      <c r="AF191" s="115"/>
      <c r="AG191" s="176"/>
      <c r="AH191" s="176"/>
      <c r="AI191" s="176"/>
      <c r="AK191" s="186" t="str">
        <f t="shared" si="59"/>
        <v>//</v>
      </c>
    </row>
    <row r="192" spans="2:38" ht="15.95" customHeight="1" x14ac:dyDescent="0.2">
      <c r="B192" s="179" t="str">
        <f>IF(E192="","",COUNTA($E$10:E192))</f>
        <v/>
      </c>
      <c r="C192" s="157"/>
      <c r="D192" s="113"/>
      <c r="E192" s="113"/>
      <c r="F192" s="113"/>
      <c r="G192" s="157"/>
      <c r="H192" s="113"/>
      <c r="I192" s="157"/>
      <c r="J192" s="187" t="s">
        <v>15</v>
      </c>
      <c r="K192" s="114">
        <f>SUM(K189:K191)</f>
        <v>70.2</v>
      </c>
      <c r="L192" s="114">
        <f t="shared" ref="L192:S192" si="84">SUM(L189:L191)</f>
        <v>256.44</v>
      </c>
      <c r="M192" s="114">
        <f t="shared" si="84"/>
        <v>38.119999999999997</v>
      </c>
      <c r="N192" s="114">
        <f t="shared" si="84"/>
        <v>364.76</v>
      </c>
      <c r="O192" s="114">
        <f t="shared" si="84"/>
        <v>915.16</v>
      </c>
      <c r="P192" s="114"/>
      <c r="Q192" s="370">
        <f t="shared" si="84"/>
        <v>1279.9199999999998</v>
      </c>
      <c r="R192" s="114">
        <f t="shared" si="84"/>
        <v>1537.1</v>
      </c>
      <c r="S192" s="114">
        <f t="shared" si="84"/>
        <v>12168.29</v>
      </c>
      <c r="T192" s="116">
        <f>IF(AE192="",INDEX(Коэффициенты!$B$4:$S$59,MATCH('Ведомость расчета мин. платы'!AC192,Коэффициенты!$O$4:$O$59,0),9),"")</f>
        <v>46361.184900000007</v>
      </c>
      <c r="U192" s="31"/>
      <c r="V192" s="184"/>
      <c r="W192" s="179" t="str">
        <f>IF(B192="",W191,INDEX('Такс. опис.'!$A$5:$BW$50,MATCH(CONCATENATE($C192,"/",$D192,"/",$E192),'Такс. опис.'!$C$5:$C$50,0),48))</f>
        <v>мл</v>
      </c>
      <c r="X192" s="179" t="str">
        <f>IF(B192="",X191,INDEX('Такс. опис.'!$A$5:$BW$50,MATCH(CONCATENATE($C192,"/",$D192,"/",$E192),'Такс. опис.'!$C$5:$C$50,0),26))</f>
        <v>7ОС2Б1ЛП</v>
      </c>
      <c r="Y192" s="179">
        <f>IF(B192="",Y191,INDEX('Такс. опис.'!$A$5:$BW$50,MATCH(CONCATENATE($C192,"/",$D192,"/",$E192),'Такс. опис.'!$C$5:$C$50,0),49))</f>
        <v>45</v>
      </c>
      <c r="Z192" s="179" t="str">
        <f>IF(C192="",Z191,INDEX('Такс. опис.'!$A$5:$BW$50,MATCH(CONCATENATE($C192,"/",$D192,"/",$E192),'Такс. опис.'!$C$5:$C$50,0),47))</f>
        <v>Осина</v>
      </c>
      <c r="AA192" s="179" t="str">
        <f>IF(D192="","",INDEX('Такс. опис.'!$A$5:$BW$50,MATCH('Ведомость расчета мин. платы'!AC192,'Такс. опис.'!$C$5:$C$50,0),31))</f>
        <v/>
      </c>
      <c r="AB192" s="115"/>
      <c r="AC192" s="47" t="str">
        <f t="shared" si="80"/>
        <v>Тумбинское/68/7/1</v>
      </c>
      <c r="AD192" s="180">
        <f>INDEX(Периметр!$A$3:$Q$158,MATCH(AC192,Периметр!$A$3:$A$158,0),17)</f>
        <v>1.84</v>
      </c>
      <c r="AE192" s="47" t="str">
        <f t="shared" si="79"/>
        <v/>
      </c>
      <c r="AF192" s="115"/>
      <c r="AG192" s="176"/>
      <c r="AH192" s="176"/>
      <c r="AI192" s="176"/>
      <c r="AK192" s="186" t="str">
        <f t="shared" si="59"/>
        <v>//</v>
      </c>
    </row>
    <row r="193" spans="2:38" ht="15.95" customHeight="1" x14ac:dyDescent="0.2">
      <c r="B193" s="179">
        <f>IF(E193="","",COUNTA($E$10:E193))</f>
        <v>51</v>
      </c>
      <c r="C193" s="157" t="s">
        <v>27</v>
      </c>
      <c r="D193" s="113">
        <v>114</v>
      </c>
      <c r="E193" s="113">
        <v>10</v>
      </c>
      <c r="F193" s="113">
        <v>1</v>
      </c>
      <c r="G193" s="157">
        <v>4.4000000000000004</v>
      </c>
      <c r="H193" s="113" t="s">
        <v>2086</v>
      </c>
      <c r="I193" s="157" t="s">
        <v>23</v>
      </c>
      <c r="J193" s="182" t="s">
        <v>17</v>
      </c>
      <c r="K193" s="183">
        <v>60.76</v>
      </c>
      <c r="L193" s="183">
        <v>140.58000000000001</v>
      </c>
      <c r="M193" s="183">
        <v>7.92</v>
      </c>
      <c r="N193" s="114">
        <f t="shared" si="77"/>
        <v>209.26</v>
      </c>
      <c r="O193" s="183">
        <v>370.44</v>
      </c>
      <c r="P193" s="183"/>
      <c r="Q193" s="370">
        <f t="shared" si="78"/>
        <v>579.70000000000005</v>
      </c>
      <c r="R193" s="183">
        <v>653.58000000000004</v>
      </c>
      <c r="S193" s="121">
        <v>22217.86</v>
      </c>
      <c r="T193" s="116" t="str">
        <f>IF(AE193="",INDEX(Коэффициенты!$B$4:$S$59,MATCH('Ведомость расчета мин. платы'!AC193,Коэффициенты!$O$4:$O$59,0),9),"")</f>
        <v/>
      </c>
      <c r="U193" s="31" t="s">
        <v>2118</v>
      </c>
      <c r="V193" s="184"/>
      <c r="W193" s="179" t="str">
        <f>IF(B193="",#REF!,INDEX('Такс. опис.'!$A$5:$BW$50,MATCH(CONCATENATE($C193,"/",$D193,"/",$E193),'Такс. опис.'!$C$5:$C$50,0),48))</f>
        <v>мл</v>
      </c>
      <c r="X193" s="179" t="str">
        <f>IF(B193="",#REF!,INDEX('Такс. опис.'!$A$5:$BW$50,MATCH(CONCATENATE($C193,"/",$D193,"/",$E193),'Такс. опис.'!$C$5:$C$50,0),26))</f>
        <v>6Б3ОС1ЛП+В</v>
      </c>
      <c r="Y193" s="179">
        <f>IF(B193="",#REF!,INDEX('Такс. опис.'!$A$5:$BW$50,MATCH(CONCATENATE($C193,"/",$D193,"/",$E193),'Такс. опис.'!$C$5:$C$50,0),49))</f>
        <v>65</v>
      </c>
      <c r="Z193" s="179" t="str">
        <f>IF(C193="",#REF!,INDEX('Такс. опис.'!$A$5:$BW$50,MATCH(CONCATENATE($C193,"/",$D193,"/",$E193),'Такс. опис.'!$C$5:$C$50,0),47))</f>
        <v>Береза</v>
      </c>
      <c r="AA193" s="179" t="e">
        <f>IF(D193="","",INDEX('Такс. опис.'!$A$5:$BW$50,MATCH('Ведомость расчета мин. платы'!AC193,'Такс. опис.'!$C$5:$C$50,0),31))</f>
        <v>#N/A</v>
      </c>
      <c r="AB193" s="115"/>
      <c r="AC193" s="47" t="str">
        <f>IF(B193="",#REF!,CONCATENATE($C193,"/",$D193,"/",$E193,"/",F193))</f>
        <v>Тумбинское/114/10/1</v>
      </c>
      <c r="AD193" s="180">
        <f>INDEX(Периметр!$A$3:$Q$158,MATCH(AC193,Периметр!$A$3:$A$158,0),17)</f>
        <v>1.26</v>
      </c>
      <c r="AE193" s="47" t="str">
        <f t="shared" si="79"/>
        <v>Тумбинское/114/10/1/Береза</v>
      </c>
      <c r="AF193" s="115"/>
      <c r="AG193" s="176"/>
      <c r="AH193" s="176"/>
      <c r="AI193" s="176"/>
      <c r="AK193" s="186" t="str">
        <f t="shared" si="59"/>
        <v>Тумбинское/114/10</v>
      </c>
      <c r="AL193" s="181">
        <v>1</v>
      </c>
    </row>
    <row r="194" spans="2:38" ht="15.95" customHeight="1" x14ac:dyDescent="0.2">
      <c r="B194" s="179" t="str">
        <f>IF(E194="","",COUNTA($E$10:E194))</f>
        <v/>
      </c>
      <c r="C194" s="157"/>
      <c r="D194" s="113" t="s">
        <v>166</v>
      </c>
      <c r="E194" s="113"/>
      <c r="F194" s="113" t="s">
        <v>166</v>
      </c>
      <c r="G194" s="157" t="s">
        <v>166</v>
      </c>
      <c r="H194" s="113"/>
      <c r="I194" s="157"/>
      <c r="J194" s="182" t="s">
        <v>18</v>
      </c>
      <c r="K194" s="183">
        <v>59.09</v>
      </c>
      <c r="L194" s="183">
        <v>73.3</v>
      </c>
      <c r="M194" s="183"/>
      <c r="N194" s="114">
        <f t="shared" ref="N194:N208" si="85">SUM(K194:M194)</f>
        <v>132.38999999999999</v>
      </c>
      <c r="O194" s="183">
        <v>188.14</v>
      </c>
      <c r="P194" s="183"/>
      <c r="Q194" s="370">
        <f t="shared" ref="Q194:Q208" si="86">SUM(N194:P194)</f>
        <v>320.52999999999997</v>
      </c>
      <c r="R194" s="183">
        <v>384.52</v>
      </c>
      <c r="S194" s="121">
        <v>2732.41</v>
      </c>
      <c r="T194" s="116" t="str">
        <f>IF(AE194="",INDEX(Коэффициенты!$B$4:$S$59,MATCH('Ведомость расчета мин. платы'!AC194,Коэффициенты!$O$4:$O$59,0),9),"")</f>
        <v/>
      </c>
      <c r="U194" s="31"/>
      <c r="V194" s="184"/>
      <c r="W194" s="179" t="str">
        <f>IF(B194="",W193,INDEX('Такс. опис.'!$A$5:$BW$50,MATCH(CONCATENATE($C194,"/",$D194,"/",$E194),'Такс. опис.'!$C$5:$C$50,0),48))</f>
        <v>мл</v>
      </c>
      <c r="X194" s="179" t="str">
        <f>IF(B194="",X193,INDEX('Такс. опис.'!$A$5:$BW$50,MATCH(CONCATENATE($C194,"/",$D194,"/",$E194),'Такс. опис.'!$C$5:$C$50,0),26))</f>
        <v>6Б3ОС1ЛП+В</v>
      </c>
      <c r="Y194" s="179">
        <f>IF(B194="",Y193,INDEX('Такс. опис.'!$A$5:$BW$50,MATCH(CONCATENATE($C194,"/",$D194,"/",$E194),'Такс. опис.'!$C$5:$C$50,0),49))</f>
        <v>65</v>
      </c>
      <c r="Z194" s="179" t="str">
        <f>IF(C194="",Z193,INDEX('Такс. опис.'!$A$5:$BW$50,MATCH(CONCATENATE($C194,"/",$D194,"/",$E194),'Такс. опис.'!$C$5:$C$50,0),47))</f>
        <v>Береза</v>
      </c>
      <c r="AA194" s="179" t="str">
        <f>IF(D194="","",INDEX('Такс. опис.'!$A$5:$BW$50,MATCH('Ведомость расчета мин. платы'!AC194,'Такс. опис.'!$C$5:$C$50,0),31))</f>
        <v/>
      </c>
      <c r="AB194" s="115"/>
      <c r="AC194" s="47" t="str">
        <f t="shared" si="80"/>
        <v>Тумбинское/114/10/1</v>
      </c>
      <c r="AD194" s="180">
        <f>INDEX(Периметр!$A$3:$Q$158,MATCH(AC194,Периметр!$A$3:$A$158,0),17)</f>
        <v>1.26</v>
      </c>
      <c r="AE194" s="47" t="str">
        <f t="shared" si="79"/>
        <v>Тумбинское/114/10/1/Осина</v>
      </c>
      <c r="AF194" s="115"/>
      <c r="AG194" s="176"/>
      <c r="AH194" s="176"/>
      <c r="AI194" s="176"/>
      <c r="AK194" s="186" t="str">
        <f t="shared" si="59"/>
        <v>//</v>
      </c>
    </row>
    <row r="195" spans="2:38" ht="15.95" customHeight="1" x14ac:dyDescent="0.2">
      <c r="B195" s="179" t="str">
        <f>IF(E195="","",COUNTA($E$10:E195))</f>
        <v/>
      </c>
      <c r="C195" s="157"/>
      <c r="D195" s="113"/>
      <c r="E195" s="113"/>
      <c r="F195" s="113"/>
      <c r="G195" s="157"/>
      <c r="H195" s="113"/>
      <c r="I195" s="157"/>
      <c r="J195" s="187" t="s">
        <v>15</v>
      </c>
      <c r="K195" s="114">
        <f>SUM(K193:K194)</f>
        <v>119.85</v>
      </c>
      <c r="L195" s="114">
        <f t="shared" ref="L195:S195" si="87">SUM(L193:L194)</f>
        <v>213.88</v>
      </c>
      <c r="M195" s="114">
        <f t="shared" si="87"/>
        <v>7.92</v>
      </c>
      <c r="N195" s="114">
        <f t="shared" si="87"/>
        <v>341.65</v>
      </c>
      <c r="O195" s="114">
        <f t="shared" si="87"/>
        <v>558.57999999999993</v>
      </c>
      <c r="P195" s="114"/>
      <c r="Q195" s="370">
        <f t="shared" si="87"/>
        <v>900.23</v>
      </c>
      <c r="R195" s="114">
        <f t="shared" si="87"/>
        <v>1038.0999999999999</v>
      </c>
      <c r="S195" s="114">
        <f t="shared" si="87"/>
        <v>24950.27</v>
      </c>
      <c r="T195" s="116">
        <f>IF(AE195="",INDEX(Коэффициенты!$B$4:$S$59,MATCH('Ведомость расчета мин. платы'!AC195,Коэффициенты!$O$4:$O$59,0),9),"")</f>
        <v>39920.431999999993</v>
      </c>
      <c r="U195" s="31"/>
      <c r="V195" s="184"/>
      <c r="W195" s="179" t="str">
        <f>IF(B195="",W194,INDEX('Такс. опис.'!$A$5:$BW$50,MATCH(CONCATENATE($C195,"/",$D195,"/",$E195),'Такс. опис.'!$C$5:$C$50,0),48))</f>
        <v>мл</v>
      </c>
      <c r="X195" s="179" t="str">
        <f>IF(B195="",X194,INDEX('Такс. опис.'!$A$5:$BW$50,MATCH(CONCATENATE($C195,"/",$D195,"/",$E195),'Такс. опис.'!$C$5:$C$50,0),26))</f>
        <v>6Б3ОС1ЛП+В</v>
      </c>
      <c r="Y195" s="179">
        <f>IF(B195="",Y194,INDEX('Такс. опис.'!$A$5:$BW$50,MATCH(CONCATENATE($C195,"/",$D195,"/",$E195),'Такс. опис.'!$C$5:$C$50,0),49))</f>
        <v>65</v>
      </c>
      <c r="Z195" s="179" t="str">
        <f>IF(C195="",Z194,INDEX('Такс. опис.'!$A$5:$BW$50,MATCH(CONCATENATE($C195,"/",$D195,"/",$E195),'Такс. опис.'!$C$5:$C$50,0),47))</f>
        <v>Береза</v>
      </c>
      <c r="AA195" s="179" t="str">
        <f>IF(D195="","",INDEX('Такс. опис.'!$A$5:$BW$50,MATCH('Ведомость расчета мин. платы'!AC195,'Такс. опис.'!$C$5:$C$50,0),31))</f>
        <v/>
      </c>
      <c r="AB195" s="115"/>
      <c r="AC195" s="47" t="str">
        <f t="shared" si="80"/>
        <v>Тумбинское/114/10/1</v>
      </c>
      <c r="AD195" s="180">
        <f>INDEX(Периметр!$A$3:$Q$158,MATCH(AC195,Периметр!$A$3:$A$158,0),17)</f>
        <v>1.26</v>
      </c>
      <c r="AE195" s="47" t="str">
        <f t="shared" ref="AE195:AE209" si="88">IF(J195="Итого","",CONCATENATE(AC195,"/",J195))</f>
        <v/>
      </c>
      <c r="AF195" s="115"/>
      <c r="AG195" s="176"/>
      <c r="AH195" s="176"/>
      <c r="AI195" s="176"/>
      <c r="AK195" s="186" t="str">
        <f t="shared" si="59"/>
        <v>//</v>
      </c>
    </row>
    <row r="196" spans="2:38" ht="15.95" customHeight="1" x14ac:dyDescent="0.2">
      <c r="B196" s="179">
        <f>IF(E196="","",COUNTA($E$10:E196))</f>
        <v>52</v>
      </c>
      <c r="C196" s="157" t="s">
        <v>27</v>
      </c>
      <c r="D196" s="113">
        <v>136</v>
      </c>
      <c r="E196" s="113">
        <v>11</v>
      </c>
      <c r="F196" s="113">
        <v>1</v>
      </c>
      <c r="G196" s="157">
        <v>9.5</v>
      </c>
      <c r="H196" s="113" t="s">
        <v>2086</v>
      </c>
      <c r="I196" s="157" t="s">
        <v>23</v>
      </c>
      <c r="J196" s="182" t="s">
        <v>17</v>
      </c>
      <c r="K196" s="183"/>
      <c r="L196" s="183">
        <v>131.19999999999999</v>
      </c>
      <c r="M196" s="183">
        <v>123.41</v>
      </c>
      <c r="N196" s="114">
        <f t="shared" si="85"/>
        <v>254.60999999999999</v>
      </c>
      <c r="O196" s="183">
        <v>290.62</v>
      </c>
      <c r="P196" s="183"/>
      <c r="Q196" s="370">
        <f t="shared" si="86"/>
        <v>545.23</v>
      </c>
      <c r="R196" s="183">
        <v>621.67999999999995</v>
      </c>
      <c r="S196" s="121">
        <v>17690.97</v>
      </c>
      <c r="T196" s="116" t="str">
        <f>IF(AE196="",INDEX(Коэффициенты!$B$4:$S$59,MATCH('Ведомость расчета мин. платы'!AC196,Коэффициенты!$O$4:$O$59,0),9),"")</f>
        <v/>
      </c>
      <c r="U196" s="31" t="s">
        <v>2119</v>
      </c>
      <c r="V196" s="184"/>
      <c r="W196" s="179" t="str">
        <f>IF(B196="",W195,INDEX('Такс. опис.'!$A$5:$BW$50,MATCH(CONCATENATE($C196,"/",$D196,"/",$E196),'Такс. опис.'!$C$5:$C$50,0),48))</f>
        <v>мл</v>
      </c>
      <c r="X196" s="179" t="str">
        <f>IF(B196="",X195,INDEX('Такс. опис.'!$A$5:$BW$50,MATCH(CONCATENATE($C196,"/",$D196,"/",$E196),'Такс. опис.'!$C$5:$C$50,0),26))</f>
        <v>5ЛП3ЛП2ОС+Б</v>
      </c>
      <c r="Y196" s="179">
        <f>IF(B196="",Y195,INDEX('Такс. опис.'!$A$5:$BW$50,MATCH(CONCATENATE($C196,"/",$D196,"/",$E196),'Такс. опис.'!$C$5:$C$50,0),49))</f>
        <v>70</v>
      </c>
      <c r="Z196" s="179" t="str">
        <f>IF(C196="",Z195,INDEX('Такс. опис.'!$A$5:$BW$50,MATCH(CONCATENATE($C196,"/",$D196,"/",$E196),'Такс. опис.'!$C$5:$C$50,0),47))</f>
        <v>Липа</v>
      </c>
      <c r="AA196" s="179" t="e">
        <f>IF(D196="","",INDEX('Такс. опис.'!$A$5:$BW$50,MATCH('Ведомость расчета мин. платы'!AC196,'Такс. опис.'!$C$5:$C$50,0),31))</f>
        <v>#N/A</v>
      </c>
      <c r="AB196" s="115"/>
      <c r="AC196" s="47" t="str">
        <f t="shared" ref="AC196:AC209" si="89">IF(B196="",AC195,CONCATENATE($C196,"/",$D196,"/",$E196,"/",F196))</f>
        <v>Тумбинское/136/11/1</v>
      </c>
      <c r="AD196" s="180">
        <f>INDEX(Периметр!$A$3:$Q$158,MATCH(AC196,Периметр!$A$3:$A$158,0),17)</f>
        <v>1.52</v>
      </c>
      <c r="AE196" s="47" t="str">
        <f t="shared" si="88"/>
        <v>Тумбинское/136/11/1/Береза</v>
      </c>
      <c r="AF196" s="115"/>
      <c r="AG196" s="176"/>
      <c r="AH196" s="176"/>
      <c r="AI196" s="176"/>
      <c r="AK196" s="186" t="str">
        <f t="shared" si="59"/>
        <v>Тумбинское/136/11</v>
      </c>
      <c r="AL196" s="181">
        <v>1</v>
      </c>
    </row>
    <row r="197" spans="2:38" ht="15.95" customHeight="1" x14ac:dyDescent="0.2">
      <c r="B197" s="179" t="str">
        <f>IF(E197="","",COUNTA($E$10:E197))</f>
        <v/>
      </c>
      <c r="C197" s="157"/>
      <c r="D197" s="113" t="s">
        <v>166</v>
      </c>
      <c r="E197" s="113"/>
      <c r="F197" s="113" t="s">
        <v>166</v>
      </c>
      <c r="G197" s="157" t="s">
        <v>166</v>
      </c>
      <c r="H197" s="113"/>
      <c r="I197" s="157"/>
      <c r="J197" s="182" t="s">
        <v>19</v>
      </c>
      <c r="K197" s="183">
        <v>0.24</v>
      </c>
      <c r="L197" s="183">
        <v>26.85</v>
      </c>
      <c r="M197" s="183">
        <v>6.71</v>
      </c>
      <c r="N197" s="114">
        <f t="shared" si="85"/>
        <v>33.799999999999997</v>
      </c>
      <c r="O197" s="183">
        <v>312.16000000000003</v>
      </c>
      <c r="P197" s="183"/>
      <c r="Q197" s="370">
        <f t="shared" si="86"/>
        <v>345.96000000000004</v>
      </c>
      <c r="R197" s="183">
        <v>393.21</v>
      </c>
      <c r="S197" s="121">
        <v>1938.74</v>
      </c>
      <c r="T197" s="116" t="str">
        <f>IF(AE197="",INDEX(Коэффициенты!$B$4:$S$59,MATCH('Ведомость расчета мин. платы'!AC197,Коэффициенты!$O$4:$O$59,0),9),"")</f>
        <v/>
      </c>
      <c r="U197" s="31"/>
      <c r="V197" s="184"/>
      <c r="W197" s="179" t="str">
        <f>IF(B197="",W196,INDEX('Такс. опис.'!$A$5:$BW$50,MATCH(CONCATENATE($C197,"/",$D197,"/",$E197),'Такс. опис.'!$C$5:$C$50,0),48))</f>
        <v>мл</v>
      </c>
      <c r="X197" s="179" t="str">
        <f>IF(B197="",X196,INDEX('Такс. опис.'!$A$5:$BW$50,MATCH(CONCATENATE($C197,"/",$D197,"/",$E197),'Такс. опис.'!$C$5:$C$50,0),26))</f>
        <v>5ЛП3ЛП2ОС+Б</v>
      </c>
      <c r="Y197" s="179">
        <f>IF(B197="",Y196,INDEX('Такс. опис.'!$A$5:$BW$50,MATCH(CONCATENATE($C197,"/",$D197,"/",$E197),'Такс. опис.'!$C$5:$C$50,0),49))</f>
        <v>70</v>
      </c>
      <c r="Z197" s="179" t="str">
        <f>IF(C197="",Z196,INDEX('Такс. опис.'!$A$5:$BW$50,MATCH(CONCATENATE($C197,"/",$D197,"/",$E197),'Такс. опис.'!$C$5:$C$50,0),47))</f>
        <v>Липа</v>
      </c>
      <c r="AA197" s="179" t="str">
        <f>IF(D197="","",INDEX('Такс. опис.'!$A$5:$BW$50,MATCH('Ведомость расчета мин. платы'!AC197,'Такс. опис.'!$C$5:$C$50,0),31))</f>
        <v/>
      </c>
      <c r="AB197" s="115"/>
      <c r="AC197" s="47" t="str">
        <f t="shared" si="89"/>
        <v>Тумбинское/136/11/1</v>
      </c>
      <c r="AD197" s="180">
        <f>INDEX(Периметр!$A$3:$Q$158,MATCH(AC197,Периметр!$A$3:$A$158,0),17)</f>
        <v>1.52</v>
      </c>
      <c r="AE197" s="47" t="str">
        <f t="shared" si="88"/>
        <v>Тумбинское/136/11/1/Липа</v>
      </c>
      <c r="AF197" s="115"/>
      <c r="AG197" s="176"/>
      <c r="AH197" s="176"/>
      <c r="AI197" s="176"/>
      <c r="AK197" s="186" t="str">
        <f t="shared" si="59"/>
        <v>//</v>
      </c>
    </row>
    <row r="198" spans="2:38" ht="15.95" customHeight="1" x14ac:dyDescent="0.2">
      <c r="B198" s="179" t="str">
        <f>IF(E198="","",COUNTA($E$10:E198))</f>
        <v/>
      </c>
      <c r="C198" s="157"/>
      <c r="D198" s="113" t="s">
        <v>166</v>
      </c>
      <c r="E198" s="113"/>
      <c r="F198" s="113" t="s">
        <v>166</v>
      </c>
      <c r="G198" s="157" t="s">
        <v>166</v>
      </c>
      <c r="H198" s="113"/>
      <c r="I198" s="157"/>
      <c r="J198" s="182" t="s">
        <v>18</v>
      </c>
      <c r="K198" s="183"/>
      <c r="L198" s="183">
        <v>22.04</v>
      </c>
      <c r="M198" s="183">
        <v>11.4</v>
      </c>
      <c r="N198" s="114">
        <f t="shared" si="85"/>
        <v>33.44</v>
      </c>
      <c r="O198" s="183">
        <v>275.79000000000002</v>
      </c>
      <c r="P198" s="183"/>
      <c r="Q198" s="370">
        <f t="shared" si="86"/>
        <v>309.23</v>
      </c>
      <c r="R198" s="183">
        <v>395.3</v>
      </c>
      <c r="S198" s="121">
        <v>610.44000000000005</v>
      </c>
      <c r="T198" s="116" t="str">
        <f>IF(AE198="",INDEX(Коэффициенты!$B$4:$S$59,MATCH('Ведомость расчета мин. платы'!AC198,Коэффициенты!$O$4:$O$59,0),9),"")</f>
        <v/>
      </c>
      <c r="U198" s="31"/>
      <c r="V198" s="184"/>
      <c r="W198" s="179" t="str">
        <f>IF(B198="",W197,INDEX('Такс. опис.'!$A$5:$BW$50,MATCH(CONCATENATE($C198,"/",$D198,"/",$E198),'Такс. опис.'!$C$5:$C$50,0),48))</f>
        <v>мл</v>
      </c>
      <c r="X198" s="179" t="str">
        <f>IF(B198="",X197,INDEX('Такс. опис.'!$A$5:$BW$50,MATCH(CONCATENATE($C198,"/",$D198,"/",$E198),'Такс. опис.'!$C$5:$C$50,0),26))</f>
        <v>5ЛП3ЛП2ОС+Б</v>
      </c>
      <c r="Y198" s="179">
        <f>IF(B198="",Y197,INDEX('Такс. опис.'!$A$5:$BW$50,MATCH(CONCATENATE($C198,"/",$D198,"/",$E198),'Такс. опис.'!$C$5:$C$50,0),49))</f>
        <v>70</v>
      </c>
      <c r="Z198" s="179" t="str">
        <f>IF(C198="",Z197,INDEX('Такс. опис.'!$A$5:$BW$50,MATCH(CONCATENATE($C198,"/",$D198,"/",$E198),'Такс. опис.'!$C$5:$C$50,0),47))</f>
        <v>Липа</v>
      </c>
      <c r="AA198" s="179" t="str">
        <f>IF(D198="","",INDEX('Такс. опис.'!$A$5:$BW$50,MATCH('Ведомость расчета мин. платы'!AC198,'Такс. опис.'!$C$5:$C$50,0),31))</f>
        <v/>
      </c>
      <c r="AB198" s="115"/>
      <c r="AC198" s="47" t="str">
        <f t="shared" si="89"/>
        <v>Тумбинское/136/11/1</v>
      </c>
      <c r="AD198" s="180">
        <f>INDEX(Периметр!$A$3:$Q$158,MATCH(AC198,Периметр!$A$3:$A$158,0),17)</f>
        <v>1.52</v>
      </c>
      <c r="AE198" s="47" t="str">
        <f t="shared" si="88"/>
        <v>Тумбинское/136/11/1/Осина</v>
      </c>
      <c r="AF198" s="115"/>
      <c r="AG198" s="176"/>
      <c r="AH198" s="176"/>
      <c r="AI198" s="176"/>
      <c r="AK198" s="186" t="str">
        <f t="shared" si="59"/>
        <v>//</v>
      </c>
    </row>
    <row r="199" spans="2:38" ht="15.95" customHeight="1" x14ac:dyDescent="0.2">
      <c r="B199" s="179" t="str">
        <f>IF(E199="","",COUNTA($E$10:E199))</f>
        <v/>
      </c>
      <c r="C199" s="157"/>
      <c r="D199" s="113"/>
      <c r="E199" s="113"/>
      <c r="F199" s="113"/>
      <c r="G199" s="157"/>
      <c r="H199" s="113"/>
      <c r="I199" s="157"/>
      <c r="J199" s="187" t="s">
        <v>15</v>
      </c>
      <c r="K199" s="114">
        <f>SUM(K196:K198)</f>
        <v>0.24</v>
      </c>
      <c r="L199" s="114">
        <f t="shared" ref="L199:S199" si="90">SUM(L196:L198)</f>
        <v>180.08999999999997</v>
      </c>
      <c r="M199" s="114">
        <f t="shared" si="90"/>
        <v>141.52000000000001</v>
      </c>
      <c r="N199" s="114">
        <f t="shared" si="90"/>
        <v>321.84999999999997</v>
      </c>
      <c r="O199" s="114">
        <f t="shared" si="90"/>
        <v>878.56999999999994</v>
      </c>
      <c r="P199" s="114"/>
      <c r="Q199" s="370">
        <f t="shared" si="90"/>
        <v>1200.42</v>
      </c>
      <c r="R199" s="114">
        <f t="shared" si="90"/>
        <v>1410.1899999999998</v>
      </c>
      <c r="S199" s="114">
        <f t="shared" si="90"/>
        <v>20240.150000000001</v>
      </c>
      <c r="T199" s="116">
        <f>IF(AE199="",INDEX(Коэффициенты!$B$4:$S$59,MATCH('Ведомость расчета мин. платы'!AC199,Коэффициенты!$O$4:$O$59,0),9),"")</f>
        <v>52421.988499999999</v>
      </c>
      <c r="U199" s="31"/>
      <c r="V199" s="184"/>
      <c r="W199" s="179" t="str">
        <f>IF(B199="",W198,INDEX('Такс. опис.'!$A$5:$BW$50,MATCH(CONCATENATE($C199,"/",$D199,"/",$E199),'Такс. опис.'!$C$5:$C$50,0),48))</f>
        <v>мл</v>
      </c>
      <c r="X199" s="179" t="str">
        <f>IF(B199="",X198,INDEX('Такс. опис.'!$A$5:$BW$50,MATCH(CONCATENATE($C199,"/",$D199,"/",$E199),'Такс. опис.'!$C$5:$C$50,0),26))</f>
        <v>5ЛП3ЛП2ОС+Б</v>
      </c>
      <c r="Y199" s="179">
        <f>IF(B199="",Y198,INDEX('Такс. опис.'!$A$5:$BW$50,MATCH(CONCATENATE($C199,"/",$D199,"/",$E199),'Такс. опис.'!$C$5:$C$50,0),49))</f>
        <v>70</v>
      </c>
      <c r="Z199" s="179" t="str">
        <f>IF(C199="",Z198,INDEX('Такс. опис.'!$A$5:$BW$50,MATCH(CONCATENATE($C199,"/",$D199,"/",$E199),'Такс. опис.'!$C$5:$C$50,0),47))</f>
        <v>Липа</v>
      </c>
      <c r="AA199" s="179" t="str">
        <f>IF(D199="","",INDEX('Такс. опис.'!$A$5:$BW$50,MATCH('Ведомость расчета мин. платы'!AC199,'Такс. опис.'!$C$5:$C$50,0),31))</f>
        <v/>
      </c>
      <c r="AB199" s="115"/>
      <c r="AC199" s="47" t="str">
        <f t="shared" si="89"/>
        <v>Тумбинское/136/11/1</v>
      </c>
      <c r="AD199" s="180">
        <f>INDEX(Периметр!$A$3:$Q$158,MATCH(AC199,Периметр!$A$3:$A$158,0),17)</f>
        <v>1.52</v>
      </c>
      <c r="AE199" s="47" t="str">
        <f t="shared" si="88"/>
        <v/>
      </c>
      <c r="AF199" s="115"/>
      <c r="AG199" s="176"/>
      <c r="AH199" s="176"/>
      <c r="AI199" s="176"/>
      <c r="AK199" s="186" t="str">
        <f t="shared" si="59"/>
        <v>//</v>
      </c>
    </row>
    <row r="200" spans="2:38" ht="15.95" customHeight="1" x14ac:dyDescent="0.2">
      <c r="B200" s="179">
        <f>IF(E200="","",COUNTA($E$10:E200))</f>
        <v>53</v>
      </c>
      <c r="C200" s="157" t="s">
        <v>39</v>
      </c>
      <c r="D200" s="113">
        <v>14</v>
      </c>
      <c r="E200" s="113">
        <v>10</v>
      </c>
      <c r="F200" s="113">
        <v>1</v>
      </c>
      <c r="G200" s="157">
        <v>9.3000000000000007</v>
      </c>
      <c r="H200" s="113" t="s">
        <v>2086</v>
      </c>
      <c r="I200" s="157" t="s">
        <v>23</v>
      </c>
      <c r="J200" s="182" t="s">
        <v>17</v>
      </c>
      <c r="K200" s="183"/>
      <c r="L200" s="183">
        <v>8.8000000000000007</v>
      </c>
      <c r="M200" s="183">
        <v>31.2</v>
      </c>
      <c r="N200" s="114">
        <f t="shared" si="85"/>
        <v>40</v>
      </c>
      <c r="O200" s="183">
        <v>36.1</v>
      </c>
      <c r="P200" s="183"/>
      <c r="Q200" s="370">
        <f t="shared" si="86"/>
        <v>76.099999999999994</v>
      </c>
      <c r="R200" s="183">
        <v>86.7</v>
      </c>
      <c r="S200" s="121">
        <v>2354.21</v>
      </c>
      <c r="T200" s="116" t="str">
        <f>IF(AE200="",INDEX(Коэффициенты!$B$4:$S$59,MATCH('Ведомость расчета мин. платы'!AC200,Коэффициенты!$O$4:$O$59,0),9),"")</f>
        <v/>
      </c>
      <c r="U200" s="31" t="s">
        <v>2120</v>
      </c>
      <c r="V200" s="184"/>
      <c r="W200" s="179" t="str">
        <f>IF(B200="",#REF!,INDEX('Такс. опис.'!$A$5:$BW$50,MATCH(CONCATENATE($C200,"/",$D200,"/",$E200),'Такс. опис.'!$C$5:$C$50,0),48))</f>
        <v>мл</v>
      </c>
      <c r="X200" s="179" t="str">
        <f>IF(B200="",#REF!,INDEX('Такс. опис.'!$A$5:$BW$50,MATCH(CONCATENATE($C200,"/",$D200,"/",$E200),'Такс. опис.'!$C$5:$C$50,0),26))</f>
        <v>10ОС+Б</v>
      </c>
      <c r="Y200" s="179">
        <f>IF(B200="",#REF!,INDEX('Такс. опис.'!$A$5:$BW$50,MATCH(CONCATENATE($C200,"/",$D200,"/",$E200),'Такс. опис.'!$C$5:$C$50,0),49))</f>
        <v>45</v>
      </c>
      <c r="Z200" s="179" t="str">
        <f>IF(C200="",#REF!,INDEX('Такс. опис.'!$A$5:$BW$50,MATCH(CONCATENATE($C200,"/",$D200,"/",$E200),'Такс. опис.'!$C$5:$C$50,0),47))</f>
        <v>Осина</v>
      </c>
      <c r="AA200" s="179" t="e">
        <f>IF(D200="","",INDEX('Такс. опис.'!$A$5:$BW$50,MATCH('Ведомость расчета мин. платы'!AC200,'Такс. опис.'!$C$5:$C$50,0),31))</f>
        <v>#N/A</v>
      </c>
      <c r="AB200" s="115"/>
      <c r="AC200" s="47" t="str">
        <f>IF(B200="",#REF!,CONCATENATE($C200,"/",$D200,"/",$E200,"/",F200))</f>
        <v>Чулпановское/14/10/1</v>
      </c>
      <c r="AD200" s="180">
        <f>INDEX(Периметр!$A$3:$Q$158,MATCH(AC200,Периметр!$A$3:$A$158,0),17)</f>
        <v>1.17</v>
      </c>
      <c r="AE200" s="47" t="str">
        <f t="shared" si="88"/>
        <v>Чулпановское/14/10/1/Береза</v>
      </c>
      <c r="AF200" s="115"/>
      <c r="AG200" s="176"/>
      <c r="AH200" s="176"/>
      <c r="AI200" s="176"/>
      <c r="AK200" s="186" t="str">
        <f t="shared" si="59"/>
        <v>Чулпановское/14/10</v>
      </c>
      <c r="AL200" s="181">
        <v>1</v>
      </c>
    </row>
    <row r="201" spans="2:38" ht="15.95" customHeight="1" x14ac:dyDescent="0.2">
      <c r="B201" s="179" t="str">
        <f>IF(E201="","",COUNTA($E$10:E201))</f>
        <v/>
      </c>
      <c r="C201" s="157"/>
      <c r="D201" s="113" t="s">
        <v>166</v>
      </c>
      <c r="E201" s="113"/>
      <c r="F201" s="113" t="s">
        <v>166</v>
      </c>
      <c r="G201" s="157" t="s">
        <v>166</v>
      </c>
      <c r="H201" s="113"/>
      <c r="I201" s="157"/>
      <c r="J201" s="182" t="s">
        <v>18</v>
      </c>
      <c r="K201" s="183">
        <v>249</v>
      </c>
      <c r="L201" s="183">
        <v>382.6</v>
      </c>
      <c r="M201" s="183">
        <v>17.7</v>
      </c>
      <c r="N201" s="114">
        <f t="shared" si="85"/>
        <v>649.30000000000007</v>
      </c>
      <c r="O201" s="183">
        <v>698.4</v>
      </c>
      <c r="P201" s="183"/>
      <c r="Q201" s="370">
        <f t="shared" si="86"/>
        <v>1347.7</v>
      </c>
      <c r="R201" s="183">
        <v>1597</v>
      </c>
      <c r="S201" s="121">
        <v>12900.48</v>
      </c>
      <c r="T201" s="116" t="str">
        <f>IF(AE201="",INDEX(Коэффициенты!$B$4:$S$59,MATCH('Ведомость расчета мин. платы'!AC201,Коэффициенты!$O$4:$O$59,0),9),"")</f>
        <v/>
      </c>
      <c r="U201" s="31"/>
      <c r="V201" s="184"/>
      <c r="W201" s="179" t="str">
        <f>IF(B201="",W200,INDEX('Такс. опис.'!$A$5:$BW$50,MATCH(CONCATENATE($C201,"/",$D201,"/",$E201),'Такс. опис.'!$C$5:$C$50,0),48))</f>
        <v>мл</v>
      </c>
      <c r="X201" s="179" t="str">
        <f>IF(B201="",X200,INDEX('Такс. опис.'!$A$5:$BW$50,MATCH(CONCATENATE($C201,"/",$D201,"/",$E201),'Такс. опис.'!$C$5:$C$50,0),26))</f>
        <v>10ОС+Б</v>
      </c>
      <c r="Y201" s="179">
        <f>IF(B201="",Y200,INDEX('Такс. опис.'!$A$5:$BW$50,MATCH(CONCATENATE($C201,"/",$D201,"/",$E201),'Такс. опис.'!$C$5:$C$50,0),49))</f>
        <v>45</v>
      </c>
      <c r="Z201" s="179" t="str">
        <f>IF(C201="",Z200,INDEX('Такс. опис.'!$A$5:$BW$50,MATCH(CONCATENATE($C201,"/",$D201,"/",$E201),'Такс. опис.'!$C$5:$C$50,0),47))</f>
        <v>Осина</v>
      </c>
      <c r="AA201" s="179" t="str">
        <f>IF(D201="","",INDEX('Такс. опис.'!$A$5:$BW$50,MATCH('Ведомость расчета мин. платы'!AC201,'Такс. опис.'!$C$5:$C$50,0),31))</f>
        <v/>
      </c>
      <c r="AB201" s="115"/>
      <c r="AC201" s="47" t="str">
        <f t="shared" si="89"/>
        <v>Чулпановское/14/10/1</v>
      </c>
      <c r="AD201" s="180">
        <f>INDEX(Периметр!$A$3:$Q$158,MATCH(AC201,Периметр!$A$3:$A$158,0),17)</f>
        <v>1.17</v>
      </c>
      <c r="AE201" s="47" t="str">
        <f t="shared" si="88"/>
        <v>Чулпановское/14/10/1/Осина</v>
      </c>
      <c r="AF201" s="115"/>
      <c r="AG201" s="176"/>
      <c r="AH201" s="176"/>
      <c r="AI201" s="176"/>
      <c r="AK201" s="186" t="str">
        <f t="shared" si="59"/>
        <v>//</v>
      </c>
    </row>
    <row r="202" spans="2:38" ht="15.95" customHeight="1" x14ac:dyDescent="0.2">
      <c r="B202" s="179" t="str">
        <f>IF(E202="","",COUNTA($E$10:E202))</f>
        <v/>
      </c>
      <c r="C202" s="157"/>
      <c r="D202" s="113"/>
      <c r="E202" s="113"/>
      <c r="F202" s="113"/>
      <c r="G202" s="157"/>
      <c r="H202" s="113"/>
      <c r="I202" s="157"/>
      <c r="J202" s="187" t="s">
        <v>15</v>
      </c>
      <c r="K202" s="114">
        <f>SUM(K200:K201)</f>
        <v>249</v>
      </c>
      <c r="L202" s="114">
        <f t="shared" ref="L202:S202" si="91">SUM(L200:L201)</f>
        <v>391.40000000000003</v>
      </c>
      <c r="M202" s="114">
        <f t="shared" si="91"/>
        <v>48.9</v>
      </c>
      <c r="N202" s="114">
        <f t="shared" si="91"/>
        <v>689.30000000000007</v>
      </c>
      <c r="O202" s="114">
        <f t="shared" si="91"/>
        <v>734.5</v>
      </c>
      <c r="P202" s="114"/>
      <c r="Q202" s="370">
        <f t="shared" si="91"/>
        <v>1423.8</v>
      </c>
      <c r="R202" s="114">
        <f t="shared" si="91"/>
        <v>1683.7</v>
      </c>
      <c r="S202" s="114">
        <f t="shared" si="91"/>
        <v>15254.689999999999</v>
      </c>
      <c r="T202" s="116">
        <f>IF(AE202="",INDEX(Коэффициенты!$B$4:$S$59,MATCH('Ведомость расчета мин. платы'!AC202,Коэффициенты!$O$4:$O$59,0),9),"")</f>
        <v>46679.351400000007</v>
      </c>
      <c r="U202" s="31"/>
      <c r="V202" s="184"/>
      <c r="W202" s="179" t="str">
        <f>IF(B202="",W201,INDEX('Такс. опис.'!$A$5:$BW$50,MATCH(CONCATENATE($C202,"/",$D202,"/",$E202),'Такс. опис.'!$C$5:$C$50,0),48))</f>
        <v>мл</v>
      </c>
      <c r="X202" s="179" t="str">
        <f>IF(B202="",X201,INDEX('Такс. опис.'!$A$5:$BW$50,MATCH(CONCATENATE($C202,"/",$D202,"/",$E202),'Такс. опис.'!$C$5:$C$50,0),26))</f>
        <v>10ОС+Б</v>
      </c>
      <c r="Y202" s="179">
        <f>IF(B202="",Y201,INDEX('Такс. опис.'!$A$5:$BW$50,MATCH(CONCATENATE($C202,"/",$D202,"/",$E202),'Такс. опис.'!$C$5:$C$50,0),49))</f>
        <v>45</v>
      </c>
      <c r="Z202" s="179" t="str">
        <f>IF(C202="",Z201,INDEX('Такс. опис.'!$A$5:$BW$50,MATCH(CONCATENATE($C202,"/",$D202,"/",$E202),'Такс. опис.'!$C$5:$C$50,0),47))</f>
        <v>Осина</v>
      </c>
      <c r="AA202" s="179" t="str">
        <f>IF(D202="","",INDEX('Такс. опис.'!$A$5:$BW$50,MATCH('Ведомость расчета мин. платы'!AC202,'Такс. опис.'!$C$5:$C$50,0),31))</f>
        <v/>
      </c>
      <c r="AB202" s="115"/>
      <c r="AC202" s="47" t="str">
        <f t="shared" si="89"/>
        <v>Чулпановское/14/10/1</v>
      </c>
      <c r="AD202" s="180">
        <f>INDEX(Периметр!$A$3:$Q$158,MATCH(AC202,Периметр!$A$3:$A$158,0),17)</f>
        <v>1.17</v>
      </c>
      <c r="AE202" s="47" t="str">
        <f t="shared" si="88"/>
        <v/>
      </c>
      <c r="AF202" s="115"/>
      <c r="AG202" s="176"/>
      <c r="AH202" s="176"/>
      <c r="AI202" s="176"/>
      <c r="AK202" s="186" t="str">
        <f t="shared" si="59"/>
        <v>//</v>
      </c>
    </row>
    <row r="203" spans="2:38" ht="15.95" customHeight="1" x14ac:dyDescent="0.2">
      <c r="B203" s="179">
        <f>IF(E203="","",COUNTA($E$10:E203))</f>
        <v>54</v>
      </c>
      <c r="C203" s="157" t="s">
        <v>39</v>
      </c>
      <c r="D203" s="113">
        <v>18</v>
      </c>
      <c r="E203" s="113">
        <v>69</v>
      </c>
      <c r="F203" s="113">
        <v>1</v>
      </c>
      <c r="G203" s="157">
        <v>3</v>
      </c>
      <c r="H203" s="113" t="s">
        <v>2086</v>
      </c>
      <c r="I203" s="157" t="s">
        <v>23</v>
      </c>
      <c r="J203" s="182" t="s">
        <v>18</v>
      </c>
      <c r="K203" s="183">
        <v>64.81</v>
      </c>
      <c r="L203" s="183">
        <v>100.88</v>
      </c>
      <c r="M203" s="183">
        <v>6.36</v>
      </c>
      <c r="N203" s="114">
        <f t="shared" si="85"/>
        <v>172.05</v>
      </c>
      <c r="O203" s="183">
        <v>346.59</v>
      </c>
      <c r="P203" s="183"/>
      <c r="Q203" s="370">
        <f t="shared" si="86"/>
        <v>518.64</v>
      </c>
      <c r="R203" s="183">
        <v>630.13</v>
      </c>
      <c r="S203" s="121">
        <v>3489.77</v>
      </c>
      <c r="T203" s="116" t="str">
        <f>IF(AE203="",INDEX(Коэффициенты!$B$4:$S$59,MATCH('Ведомость расчета мин. платы'!AC203,Коэффициенты!$O$4:$O$59,0),9),"")</f>
        <v/>
      </c>
      <c r="U203" s="31" t="s">
        <v>2120</v>
      </c>
      <c r="V203" s="184"/>
      <c r="W203" s="179" t="str">
        <f>IF(B203="",W202,INDEX('Такс. опис.'!$A$5:$BW$50,MATCH(CONCATENATE($C203,"/",$D203,"/",$E203),'Такс. опис.'!$C$5:$C$50,0),48))</f>
        <v>мл</v>
      </c>
      <c r="X203" s="179" t="str">
        <f>IF(B203="",X202,INDEX('Такс. опис.'!$A$5:$BW$50,MATCH(CONCATENATE($C203,"/",$D203,"/",$E203),'Такс. опис.'!$C$5:$C$50,0),26))</f>
        <v>10ОС</v>
      </c>
      <c r="Y203" s="179">
        <f>IF(B203="",Y202,INDEX('Такс. опис.'!$A$5:$BW$50,MATCH(CONCATENATE($C203,"/",$D203,"/",$E203),'Такс. опис.'!$C$5:$C$50,0),49))</f>
        <v>50</v>
      </c>
      <c r="Z203" s="179" t="str">
        <f>IF(C203="",Z202,INDEX('Такс. опис.'!$A$5:$BW$50,MATCH(CONCATENATE($C203,"/",$D203,"/",$E203),'Такс. опис.'!$C$5:$C$50,0),47))</f>
        <v>Осина</v>
      </c>
      <c r="AA203" s="179" t="e">
        <f>IF(D203="","",INDEX('Такс. опис.'!$A$5:$BW$50,MATCH('Ведомость расчета мин. платы'!AC203,'Такс. опис.'!$C$5:$C$50,0),31))</f>
        <v>#N/A</v>
      </c>
      <c r="AB203" s="115"/>
      <c r="AC203" s="47" t="str">
        <f t="shared" si="89"/>
        <v>Чулпановское/18/69/1</v>
      </c>
      <c r="AD203" s="180">
        <f>INDEX(Периметр!$A$3:$Q$158,MATCH(AC203,Периметр!$A$3:$A$158,0),17)</f>
        <v>0.8</v>
      </c>
      <c r="AE203" s="47" t="str">
        <f t="shared" si="88"/>
        <v>Чулпановское/18/69/1/Осина</v>
      </c>
      <c r="AF203" s="115"/>
      <c r="AG203" s="176"/>
      <c r="AH203" s="176"/>
      <c r="AI203" s="176"/>
      <c r="AK203" s="186" t="str">
        <f t="shared" ref="AK203:AK209" si="92">CONCATENATE($C203,"/",$D203,"/",$E203)</f>
        <v>Чулпановское/18/69</v>
      </c>
      <c r="AL203" s="181">
        <v>1</v>
      </c>
    </row>
    <row r="204" spans="2:38" ht="15.95" customHeight="1" x14ac:dyDescent="0.2">
      <c r="B204" s="179" t="str">
        <f>IF(E204="","",COUNTA($E$10:E204))</f>
        <v/>
      </c>
      <c r="C204" s="157"/>
      <c r="D204" s="113"/>
      <c r="E204" s="113"/>
      <c r="F204" s="113"/>
      <c r="G204" s="157"/>
      <c r="H204" s="113"/>
      <c r="I204" s="157"/>
      <c r="J204" s="187" t="s">
        <v>15</v>
      </c>
      <c r="K204" s="114">
        <f>SUM(K203)</f>
        <v>64.81</v>
      </c>
      <c r="L204" s="114">
        <f t="shared" ref="L204:S204" si="93">SUM(L203)</f>
        <v>100.88</v>
      </c>
      <c r="M204" s="114">
        <f t="shared" si="93"/>
        <v>6.36</v>
      </c>
      <c r="N204" s="114">
        <f t="shared" si="93"/>
        <v>172.05</v>
      </c>
      <c r="O204" s="114">
        <f t="shared" si="93"/>
        <v>346.59</v>
      </c>
      <c r="P204" s="114"/>
      <c r="Q204" s="370">
        <f t="shared" si="93"/>
        <v>518.64</v>
      </c>
      <c r="R204" s="114">
        <f t="shared" si="93"/>
        <v>630.13</v>
      </c>
      <c r="S204" s="114">
        <f t="shared" si="93"/>
        <v>3489.77</v>
      </c>
      <c r="T204" s="116">
        <f>IF(AE204="",INDEX(Коэффициенты!$B$4:$S$59,MATCH('Ведомость расчета мин. платы'!AC204,Коэффициенты!$O$4:$O$59,0),9),"")</f>
        <v>13854.386900000001</v>
      </c>
      <c r="U204" s="31"/>
      <c r="V204" s="184"/>
      <c r="W204" s="179" t="str">
        <f>IF(B204="",W203,INDEX('Такс. опис.'!$A$5:$BW$50,MATCH(CONCATENATE($C204,"/",$D204,"/",$E204),'Такс. опис.'!$C$5:$C$50,0),48))</f>
        <v>мл</v>
      </c>
      <c r="X204" s="179" t="str">
        <f>IF(B204="",X203,INDEX('Такс. опис.'!$A$5:$BW$50,MATCH(CONCATENATE($C204,"/",$D204,"/",$E204),'Такс. опис.'!$C$5:$C$50,0),26))</f>
        <v>10ОС</v>
      </c>
      <c r="Y204" s="179">
        <f>IF(B204="",Y203,INDEX('Такс. опис.'!$A$5:$BW$50,MATCH(CONCATENATE($C204,"/",$D204,"/",$E204),'Такс. опис.'!$C$5:$C$50,0),49))</f>
        <v>50</v>
      </c>
      <c r="Z204" s="179" t="str">
        <f>IF(C204="",Z203,INDEX('Такс. опис.'!$A$5:$BW$50,MATCH(CONCATENATE($C204,"/",$D204,"/",$E204),'Такс. опис.'!$C$5:$C$50,0),47))</f>
        <v>Осина</v>
      </c>
      <c r="AA204" s="179" t="str">
        <f>IF(D204="","",INDEX('Такс. опис.'!$A$5:$BW$50,MATCH('Ведомость расчета мин. платы'!AC204,'Такс. опис.'!$C$5:$C$50,0),31))</f>
        <v/>
      </c>
      <c r="AB204" s="115"/>
      <c r="AC204" s="47" t="str">
        <f t="shared" si="89"/>
        <v>Чулпановское/18/69/1</v>
      </c>
      <c r="AD204" s="180">
        <f>INDEX(Периметр!$A$3:$Q$158,MATCH(AC204,Периметр!$A$3:$A$158,0),17)</f>
        <v>0.8</v>
      </c>
      <c r="AE204" s="47" t="str">
        <f t="shared" si="88"/>
        <v/>
      </c>
      <c r="AF204" s="115"/>
      <c r="AG204" s="176"/>
      <c r="AH204" s="176"/>
      <c r="AI204" s="176"/>
      <c r="AK204" s="186" t="str">
        <f t="shared" si="92"/>
        <v>//</v>
      </c>
    </row>
    <row r="205" spans="2:38" ht="15.95" customHeight="1" x14ac:dyDescent="0.2">
      <c r="B205" s="179">
        <f>IF(E205="","",COUNTA($E$10:E205))</f>
        <v>55</v>
      </c>
      <c r="C205" s="157" t="s">
        <v>39</v>
      </c>
      <c r="D205" s="113">
        <v>59</v>
      </c>
      <c r="E205" s="113">
        <v>57</v>
      </c>
      <c r="F205" s="113">
        <v>3</v>
      </c>
      <c r="G205" s="157">
        <v>0.9</v>
      </c>
      <c r="H205" s="113" t="s">
        <v>2086</v>
      </c>
      <c r="I205" s="157" t="s">
        <v>23</v>
      </c>
      <c r="J205" s="182" t="s">
        <v>18</v>
      </c>
      <c r="K205" s="183">
        <v>32.67</v>
      </c>
      <c r="L205" s="183">
        <v>36.69</v>
      </c>
      <c r="M205" s="183">
        <v>2.37</v>
      </c>
      <c r="N205" s="114">
        <f t="shared" si="85"/>
        <v>71.73</v>
      </c>
      <c r="O205" s="183">
        <v>107.74</v>
      </c>
      <c r="P205" s="183"/>
      <c r="Q205" s="370">
        <f t="shared" si="86"/>
        <v>179.47</v>
      </c>
      <c r="R205" s="183">
        <v>215.76</v>
      </c>
      <c r="S205" s="121">
        <v>1467.01</v>
      </c>
      <c r="T205" s="116" t="str">
        <f>IF(AE205="",INDEX(Коэффициенты!$B$4:$S$59,MATCH('Ведомость расчета мин. платы'!AC205,Коэффициенты!$O$4:$O$59,0),9),"")</f>
        <v/>
      </c>
      <c r="U205" s="31" t="s">
        <v>2057</v>
      </c>
      <c r="V205" s="184"/>
      <c r="W205" s="179" t="str">
        <f>IF(B205="",#REF!,INDEX('Такс. опис.'!$A$5:$BW$50,MATCH(CONCATENATE($C205,"/",$D205,"/",$E205),'Такс. опис.'!$C$5:$C$50,0),48))</f>
        <v>мл</v>
      </c>
      <c r="X205" s="179" t="str">
        <f>IF(B205="",#REF!,INDEX('Такс. опис.'!$A$5:$BW$50,MATCH(CONCATENATE($C205,"/",$D205,"/",$E205),'Такс. опис.'!$C$5:$C$50,0),26))</f>
        <v>10ОС+ЛП</v>
      </c>
      <c r="Y205" s="179">
        <f>IF(B205="",#REF!,INDEX('Такс. опис.'!$A$5:$BW$50,MATCH(CONCATENATE($C205,"/",$D205,"/",$E205),'Такс. опис.'!$C$5:$C$50,0),49))</f>
        <v>45</v>
      </c>
      <c r="Z205" s="179" t="str">
        <f>IF(C205="",#REF!,INDEX('Такс. опис.'!$A$5:$BW$50,MATCH(CONCATENATE($C205,"/",$D205,"/",$E205),'Такс. опис.'!$C$5:$C$50,0),47))</f>
        <v>Осина</v>
      </c>
      <c r="AA205" s="179" t="e">
        <f>IF(D205="","",INDEX('Такс. опис.'!$A$5:$BW$50,MATCH('Ведомость расчета мин. платы'!AC205,'Такс. опис.'!$C$5:$C$50,0),31))</f>
        <v>#N/A</v>
      </c>
      <c r="AB205" s="115"/>
      <c r="AC205" s="47" t="str">
        <f>IF(B205="",#REF!,CONCATENATE($C205,"/",$D205,"/",$E205,"/",F205))</f>
        <v>Чулпановское/59/57/3</v>
      </c>
      <c r="AD205" s="180">
        <f>INDEX(Периметр!$A$3:$Q$158,MATCH(AC205,Периметр!$A$3:$A$158,0),17)</f>
        <v>0.4</v>
      </c>
      <c r="AE205" s="47" t="str">
        <f t="shared" si="88"/>
        <v>Чулпановское/59/57/3/Осина</v>
      </c>
      <c r="AF205" s="115"/>
      <c r="AG205" s="176"/>
      <c r="AH205" s="176"/>
      <c r="AI205" s="176"/>
      <c r="AK205" s="186" t="str">
        <f t="shared" si="92"/>
        <v>Чулпановское/59/57</v>
      </c>
      <c r="AL205" s="181">
        <v>1</v>
      </c>
    </row>
    <row r="206" spans="2:38" ht="15.95" customHeight="1" x14ac:dyDescent="0.2">
      <c r="B206" s="179" t="str">
        <f>IF(E206="","",COUNTA($E$10:E206))</f>
        <v/>
      </c>
      <c r="C206" s="157"/>
      <c r="D206" s="113"/>
      <c r="E206" s="113"/>
      <c r="F206" s="113"/>
      <c r="G206" s="157"/>
      <c r="H206" s="113"/>
      <c r="I206" s="157"/>
      <c r="J206" s="187" t="s">
        <v>15</v>
      </c>
      <c r="K206" s="114">
        <f>SUM(K205)</f>
        <v>32.67</v>
      </c>
      <c r="L206" s="114">
        <f t="shared" ref="L206:S206" si="94">SUM(L205)</f>
        <v>36.69</v>
      </c>
      <c r="M206" s="114">
        <f t="shared" si="94"/>
        <v>2.37</v>
      </c>
      <c r="N206" s="114">
        <f t="shared" si="94"/>
        <v>71.73</v>
      </c>
      <c r="O206" s="114">
        <f t="shared" si="94"/>
        <v>107.74</v>
      </c>
      <c r="P206" s="114"/>
      <c r="Q206" s="370">
        <f t="shared" si="94"/>
        <v>179.47</v>
      </c>
      <c r="R206" s="114">
        <f t="shared" si="94"/>
        <v>215.76</v>
      </c>
      <c r="S206" s="114">
        <f t="shared" si="94"/>
        <v>1467.01</v>
      </c>
      <c r="T206" s="116">
        <f>IF(AE206="",INDEX(Коэффициенты!$B$4:$S$59,MATCH('Ведомость расчета мин. платы'!AC206,Коэффициенты!$O$4:$O$59,0),9),"")</f>
        <v>4650.4216999999999</v>
      </c>
      <c r="U206" s="31"/>
      <c r="V206" s="184"/>
      <c r="W206" s="179" t="str">
        <f>IF(B206="",W205,INDEX('Такс. опис.'!$A$5:$BW$50,MATCH(CONCATENATE($C206,"/",$D206,"/",$E206),'Такс. опис.'!$C$5:$C$50,0),48))</f>
        <v>мл</v>
      </c>
      <c r="X206" s="179" t="str">
        <f>IF(B206="",X205,INDEX('Такс. опис.'!$A$5:$BW$50,MATCH(CONCATENATE($C206,"/",$D206,"/",$E206),'Такс. опис.'!$C$5:$C$50,0),26))</f>
        <v>10ОС+ЛП</v>
      </c>
      <c r="Y206" s="179">
        <f>IF(B206="",Y205,INDEX('Такс. опис.'!$A$5:$BW$50,MATCH(CONCATENATE($C206,"/",$D206,"/",$E206),'Такс. опис.'!$C$5:$C$50,0),49))</f>
        <v>45</v>
      </c>
      <c r="Z206" s="179" t="str">
        <f>IF(C206="",Z205,INDEX('Такс. опис.'!$A$5:$BW$50,MATCH(CONCATENATE($C206,"/",$D206,"/",$E206),'Такс. опис.'!$C$5:$C$50,0),47))</f>
        <v>Осина</v>
      </c>
      <c r="AA206" s="179" t="str">
        <f>IF(D206="","",INDEX('Такс. опис.'!$A$5:$BW$50,MATCH('Ведомость расчета мин. платы'!AC206,'Такс. опис.'!$C$5:$C$50,0),31))</f>
        <v/>
      </c>
      <c r="AB206" s="115"/>
      <c r="AC206" s="47" t="str">
        <f t="shared" si="89"/>
        <v>Чулпановское/59/57/3</v>
      </c>
      <c r="AD206" s="180">
        <f>INDEX(Периметр!$A$3:$Q$158,MATCH(AC206,Периметр!$A$3:$A$158,0),17)</f>
        <v>0.4</v>
      </c>
      <c r="AE206" s="47" t="str">
        <f t="shared" si="88"/>
        <v/>
      </c>
      <c r="AF206" s="115"/>
      <c r="AG206" s="176"/>
      <c r="AH206" s="176"/>
      <c r="AI206" s="176"/>
      <c r="AK206" s="186" t="str">
        <f t="shared" si="92"/>
        <v>//</v>
      </c>
    </row>
    <row r="207" spans="2:38" ht="15.95" customHeight="1" x14ac:dyDescent="0.2">
      <c r="B207" s="179">
        <f>IF(E207="","",COUNTA($E$10:E207))</f>
        <v>56</v>
      </c>
      <c r="C207" s="157" t="s">
        <v>39</v>
      </c>
      <c r="D207" s="113">
        <v>67</v>
      </c>
      <c r="E207" s="113">
        <v>34</v>
      </c>
      <c r="F207" s="113">
        <v>2</v>
      </c>
      <c r="G207" s="157">
        <v>2.4</v>
      </c>
      <c r="H207" s="113" t="s">
        <v>2086</v>
      </c>
      <c r="I207" s="157" t="s">
        <v>23</v>
      </c>
      <c r="J207" s="182" t="s">
        <v>17</v>
      </c>
      <c r="K207" s="183">
        <v>11.9</v>
      </c>
      <c r="L207" s="183">
        <v>70.08</v>
      </c>
      <c r="M207" s="183">
        <v>17.88</v>
      </c>
      <c r="N207" s="114">
        <f t="shared" si="85"/>
        <v>99.86</v>
      </c>
      <c r="O207" s="183">
        <v>119.63</v>
      </c>
      <c r="P207" s="183"/>
      <c r="Q207" s="370">
        <f t="shared" si="86"/>
        <v>219.49</v>
      </c>
      <c r="R207" s="183">
        <v>248.86</v>
      </c>
      <c r="S207" s="121">
        <v>8594.65</v>
      </c>
      <c r="T207" s="116" t="str">
        <f>IF(AE207="",INDEX(Коэффициенты!$B$4:$S$59,MATCH('Ведомость расчета мин. платы'!AC207,Коэффициенты!$O$4:$O$59,0),9),"")</f>
        <v/>
      </c>
      <c r="U207" s="31" t="s">
        <v>2057</v>
      </c>
      <c r="V207" s="184"/>
      <c r="W207" s="179" t="str">
        <f>IF(B207="",#REF!,INDEX('Такс. опис.'!$A$5:$BW$50,MATCH(CONCATENATE($C207,"/",$D207,"/",$E207),'Такс. опис.'!$C$5:$C$50,0),48))</f>
        <v>мл</v>
      </c>
      <c r="X207" s="179" t="str">
        <f>IF(B207="",#REF!,INDEX('Такс. опис.'!$A$5:$BW$50,MATCH(CONCATENATE($C207,"/",$D207,"/",$E207),'Такс. опис.'!$C$5:$C$50,0),26))</f>
        <v>8Б2ОЛЧ</v>
      </c>
      <c r="Y207" s="179">
        <f>IF(B207="",#REF!,INDEX('Такс. опис.'!$A$5:$BW$50,MATCH(CONCATENATE($C207,"/",$D207,"/",$E207),'Такс. опис.'!$C$5:$C$50,0),49))</f>
        <v>70</v>
      </c>
      <c r="Z207" s="179" t="str">
        <f>IF(C207="",#REF!,INDEX('Такс. опис.'!$A$5:$BW$50,MATCH(CONCATENATE($C207,"/",$D207,"/",$E207),'Такс. опис.'!$C$5:$C$50,0),47))</f>
        <v>Береза</v>
      </c>
      <c r="AA207" s="179" t="e">
        <f>IF(D207="","",INDEX('Такс. опис.'!$A$5:$BW$50,MATCH('Ведомость расчета мин. платы'!AC207,'Такс. опис.'!$C$5:$C$50,0),31))</f>
        <v>#N/A</v>
      </c>
      <c r="AB207" s="115"/>
      <c r="AC207" s="47" t="str">
        <f>IF(B207="",#REF!,CONCATENATE($C207,"/",$D207,"/",$E207,"/",F207))</f>
        <v>Чулпановское/67/34/2</v>
      </c>
      <c r="AD207" s="180">
        <f>INDEX(Периметр!$A$3:$Q$158,MATCH(AC207,Периметр!$A$3:$A$158,0),17)</f>
        <v>0.67</v>
      </c>
      <c r="AE207" s="47" t="str">
        <f t="shared" si="88"/>
        <v>Чулпановское/67/34/2/Береза</v>
      </c>
      <c r="AF207" s="115"/>
      <c r="AG207" s="176"/>
      <c r="AH207" s="176"/>
      <c r="AI207" s="176"/>
      <c r="AK207" s="186" t="str">
        <f t="shared" si="92"/>
        <v>Чулпановское/67/34</v>
      </c>
      <c r="AL207" s="181">
        <v>1</v>
      </c>
    </row>
    <row r="208" spans="2:38" ht="15.95" customHeight="1" x14ac:dyDescent="0.2">
      <c r="B208" s="179" t="str">
        <f>IF(E208="","",COUNTA($E$10:E208))</f>
        <v/>
      </c>
      <c r="C208" s="157"/>
      <c r="D208" s="113" t="s">
        <v>166</v>
      </c>
      <c r="E208" s="113"/>
      <c r="F208" s="113" t="s">
        <v>166</v>
      </c>
      <c r="G208" s="157" t="s">
        <v>166</v>
      </c>
      <c r="H208" s="113"/>
      <c r="I208" s="157"/>
      <c r="J208" s="182" t="s">
        <v>40</v>
      </c>
      <c r="K208" s="183">
        <v>1.61</v>
      </c>
      <c r="L208" s="183">
        <v>19.03</v>
      </c>
      <c r="M208" s="183">
        <v>3.61</v>
      </c>
      <c r="N208" s="114">
        <f t="shared" si="85"/>
        <v>24.25</v>
      </c>
      <c r="O208" s="183">
        <v>28.06</v>
      </c>
      <c r="P208" s="183"/>
      <c r="Q208" s="370">
        <f t="shared" si="86"/>
        <v>52.31</v>
      </c>
      <c r="R208" s="183">
        <v>61.88</v>
      </c>
      <c r="S208" s="121">
        <v>1180.24</v>
      </c>
      <c r="T208" s="116" t="str">
        <f>IF(AE208="",INDEX(Коэффициенты!$B$4:$S$59,MATCH('Ведомость расчета мин. платы'!AC208,Коэффициенты!$O$4:$O$59,0),9),"")</f>
        <v/>
      </c>
      <c r="U208" s="31"/>
      <c r="V208" s="184"/>
      <c r="W208" s="179" t="str">
        <f>IF(B208="",W207,INDEX('Такс. опис.'!$A$5:$BW$50,MATCH(CONCATENATE($C208,"/",$D208,"/",$E208),'Такс. опис.'!$C$5:$C$50,0),48))</f>
        <v>мл</v>
      </c>
      <c r="X208" s="179" t="str">
        <f>IF(B208="",X207,INDEX('Такс. опис.'!$A$5:$BW$50,MATCH(CONCATENATE($C208,"/",$D208,"/",$E208),'Такс. опис.'!$C$5:$C$50,0),26))</f>
        <v>8Б2ОЛЧ</v>
      </c>
      <c r="Y208" s="179">
        <f>IF(B208="",Y207,INDEX('Такс. опис.'!$A$5:$BW$50,MATCH(CONCATENATE($C208,"/",$D208,"/",$E208),'Такс. опис.'!$C$5:$C$50,0),49))</f>
        <v>70</v>
      </c>
      <c r="Z208" s="179" t="str">
        <f>IF(C208="",Z207,INDEX('Такс. опис.'!$A$5:$BW$50,MATCH(CONCATENATE($C208,"/",$D208,"/",$E208),'Такс. опис.'!$C$5:$C$50,0),47))</f>
        <v>Береза</v>
      </c>
      <c r="AA208" s="179" t="str">
        <f>IF(D208="","",INDEX('Такс. опис.'!$A$5:$BW$50,MATCH('Ведомость расчета мин. платы'!AC208,'Такс. опис.'!$C$5:$C$50,0),31))</f>
        <v/>
      </c>
      <c r="AB208" s="115"/>
      <c r="AC208" s="47" t="str">
        <f t="shared" si="89"/>
        <v>Чулпановское/67/34/2</v>
      </c>
      <c r="AD208" s="180">
        <f>INDEX(Периметр!$A$3:$Q$158,MATCH(AC208,Периметр!$A$3:$A$158,0),17)</f>
        <v>0.67</v>
      </c>
      <c r="AE208" s="47" t="str">
        <f t="shared" si="88"/>
        <v>Чулпановское/67/34/2/Ольха черная</v>
      </c>
      <c r="AF208" s="115"/>
      <c r="AG208" s="176"/>
      <c r="AH208" s="176"/>
      <c r="AI208" s="176"/>
      <c r="AK208" s="186" t="str">
        <f t="shared" si="92"/>
        <v>//</v>
      </c>
    </row>
    <row r="209" spans="2:37" ht="15.95" customHeight="1" x14ac:dyDescent="0.2">
      <c r="B209" s="179" t="str">
        <f>IF(E209="","",COUNTA($E$10:E209))</f>
        <v/>
      </c>
      <c r="C209" s="157"/>
      <c r="D209" s="113"/>
      <c r="E209" s="113"/>
      <c r="F209" s="113"/>
      <c r="G209" s="157"/>
      <c r="H209" s="113"/>
      <c r="I209" s="157"/>
      <c r="J209" s="187" t="s">
        <v>15</v>
      </c>
      <c r="K209" s="114">
        <f>SUM(K207:K208)</f>
        <v>13.51</v>
      </c>
      <c r="L209" s="114">
        <f t="shared" ref="L209:S209" si="95">SUM(L207:L208)</f>
        <v>89.11</v>
      </c>
      <c r="M209" s="114">
        <f t="shared" si="95"/>
        <v>21.49</v>
      </c>
      <c r="N209" s="114">
        <f t="shared" si="95"/>
        <v>124.11</v>
      </c>
      <c r="O209" s="114">
        <f t="shared" si="95"/>
        <v>147.69</v>
      </c>
      <c r="P209" s="114">
        <f t="shared" si="95"/>
        <v>0</v>
      </c>
      <c r="Q209" s="370">
        <f t="shared" si="95"/>
        <v>271.8</v>
      </c>
      <c r="R209" s="114">
        <f t="shared" si="95"/>
        <v>310.74</v>
      </c>
      <c r="S209" s="114">
        <f t="shared" si="95"/>
        <v>9774.89</v>
      </c>
      <c r="T209" s="116">
        <f>IF(AE209="",INDEX(Коэффициенты!$B$4:$S$59,MATCH('Ведомость расчета мин. платы'!AC209,Коэффициенты!$O$4:$O$59,0),9),"")</f>
        <v>18083.546499999997</v>
      </c>
      <c r="U209" s="31"/>
      <c r="V209" s="184"/>
      <c r="W209" s="179" t="str">
        <f>IF(B209="",W208,INDEX('Такс. опис.'!$A$5:$BW$50,MATCH(CONCATENATE($C209,"/",$D209,"/",$E209),'Такс. опис.'!$C$5:$C$50,0),48))</f>
        <v>мл</v>
      </c>
      <c r="X209" s="179" t="str">
        <f>IF(B209="",X208,INDEX('Такс. опис.'!$A$5:$BW$50,MATCH(CONCATENATE($C209,"/",$D209,"/",$E209),'Такс. опис.'!$C$5:$C$50,0),26))</f>
        <v>8Б2ОЛЧ</v>
      </c>
      <c r="Y209" s="179">
        <f>IF(B209="",Y208,INDEX('Такс. опис.'!$A$5:$BW$50,MATCH(CONCATENATE($C209,"/",$D209,"/",$E209),'Такс. опис.'!$C$5:$C$50,0),49))</f>
        <v>70</v>
      </c>
      <c r="Z209" s="179" t="str">
        <f>IF(C209="",Z208,INDEX('Такс. опис.'!$A$5:$BW$50,MATCH(CONCATENATE($C209,"/",$D209,"/",$E209),'Такс. опис.'!$C$5:$C$50,0),47))</f>
        <v>Береза</v>
      </c>
      <c r="AA209" s="179" t="str">
        <f>IF(D209="","",INDEX('Такс. опис.'!$A$5:$BW$50,MATCH('Ведомость расчета мин. платы'!AC209,'Такс. опис.'!$C$5:$C$50,0),31))</f>
        <v/>
      </c>
      <c r="AB209" s="115"/>
      <c r="AC209" s="47" t="str">
        <f t="shared" si="89"/>
        <v>Чулпановское/67/34/2</v>
      </c>
      <c r="AD209" s="180">
        <f>INDEX(Периметр!$A$3:$Q$158,MATCH(AC209,Периметр!$A$3:$A$158,0),17)</f>
        <v>0.67</v>
      </c>
      <c r="AE209" s="47" t="str">
        <f t="shared" si="88"/>
        <v/>
      </c>
      <c r="AF209" s="115"/>
      <c r="AG209" s="176"/>
      <c r="AH209" s="176"/>
      <c r="AI209" s="176"/>
      <c r="AK209" s="186" t="str">
        <f t="shared" si="92"/>
        <v>//</v>
      </c>
    </row>
    <row r="210" spans="2:37" ht="15.95" customHeight="1" x14ac:dyDescent="0.2">
      <c r="B210" s="41"/>
      <c r="C210" s="31"/>
      <c r="D210" s="41"/>
      <c r="E210" s="41"/>
      <c r="F210" s="41"/>
      <c r="G210" s="31"/>
      <c r="H210" s="41"/>
      <c r="I210" s="31"/>
      <c r="J210" s="166"/>
      <c r="K210" s="116"/>
      <c r="L210" s="116"/>
      <c r="M210" s="116"/>
      <c r="N210" s="116"/>
      <c r="O210" s="116"/>
      <c r="P210" s="116"/>
      <c r="Q210" s="370"/>
      <c r="R210" s="170"/>
      <c r="S210" s="116"/>
      <c r="T210" s="116"/>
      <c r="U210" s="172"/>
      <c r="V210" s="46"/>
      <c r="W210" s="179"/>
      <c r="X210" s="179"/>
      <c r="Y210" s="179"/>
      <c r="Z210" s="179"/>
      <c r="AA210" s="179"/>
      <c r="AB210" s="115"/>
      <c r="AC210" s="47"/>
      <c r="AD210" s="31"/>
      <c r="AE210" s="115"/>
      <c r="AF210" s="115"/>
      <c r="AG210" s="176"/>
      <c r="AH210" s="176"/>
      <c r="AI210" s="176"/>
    </row>
    <row r="211" spans="2:37" ht="15.95" customHeight="1" x14ac:dyDescent="0.2">
      <c r="B211" s="113"/>
      <c r="C211" s="157"/>
      <c r="D211" s="113" t="s">
        <v>21</v>
      </c>
      <c r="E211" s="113"/>
      <c r="F211" s="113"/>
      <c r="G211" s="157">
        <f>SUM(G10:G210)</f>
        <v>300.99999999999994</v>
      </c>
      <c r="H211" s="113"/>
      <c r="I211" s="157"/>
      <c r="J211" s="158"/>
      <c r="K211" s="114">
        <f t="shared" ref="K211:T211" si="96">SUMIF($J$10:$J$210,"Итого",K10:K210)</f>
        <v>13637.66</v>
      </c>
      <c r="L211" s="114">
        <f t="shared" si="96"/>
        <v>13081.32</v>
      </c>
      <c r="M211" s="114">
        <f t="shared" si="96"/>
        <v>1634.5099999999995</v>
      </c>
      <c r="N211" s="114">
        <f t="shared" si="96"/>
        <v>28353.489999999991</v>
      </c>
      <c r="O211" s="114">
        <f t="shared" si="96"/>
        <v>27191.34</v>
      </c>
      <c r="P211" s="114">
        <f t="shared" si="96"/>
        <v>0</v>
      </c>
      <c r="Q211" s="370">
        <f t="shared" si="96"/>
        <v>55544.83</v>
      </c>
      <c r="R211" s="114">
        <f t="shared" si="96"/>
        <v>64815.950000000012</v>
      </c>
      <c r="S211" s="114">
        <f t="shared" si="96"/>
        <v>1111209.8399999999</v>
      </c>
      <c r="T211" s="114">
        <f t="shared" si="96"/>
        <v>2146233.4062999994</v>
      </c>
      <c r="U211" s="172"/>
      <c r="V211" s="46"/>
      <c r="W211" s="179"/>
      <c r="X211" s="179"/>
      <c r="Y211" s="179"/>
      <c r="Z211" s="179"/>
      <c r="AA211" s="179"/>
      <c r="AB211" s="115"/>
      <c r="AC211" s="47"/>
      <c r="AD211" s="31"/>
      <c r="AE211" s="115"/>
      <c r="AF211" s="115"/>
      <c r="AG211" s="176"/>
      <c r="AH211" s="176"/>
      <c r="AI211" s="176"/>
    </row>
    <row r="212" spans="2:37" ht="15.95" customHeight="1" x14ac:dyDescent="0.2">
      <c r="B212" s="126"/>
      <c r="C212" s="169"/>
      <c r="D212" s="126"/>
      <c r="E212" s="126"/>
      <c r="F212" s="126"/>
      <c r="G212" s="169"/>
      <c r="H212" s="126"/>
      <c r="I212" s="169"/>
      <c r="J212" s="169"/>
      <c r="K212" s="160"/>
      <c r="L212" s="160"/>
      <c r="M212" s="160"/>
      <c r="N212" s="127"/>
      <c r="O212" s="160"/>
      <c r="P212" s="160"/>
      <c r="Q212" s="160"/>
      <c r="R212" s="160"/>
      <c r="S212" s="160"/>
      <c r="T212" s="160"/>
      <c r="V212" s="46"/>
      <c r="W212" s="128"/>
      <c r="X212" s="128"/>
      <c r="Y212" s="128"/>
      <c r="Z212" s="128"/>
      <c r="AA212" s="128"/>
      <c r="AB212" s="46"/>
      <c r="AC212" s="129"/>
      <c r="AD212" s="1"/>
      <c r="AE212" s="46"/>
      <c r="AF212" s="46"/>
      <c r="AG212" s="175"/>
      <c r="AH212" s="175"/>
      <c r="AI212" s="175"/>
    </row>
    <row r="213" spans="2:37" ht="15.95" customHeight="1" x14ac:dyDescent="0.2">
      <c r="B213" s="124"/>
      <c r="C213" s="178"/>
      <c r="D213" s="124"/>
      <c r="E213" s="124"/>
      <c r="F213" s="124" t="s">
        <v>2047</v>
      </c>
      <c r="G213" s="178"/>
      <c r="H213" s="178"/>
      <c r="I213" s="178"/>
      <c r="J213" s="161"/>
      <c r="K213" s="124"/>
      <c r="L213" s="124"/>
      <c r="M213" s="124"/>
      <c r="N213" s="167"/>
      <c r="O213" s="178" t="s">
        <v>2050</v>
      </c>
      <c r="P213" s="124"/>
      <c r="Q213" s="124"/>
      <c r="R213" s="125"/>
      <c r="S213" s="125"/>
      <c r="T213" s="125"/>
    </row>
    <row r="214" spans="2:37" ht="15.95" customHeight="1" x14ac:dyDescent="0.2">
      <c r="B214" s="124"/>
      <c r="C214" s="178"/>
      <c r="D214" s="124"/>
      <c r="E214" s="124"/>
      <c r="F214" s="124"/>
      <c r="G214" s="178"/>
      <c r="H214" s="178"/>
      <c r="I214" s="178"/>
      <c r="J214" s="161"/>
      <c r="K214" s="124"/>
      <c r="L214" s="124"/>
      <c r="M214" s="124"/>
      <c r="N214" s="167"/>
      <c r="O214" s="124"/>
      <c r="P214" s="124"/>
      <c r="Q214" s="124"/>
      <c r="R214" s="162"/>
      <c r="S214" s="162"/>
      <c r="T214" s="125"/>
    </row>
    <row r="215" spans="2:37" ht="15.95" customHeight="1" x14ac:dyDescent="0.2">
      <c r="B215" s="124"/>
      <c r="C215" s="339" t="s">
        <v>2051</v>
      </c>
      <c r="D215" s="340"/>
      <c r="E215" s="340"/>
      <c r="F215" s="340"/>
      <c r="G215" s="341" t="s">
        <v>2048</v>
      </c>
      <c r="H215" s="341"/>
      <c r="I215" s="341"/>
      <c r="J215" s="163"/>
      <c r="K215" s="164"/>
      <c r="L215" s="124"/>
      <c r="M215" s="124"/>
      <c r="N215" s="167" t="s">
        <v>2049</v>
      </c>
      <c r="O215" s="124"/>
      <c r="P215" s="124"/>
      <c r="Q215" s="124"/>
      <c r="R215" s="162"/>
      <c r="S215" s="162"/>
      <c r="T215" s="125"/>
    </row>
    <row r="216" spans="2:37" ht="15.95" customHeight="1" x14ac:dyDescent="0.2">
      <c r="B216" s="124"/>
      <c r="C216" s="340"/>
      <c r="D216" s="340"/>
      <c r="E216" s="340"/>
      <c r="F216" s="340"/>
      <c r="G216" s="178"/>
      <c r="H216" s="178"/>
      <c r="I216" s="178"/>
      <c r="J216" s="161"/>
      <c r="K216" s="124"/>
      <c r="L216" s="342"/>
      <c r="M216" s="343"/>
      <c r="N216" s="343"/>
      <c r="O216" s="124"/>
      <c r="P216" s="124"/>
      <c r="Q216" s="124"/>
      <c r="R216" s="162"/>
      <c r="S216" s="162"/>
      <c r="T216" s="125"/>
    </row>
  </sheetData>
  <autoFilter ref="B8:AI209">
    <filterColumn colId="9" showButton="0"/>
    <filterColumn colId="10" showButton="0"/>
    <filterColumn colId="11" showButton="0"/>
  </autoFilter>
  <sortState ref="C10:R385">
    <sortCondition ref="C385"/>
  </sortState>
  <mergeCells count="27">
    <mergeCell ref="Y8:Y9"/>
    <mergeCell ref="V8:V9"/>
    <mergeCell ref="Z8:Z9"/>
    <mergeCell ref="AA8:AA9"/>
    <mergeCell ref="AB8:AB9"/>
    <mergeCell ref="P8:P9"/>
    <mergeCell ref="Q8:Q9"/>
    <mergeCell ref="S8:S9"/>
    <mergeCell ref="W8:W9"/>
    <mergeCell ref="X8:X9"/>
    <mergeCell ref="T8:T9"/>
    <mergeCell ref="C215:F216"/>
    <mergeCell ref="G215:I215"/>
    <mergeCell ref="L216:N216"/>
    <mergeCell ref="U8:U9"/>
    <mergeCell ref="B8:B9"/>
    <mergeCell ref="C8:C9"/>
    <mergeCell ref="D8:D9"/>
    <mergeCell ref="E8:E9"/>
    <mergeCell ref="F8:F9"/>
    <mergeCell ref="K8:N8"/>
    <mergeCell ref="G8:G9"/>
    <mergeCell ref="H8:H9"/>
    <mergeCell ref="I8:I9"/>
    <mergeCell ref="J8:J9"/>
    <mergeCell ref="R8:R9"/>
    <mergeCell ref="O8:O9"/>
  </mergeCells>
  <conditionalFormatting sqref="Z213:Z1048576 Z2:Z6 Z8">
    <cfRule type="containsText" dxfId="6" priority="34" operator="containsText" text="Липа">
      <formula>NOT(ISERROR(SEARCH("Липа",Z2)))</formula>
    </cfRule>
    <cfRule type="containsText" dxfId="5" priority="35" operator="containsText" text="Береза">
      <formula>NOT(ISERROR(SEARCH("Береза",Z2)))</formula>
    </cfRule>
    <cfRule type="containsText" dxfId="4" priority="36" operator="containsText" text="Осина">
      <formula>NOT(ISERROR(SEARCH("Осина",Z2)))</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61"/>
  <sheetViews>
    <sheetView zoomScale="145" zoomScaleNormal="145" workbookViewId="0">
      <pane ySplit="2" topLeftCell="A35" activePane="bottomLeft" state="frozen"/>
      <selection pane="bottomLeft" activeCell="H55" sqref="H55"/>
    </sheetView>
  </sheetViews>
  <sheetFormatPr defaultRowHeight="12.75" outlineLevelCol="2" x14ac:dyDescent="0.2"/>
  <cols>
    <col min="1" max="1" width="9.140625" style="201"/>
    <col min="2" max="2" width="8.85546875" style="200"/>
    <col min="3" max="3" width="22.140625" style="200" customWidth="1"/>
    <col min="4" max="4" width="12.28515625" style="200" customWidth="1"/>
    <col min="5" max="6" width="8.85546875" style="200"/>
    <col min="7" max="7" width="11.42578125" style="200" customWidth="1"/>
    <col min="8" max="8" width="29.7109375" style="200" customWidth="1"/>
    <col min="9" max="9" width="14.7109375" style="200" customWidth="1" outlineLevel="1"/>
    <col min="10" max="10" width="14.5703125" style="200" customWidth="1" outlineLevel="1"/>
    <col min="11" max="11" width="3.7109375" style="201" customWidth="1" outlineLevel="1"/>
    <col min="12" max="12" width="10.28515625" style="221" customWidth="1" outlineLevel="1"/>
    <col min="13" max="13" width="4.42578125" style="201" customWidth="1" outlineLevel="1"/>
    <col min="14" max="14" width="18" style="201" hidden="1" customWidth="1" outlineLevel="2"/>
    <col min="15" max="15" width="25.85546875" style="222" hidden="1" customWidth="1" outlineLevel="2"/>
    <col min="16" max="16" width="11.5703125" style="223" customWidth="1" outlineLevel="1" collapsed="1"/>
    <col min="17" max="17" width="13.42578125" style="200" customWidth="1" outlineLevel="1"/>
    <col min="18" max="18" width="9.5703125" style="201" customWidth="1" outlineLevel="1"/>
    <col min="19" max="19" width="14.140625" style="200" customWidth="1"/>
    <col min="20" max="16384" width="9.140625" style="201"/>
  </cols>
  <sheetData>
    <row r="1" spans="2:19" x14ac:dyDescent="0.2">
      <c r="B1" s="200">
        <v>1</v>
      </c>
      <c r="C1" s="200">
        <v>2</v>
      </c>
      <c r="D1" s="200">
        <v>3</v>
      </c>
      <c r="E1" s="200">
        <v>4</v>
      </c>
      <c r="F1" s="200">
        <v>5</v>
      </c>
      <c r="G1" s="200">
        <v>6</v>
      </c>
      <c r="H1" s="200">
        <v>7</v>
      </c>
      <c r="I1" s="200">
        <v>8</v>
      </c>
      <c r="J1" s="200">
        <v>9</v>
      </c>
      <c r="K1" s="200">
        <v>10</v>
      </c>
      <c r="L1" s="200">
        <v>11</v>
      </c>
      <c r="M1" s="200">
        <v>12</v>
      </c>
      <c r="N1" s="200">
        <v>13</v>
      </c>
      <c r="O1" s="200">
        <v>14</v>
      </c>
      <c r="P1" s="200">
        <v>15</v>
      </c>
      <c r="Q1" s="200">
        <v>16</v>
      </c>
      <c r="R1" s="200">
        <v>17</v>
      </c>
      <c r="S1" s="200">
        <v>18</v>
      </c>
    </row>
    <row r="2" spans="2:19" ht="54" customHeight="1" x14ac:dyDescent="0.2">
      <c r="B2" s="202" t="s">
        <v>0</v>
      </c>
      <c r="C2" s="202" t="s">
        <v>1</v>
      </c>
      <c r="D2" s="202" t="s">
        <v>2</v>
      </c>
      <c r="E2" s="202" t="s">
        <v>3</v>
      </c>
      <c r="F2" s="202" t="s">
        <v>4</v>
      </c>
      <c r="G2" s="202" t="s">
        <v>5</v>
      </c>
      <c r="H2" s="202" t="s">
        <v>98</v>
      </c>
      <c r="I2" s="202" t="s">
        <v>442</v>
      </c>
      <c r="J2" s="202" t="s">
        <v>99</v>
      </c>
      <c r="L2" s="203" t="s">
        <v>435</v>
      </c>
      <c r="M2" s="204"/>
      <c r="N2" s="204" t="s">
        <v>118</v>
      </c>
      <c r="O2" s="205"/>
      <c r="P2" s="204" t="s">
        <v>451</v>
      </c>
      <c r="Q2" s="204" t="s">
        <v>452</v>
      </c>
      <c r="R2" s="206" t="s">
        <v>450</v>
      </c>
      <c r="S2" s="202" t="s">
        <v>2041</v>
      </c>
    </row>
    <row r="3" spans="2:19" x14ac:dyDescent="0.2">
      <c r="L3" s="207"/>
      <c r="M3" s="208"/>
      <c r="N3" s="208"/>
      <c r="O3" s="205"/>
      <c r="P3" s="208"/>
    </row>
    <row r="4" spans="2:19" ht="15" customHeight="1" x14ac:dyDescent="0.2">
      <c r="B4" s="113">
        <v>1</v>
      </c>
      <c r="C4" s="209" t="str">
        <f>IFERROR(INDEX('Ведомость расчета мин. платы'!$B$10:$AB$214,MATCH(Коэффициенты!$B4,'Ведомость расчета мин. платы'!$B$10:$B$214,0),2),"")</f>
        <v>Вишнево-Полянское</v>
      </c>
      <c r="D4" s="113">
        <f>IFERROR(INDEX('Ведомость расчета мин. платы'!$B$10:$AB$214,MATCH(Коэффициенты!$B4,'Ведомость расчета мин. платы'!$B$10:$B$214,0),3),"")</f>
        <v>8</v>
      </c>
      <c r="E4" s="113">
        <f>IFERROR(INDEX('Ведомость расчета мин. платы'!$B$10:$AB$214,MATCH(Коэффициенты!$B4,'Ведомость расчета мин. платы'!$B$10:$B$214,0),4),"")</f>
        <v>15</v>
      </c>
      <c r="F4" s="113">
        <f>IFERROR(INDEX('Ведомость расчета мин. платы'!$B$10:$AB$214,MATCH(Коэффициенты!$B4,'Ведомость расчета мин. платы'!$B$10:$B$214,0),5),"")</f>
        <v>1</v>
      </c>
      <c r="G4" s="210">
        <f>IFERROR(INDEX('Ведомость расчета мин. платы'!$B$10:$AB$214,MATCH(Коэффициенты!$B4,'Ведомость расчета мин. платы'!$B$10:$B$214,0),6),"")</f>
        <v>10</v>
      </c>
      <c r="H4" s="209">
        <f>SUMIFS('Ведомость расчета мин. платы'!S:S,'Ведомость расчета мин. платы'!J:J,"Итого",'Ведомость расчета мин. платы'!AC:AC,O4)</f>
        <v>48968.789999999994</v>
      </c>
      <c r="I4" s="211">
        <f>(IFERROR(INDEX(ЛОТЫ!$I$5:$Y$2073,MATCH(B4,ЛОТЫ!$K$5:$K$2073,0),15),""))</f>
        <v>1.7000000000000002</v>
      </c>
      <c r="J4" s="183">
        <f>(IFERROR(INDEX(ЛОТЫ!$I$5:$Y$2073,MATCH(B4,ЛОТЫ!$K$5:$K$2073,0),16),""))</f>
        <v>83246.942999999999</v>
      </c>
      <c r="L4" s="212">
        <f>SUMIFS('Ведомость расчета мин. платы'!Q:Q,'Ведомость расчета мин. платы'!J:J,"Итого",'Ведомость расчета мин. платы'!AC:AC,O4)</f>
        <v>2618.77</v>
      </c>
      <c r="M4" s="208"/>
      <c r="N4" s="211" t="str">
        <f>IFERROR(INDEX('Ведомость расчета мин. платы'!$B$10:$AB$214,MATCH(Коэффициенты!B4,'Ведомость расчета мин. платы'!$B$10:$B$214,0),22),"")</f>
        <v>мл</v>
      </c>
      <c r="O4" s="205" t="str">
        <f t="shared" ref="O4:O52" si="0">CONCATENATE(C4,"/",D4,"/",E4,"/",F4)</f>
        <v>Вишнево-Полянское/8/15/1</v>
      </c>
      <c r="P4" s="211">
        <f>(IFERROR(INDEX(ЛОТЫ!$I$5:$Y$2073,MATCH(B4,ЛОТЫ!$K$5:$K$2073,0),17),""))</f>
        <v>31.788566006178474</v>
      </c>
      <c r="Q4" s="213">
        <f t="shared" ref="Q4:Q29" si="1">J4-H4</f>
        <v>34278.153000000006</v>
      </c>
      <c r="R4" s="123">
        <f>IFERROR(INDEX('Ведомость расчета мин. платы'!$B$10:$AD$214,MATCH(B4,'Ведомость расчета мин. платы'!$B$10:$B$214,0),29),"")</f>
        <v>2.2200000000000002</v>
      </c>
      <c r="S4" s="214">
        <f t="shared" ref="S4:S29" si="2">G4*197.93</f>
        <v>1979.3000000000002</v>
      </c>
    </row>
    <row r="5" spans="2:19" ht="15" customHeight="1" x14ac:dyDescent="0.2">
      <c r="B5" s="113">
        <v>2</v>
      </c>
      <c r="C5" s="209" t="str">
        <f>IFERROR(INDEX('Ведомость расчета мин. платы'!$B$10:$AB$214,MATCH(Коэффициенты!$B5,'Ведомость расчета мин. платы'!$B$10:$B$214,0),2),"")</f>
        <v>Вишнево-Полянское</v>
      </c>
      <c r="D5" s="113">
        <f>IFERROR(INDEX('Ведомость расчета мин. платы'!$B$10:$AB$214,MATCH(Коэффициенты!$B5,'Ведомость расчета мин. платы'!$B$10:$B$214,0),3),"")</f>
        <v>8</v>
      </c>
      <c r="E5" s="113">
        <f>IFERROR(INDEX('Ведомость расчета мин. платы'!$B$10:$AB$214,MATCH(Коэффициенты!$B5,'Ведомость расчета мин. платы'!$B$10:$B$214,0),4),"")</f>
        <v>15</v>
      </c>
      <c r="F5" s="113">
        <f>IFERROR(INDEX('Ведомость расчета мин. платы'!$B$10:$AB$214,MATCH(Коэффициенты!$B5,'Ведомость расчета мин. платы'!$B$10:$B$214,0),5),"")</f>
        <v>2</v>
      </c>
      <c r="G5" s="210">
        <f>IFERROR(INDEX('Ведомость расчета мин. платы'!$B$10:$AB$214,MATCH(Коэффициенты!$B5,'Ведомость расчета мин. платы'!$B$10:$B$214,0),6),"")</f>
        <v>7.4</v>
      </c>
      <c r="H5" s="209">
        <f>SUMIFS('Ведомость расчета мин. платы'!S:S,'Ведомость расчета мин. платы'!J:J,"Итого",'Ведомость расчета мин. платы'!AC:AC,O5)</f>
        <v>37228.82</v>
      </c>
      <c r="I5" s="211">
        <f>(IFERROR(INDEX(ЛОТЫ!$I$5:$Y$2073,MATCH(B5,ЛОТЫ!$K$5:$K$2073,0),15),""))</f>
        <v>1.6799999999999997</v>
      </c>
      <c r="J5" s="183">
        <f>(IFERROR(INDEX(ЛОТЫ!$I$5:$Y$2073,MATCH(B5,ЛОТЫ!$K$5:$K$2073,0),16),""))</f>
        <v>62544.417599999986</v>
      </c>
      <c r="L5" s="212">
        <f>SUMIFS('Ведомость расчета мин. платы'!Q:Q,'Ведомость расчета мин. платы'!J:J,"Итого",'Ведомость расчета мин. платы'!AC:AC,O5)</f>
        <v>1993.71</v>
      </c>
      <c r="M5" s="208"/>
      <c r="N5" s="211" t="str">
        <f>IFERROR(INDEX('Ведомость расчета мин. платы'!$B$10:$AB$214,MATCH(Коэффициенты!B5,'Ведомость расчета мин. платы'!$B$10:$B$214,0),22),"")</f>
        <v>мл</v>
      </c>
      <c r="O5" s="205" t="str">
        <f t="shared" si="0"/>
        <v>Вишнево-Полянское/8/15/2</v>
      </c>
      <c r="P5" s="211">
        <f>(IFERROR(INDEX(ЛОТЫ!$I$5:$Y$2073,MATCH(B5,ЛОТЫ!$K$5:$K$2073,0),17),""))</f>
        <v>31.370870186737282</v>
      </c>
      <c r="Q5" s="213">
        <f t="shared" si="1"/>
        <v>25315.597599999986</v>
      </c>
      <c r="R5" s="123">
        <f>IFERROR(INDEX('Ведомость расчета мин. платы'!$B$10:$AD$214,MATCH(B5,'Ведомость расчета мин. платы'!$B$10:$B$214,0),29),"")</f>
        <v>1.67</v>
      </c>
      <c r="S5" s="214">
        <f t="shared" si="2"/>
        <v>1464.682</v>
      </c>
    </row>
    <row r="6" spans="2:19" ht="15" customHeight="1" x14ac:dyDescent="0.2">
      <c r="B6" s="113">
        <v>3</v>
      </c>
      <c r="C6" s="209" t="str">
        <f>IFERROR(INDEX('Ведомость расчета мин. платы'!$B$10:$AB$214,MATCH(Коэффициенты!$B6,'Ведомость расчета мин. платы'!$B$10:$B$214,0),2),"")</f>
        <v>Вишнево-Полянское</v>
      </c>
      <c r="D6" s="113">
        <f>IFERROR(INDEX('Ведомость расчета мин. платы'!$B$10:$AB$214,MATCH(Коэффициенты!$B6,'Ведомость расчета мин. платы'!$B$10:$B$214,0),3),"")</f>
        <v>15</v>
      </c>
      <c r="E6" s="113">
        <f>IFERROR(INDEX('Ведомость расчета мин. платы'!$B$10:$AB$214,MATCH(Коэффициенты!$B6,'Ведомость расчета мин. платы'!$B$10:$B$214,0),4),"")</f>
        <v>22</v>
      </c>
      <c r="F6" s="113">
        <f>IFERROR(INDEX('Ведомость расчета мин. платы'!$B$10:$AB$214,MATCH(Коэффициенты!$B6,'Ведомость расчета мин. платы'!$B$10:$B$214,0),5),"")</f>
        <v>1</v>
      </c>
      <c r="G6" s="210">
        <f>IFERROR(INDEX('Ведомость расчета мин. платы'!$B$10:$AB$214,MATCH(Коэффициенты!$B6,'Ведомость расчета мин. платы'!$B$10:$B$214,0),6),"")</f>
        <v>4</v>
      </c>
      <c r="H6" s="209">
        <f>SUMIFS('Ведомость расчета мин. платы'!S:S,'Ведомость расчета мин. платы'!J:J,"Итого",'Ведомость расчета мин. платы'!AC:AC,O6)</f>
        <v>23873.08</v>
      </c>
      <c r="I6" s="211">
        <f>(IFERROR(INDEX(ЛОТЫ!$I$5:$Y$2073,MATCH(B6,ЛОТЫ!$K$5:$K$2073,0),15),""))</f>
        <v>1.58</v>
      </c>
      <c r="J6" s="183">
        <f>(IFERROR(INDEX(ЛОТЫ!$I$5:$Y$2073,MATCH(B6,ЛОТЫ!$K$5:$K$2073,0),16),""))</f>
        <v>37719.466400000005</v>
      </c>
      <c r="L6" s="212">
        <f>SUMIFS('Ведомость расчета мин. платы'!Q:Q,'Ведомость расчета мин. платы'!J:J,"Итого",'Ведомость расчета мин. платы'!AC:AC,O6)</f>
        <v>831.59999999999991</v>
      </c>
      <c r="M6" s="208"/>
      <c r="N6" s="211" t="str">
        <f>IFERROR(INDEX('Ведомость расчета мин. платы'!$B$10:$AB$214,MATCH(Коэффициенты!B6,'Ведомость расчета мин. платы'!$B$10:$B$214,0),22),"")</f>
        <v>мл</v>
      </c>
      <c r="O6" s="205" t="str">
        <f t="shared" si="0"/>
        <v>Вишнево-Полянское/15/22/1</v>
      </c>
      <c r="P6" s="211">
        <f>(IFERROR(INDEX(ЛОТЫ!$I$5:$Y$2073,MATCH(B6,ЛОТЫ!$K$5:$K$2073,0),17),""))</f>
        <v>45.357703703703713</v>
      </c>
      <c r="Q6" s="213">
        <f t="shared" si="1"/>
        <v>13846.386400000003</v>
      </c>
      <c r="R6" s="123">
        <f>IFERROR(INDEX('Ведомость расчета мин. платы'!$B$10:$AD$214,MATCH(B6,'Ведомость расчета мин. платы'!$B$10:$B$214,0),29),"")</f>
        <v>0.99</v>
      </c>
      <c r="S6" s="214">
        <f t="shared" si="2"/>
        <v>791.72</v>
      </c>
    </row>
    <row r="7" spans="2:19" ht="15" customHeight="1" x14ac:dyDescent="0.2">
      <c r="B7" s="113">
        <v>4</v>
      </c>
      <c r="C7" s="209" t="str">
        <f>IFERROR(INDEX('Ведомость расчета мин. платы'!$B$10:$AB$214,MATCH(Коэффициенты!$B7,'Ведомость расчета мин. платы'!$B$10:$B$214,0),2),"")</f>
        <v>Вишнево-Полянское</v>
      </c>
      <c r="D7" s="113">
        <f>IFERROR(INDEX('Ведомость расчета мин. платы'!$B$10:$AB$214,MATCH(Коэффициенты!$B7,'Ведомость расчета мин. платы'!$B$10:$B$214,0),3),"")</f>
        <v>19</v>
      </c>
      <c r="E7" s="113">
        <f>IFERROR(INDEX('Ведомость расчета мин. платы'!$B$10:$AB$214,MATCH(Коэффициенты!$B7,'Ведомость расчета мин. платы'!$B$10:$B$214,0),4),"")</f>
        <v>5</v>
      </c>
      <c r="F7" s="113">
        <f>IFERROR(INDEX('Ведомость расчета мин. платы'!$B$10:$AB$214,MATCH(Коэффициенты!$B7,'Ведомость расчета мин. платы'!$B$10:$B$214,0),5),"")</f>
        <v>1</v>
      </c>
      <c r="G7" s="210">
        <f>IFERROR(INDEX('Ведомость расчета мин. платы'!$B$10:$AB$214,MATCH(Коэффициенты!$B7,'Ведомость расчета мин. платы'!$B$10:$B$214,0),6),"")</f>
        <v>6.5</v>
      </c>
      <c r="H7" s="209">
        <f>SUMIFS('Ведомость расчета мин. платы'!S:S,'Ведомость расчета мин. платы'!J:J,"Итого",'Ведомость расчета мин. платы'!AC:AC,O7)</f>
        <v>35943.57</v>
      </c>
      <c r="I7" s="211">
        <f>(IFERROR(INDEX(ЛОТЫ!$I$5:$Y$2073,MATCH(B7,ЛОТЫ!$K$5:$K$2073,0),15),""))</f>
        <v>1.63</v>
      </c>
      <c r="J7" s="183">
        <f>(IFERROR(INDEX(ЛОТЫ!$I$5:$Y$2073,MATCH(B7,ЛОТЫ!$K$5:$K$2073,0),16),""))</f>
        <v>58588.019099999998</v>
      </c>
      <c r="L7" s="212">
        <f>SUMIFS('Ведомость расчета мин. платы'!Q:Q,'Ведомость расчета мин. платы'!J:J,"Итого",'Ведомость расчета мин. платы'!AC:AC,O7)</f>
        <v>1279.8400000000001</v>
      </c>
      <c r="M7" s="208"/>
      <c r="N7" s="211" t="str">
        <f>IFERROR(INDEX('Ведомость расчета мин. платы'!$B$10:$AB$214,MATCH(Коэффициенты!B7,'Ведомость расчета мин. платы'!$B$10:$B$214,0),22),"")</f>
        <v>мл</v>
      </c>
      <c r="O7" s="205" t="str">
        <f t="shared" si="0"/>
        <v>Вишнево-Полянское/19/5/1</v>
      </c>
      <c r="P7" s="211">
        <f>(IFERROR(INDEX(ЛОТЫ!$I$5:$Y$2073,MATCH(B7,ЛОТЫ!$K$5:$K$2073,0),17),""))</f>
        <v>45.777612123390419</v>
      </c>
      <c r="Q7" s="213">
        <f t="shared" si="1"/>
        <v>22644.449099999998</v>
      </c>
      <c r="R7" s="123">
        <f>IFERROR(INDEX('Ведомость расчета мин. платы'!$B$10:$AD$214,MATCH(B7,'Ведомость расчета мин. платы'!$B$10:$B$214,0),29),"")</f>
        <v>1.5</v>
      </c>
      <c r="S7" s="214">
        <f t="shared" si="2"/>
        <v>1286.5450000000001</v>
      </c>
    </row>
    <row r="8" spans="2:19" ht="15" customHeight="1" x14ac:dyDescent="0.2">
      <c r="B8" s="113">
        <v>5</v>
      </c>
      <c r="C8" s="209" t="str">
        <f>IFERROR(INDEX('Ведомость расчета мин. платы'!$B$10:$AB$214,MATCH(Коэффициенты!$B8,'Ведомость расчета мин. платы'!$B$10:$B$214,0),2),"")</f>
        <v>Вишнево-Полянское</v>
      </c>
      <c r="D8" s="113">
        <f>IFERROR(INDEX('Ведомость расчета мин. платы'!$B$10:$AB$214,MATCH(Коэффициенты!$B8,'Ведомость расчета мин. платы'!$B$10:$B$214,0),3),"")</f>
        <v>32</v>
      </c>
      <c r="E8" s="113">
        <f>IFERROR(INDEX('Ведомость расчета мин. платы'!$B$10:$AB$214,MATCH(Коэффициенты!$B8,'Ведомость расчета мин. платы'!$B$10:$B$214,0),4),"")</f>
        <v>7</v>
      </c>
      <c r="F8" s="113">
        <f>IFERROR(INDEX('Ведомость расчета мин. платы'!$B$10:$AB$214,MATCH(Коэффициенты!$B8,'Ведомость расчета мин. платы'!$B$10:$B$214,0),5),"")</f>
        <v>1</v>
      </c>
      <c r="G8" s="210">
        <f>IFERROR(INDEX('Ведомость расчета мин. платы'!$B$10:$AB$214,MATCH(Коэффициенты!$B8,'Ведомость расчета мин. платы'!$B$10:$B$214,0),6),"")</f>
        <v>2.5</v>
      </c>
      <c r="H8" s="209">
        <f>SUMIFS('Ведомость расчета мин. платы'!S:S,'Ведомость расчета мин. платы'!J:J,"Итого",'Ведомость расчета мин. платы'!AC:AC,O8)</f>
        <v>11657.369999999999</v>
      </c>
      <c r="I8" s="211">
        <f>(IFERROR(INDEX(ЛОТЫ!$I$5:$Y$2073,MATCH(B8,ЛОТЫ!$K$5:$K$2073,0),15),""))</f>
        <v>1.7400000000000002</v>
      </c>
      <c r="J8" s="183">
        <f>(IFERROR(INDEX(ЛОТЫ!$I$5:$Y$2073,MATCH(B8,ЛОТЫ!$K$5:$K$2073,0),16),""))</f>
        <v>20283.823800000002</v>
      </c>
      <c r="L8" s="212">
        <f>SUMIFS('Ведомость расчета мин. платы'!Q:Q,'Ведомость расчета мин. платы'!J:J,"Итого",'Ведомость расчета мин. платы'!AC:AC,O8)</f>
        <v>420.9</v>
      </c>
      <c r="M8" s="208"/>
      <c r="N8" s="211" t="str">
        <f>IFERROR(INDEX('Ведомость расчета мин. платы'!$B$10:$AB$214,MATCH(Коэффициенты!B8,'Ведомость расчета мин. платы'!$B$10:$B$214,0),22),"")</f>
        <v>мл</v>
      </c>
      <c r="O8" s="205" t="str">
        <f t="shared" si="0"/>
        <v>Вишнево-Полянское/32/7/1</v>
      </c>
      <c r="P8" s="211">
        <f>(IFERROR(INDEX(ЛОТЫ!$I$5:$Y$2073,MATCH(B8,ЛОТЫ!$K$5:$K$2073,0),17),""))</f>
        <v>48.191550962223815</v>
      </c>
      <c r="Q8" s="213">
        <f t="shared" si="1"/>
        <v>8626.453800000003</v>
      </c>
      <c r="R8" s="123">
        <f>IFERROR(INDEX('Ведомость расчета мин. платы'!$B$10:$AD$214,MATCH(B8,'Ведомость расчета мин. платы'!$B$10:$B$214,0),29),"")</f>
        <v>0.7</v>
      </c>
      <c r="S8" s="214">
        <f t="shared" si="2"/>
        <v>494.82500000000005</v>
      </c>
    </row>
    <row r="9" spans="2:19" ht="15" customHeight="1" x14ac:dyDescent="0.2">
      <c r="B9" s="113">
        <v>6</v>
      </c>
      <c r="C9" s="209" t="str">
        <f>IFERROR(INDEX('Ведомость расчета мин. платы'!$B$10:$AB$214,MATCH(Коэффициенты!$B9,'Ведомость расчета мин. платы'!$B$10:$B$214,0),2),"")</f>
        <v>Вишнево-Полянское</v>
      </c>
      <c r="D9" s="113">
        <f>IFERROR(INDEX('Ведомость расчета мин. платы'!$B$10:$AB$214,MATCH(Коэффициенты!$B9,'Ведомость расчета мин. платы'!$B$10:$B$214,0),3),"")</f>
        <v>32</v>
      </c>
      <c r="E9" s="113">
        <f>IFERROR(INDEX('Ведомость расчета мин. платы'!$B$10:$AB$214,MATCH(Коэффициенты!$B9,'Ведомость расчета мин. платы'!$B$10:$B$214,0),4),"")</f>
        <v>7</v>
      </c>
      <c r="F9" s="113">
        <f>IFERROR(INDEX('Ведомость расчета мин. платы'!$B$10:$AB$214,MATCH(Коэффициенты!$B9,'Ведомость расчета мин. платы'!$B$10:$B$214,0),5),"")</f>
        <v>2</v>
      </c>
      <c r="G9" s="210">
        <f>IFERROR(INDEX('Ведомость расчета мин. платы'!$B$10:$AB$214,MATCH(Коэффициенты!$B9,'Ведомость расчета мин. платы'!$B$10:$B$214,0),6),"")</f>
        <v>2.5</v>
      </c>
      <c r="H9" s="209">
        <f>SUMIFS('Ведомость расчета мин. платы'!S:S,'Ведомость расчета мин. платы'!J:J,"Итого",'Ведомость расчета мин. платы'!AC:AC,O9)</f>
        <v>11769.89</v>
      </c>
      <c r="I9" s="211">
        <f>(IFERROR(INDEX(ЛОТЫ!$I$5:$Y$2073,MATCH(B9,ЛОТЫ!$K$5:$K$2073,0),15),""))</f>
        <v>1.7400000000000002</v>
      </c>
      <c r="J9" s="183">
        <f>(IFERROR(INDEX(ЛОТЫ!$I$5:$Y$2073,MATCH(B9,ЛОТЫ!$K$5:$K$2073,0),16),""))</f>
        <v>20479.608600000003</v>
      </c>
      <c r="L9" s="212">
        <f>SUMIFS('Ведомость расчета мин. платы'!Q:Q,'Ведомость расчета мин. платы'!J:J,"Итого",'Ведомость расчета мин. платы'!AC:AC,O9)</f>
        <v>403.9</v>
      </c>
      <c r="M9" s="208"/>
      <c r="N9" s="211" t="str">
        <f>IFERROR(INDEX('Ведомость расчета мин. платы'!$B$10:$AB$214,MATCH(Коэффициенты!B9,'Ведомость расчета мин. платы'!$B$10:$B$214,0),22),"")</f>
        <v>мл</v>
      </c>
      <c r="O9" s="205" t="str">
        <f t="shared" si="0"/>
        <v>Вишнево-Полянское/32/7/2</v>
      </c>
      <c r="P9" s="211">
        <f>(IFERROR(INDEX(ЛОТЫ!$I$5:$Y$2073,MATCH(B9,ЛОТЫ!$K$5:$K$2073,0),17),""))</f>
        <v>50.70465115127508</v>
      </c>
      <c r="Q9" s="213">
        <f t="shared" si="1"/>
        <v>8709.7186000000038</v>
      </c>
      <c r="R9" s="123">
        <f>IFERROR(INDEX('Ведомость расчета мин. платы'!$B$10:$AD$214,MATCH(B9,'Ведомость расчета мин. платы'!$B$10:$B$214,0),29),"")</f>
        <v>0.7</v>
      </c>
      <c r="S9" s="214">
        <f t="shared" si="2"/>
        <v>494.82500000000005</v>
      </c>
    </row>
    <row r="10" spans="2:19" ht="15" customHeight="1" x14ac:dyDescent="0.2">
      <c r="B10" s="113">
        <v>7</v>
      </c>
      <c r="C10" s="209" t="str">
        <f>IFERROR(INDEX('Ведомость расчета мин. платы'!$B$10:$AB$214,MATCH(Коэффициенты!$B10,'Ведомость расчета мин. платы'!$B$10:$B$214,0),2),"")</f>
        <v>Вишнево-Полянское</v>
      </c>
      <c r="D10" s="113">
        <f>IFERROR(INDEX('Ведомость расчета мин. платы'!$B$10:$AB$214,MATCH(Коэффициенты!$B10,'Ведомость расчета мин. платы'!$B$10:$B$214,0),3),"")</f>
        <v>32</v>
      </c>
      <c r="E10" s="113">
        <f>IFERROR(INDEX('Ведомость расчета мин. платы'!$B$10:$AB$214,MATCH(Коэффициенты!$B10,'Ведомость расчета мин. платы'!$B$10:$B$214,0),4),"")</f>
        <v>7</v>
      </c>
      <c r="F10" s="113">
        <f>IFERROR(INDEX('Ведомость расчета мин. платы'!$B$10:$AB$214,MATCH(Коэффициенты!$B10,'Ведомость расчета мин. платы'!$B$10:$B$214,0),5),"")</f>
        <v>3</v>
      </c>
      <c r="G10" s="210">
        <f>IFERROR(INDEX('Ведомость расчета мин. платы'!$B$10:$AB$214,MATCH(Коэффициенты!$B10,'Ведомость расчета мин. платы'!$B$10:$B$214,0),6),"")</f>
        <v>4.4000000000000004</v>
      </c>
      <c r="H10" s="209">
        <f>SUMIFS('Ведомость расчета мин. платы'!S:S,'Ведомость расчета мин. платы'!J:J,"Итого",'Ведомость расчета мин. платы'!AC:AC,O10)</f>
        <v>19829.32</v>
      </c>
      <c r="I10" s="211">
        <f>(IFERROR(INDEX(ЛОТЫ!$I$5:$Y$2073,MATCH(B10,ЛОТЫ!$K$5:$K$2073,0),15),""))</f>
        <v>1.7599999999999998</v>
      </c>
      <c r="J10" s="183">
        <f>(IFERROR(INDEX(ЛОТЫ!$I$5:$Y$2073,MATCH(B10,ЛОТЫ!$K$5:$K$2073,0),16),""))</f>
        <v>34899.603199999998</v>
      </c>
      <c r="L10" s="212">
        <f>SUMIFS('Ведомость расчета мин. платы'!Q:Q,'Ведомость расчета мин. платы'!J:J,"Итого",'Ведомость расчета мин. платы'!AC:AC,O10)</f>
        <v>710.34</v>
      </c>
      <c r="M10" s="208"/>
      <c r="N10" s="211" t="str">
        <f>IFERROR(INDEX('Ведомость расчета мин. платы'!$B$10:$AB$214,MATCH(Коэффициенты!B10,'Ведомость расчета мин. платы'!$B$10:$B$214,0),22),"")</f>
        <v>мл</v>
      </c>
      <c r="O10" s="205" t="str">
        <f t="shared" si="0"/>
        <v>Вишнево-Полянское/32/7/3</v>
      </c>
      <c r="P10" s="211">
        <f>(IFERROR(INDEX(ЛОТЫ!$I$5:$Y$2073,MATCH(B10,ЛОТЫ!$K$5:$K$2073,0),17),""))</f>
        <v>49.130843258158059</v>
      </c>
      <c r="Q10" s="213">
        <f t="shared" si="1"/>
        <v>15070.283199999998</v>
      </c>
      <c r="R10" s="123">
        <f>IFERROR(INDEX('Ведомость расчета мин. платы'!$B$10:$AD$214,MATCH(B10,'Ведомость расчета мин. платы'!$B$10:$B$214,0),29),"")</f>
        <v>1.1000000000000001</v>
      </c>
      <c r="S10" s="214">
        <f t="shared" si="2"/>
        <v>870.89200000000005</v>
      </c>
    </row>
    <row r="11" spans="2:19" ht="15" customHeight="1" x14ac:dyDescent="0.2">
      <c r="B11" s="113">
        <v>8</v>
      </c>
      <c r="C11" s="209" t="str">
        <f>IFERROR(INDEX('Ведомость расчета мин. платы'!$B$10:$AB$214,MATCH(Коэффициенты!$B11,'Ведомость расчета мин. платы'!$B$10:$B$214,0),2),"")</f>
        <v>Вишнево-Полянское</v>
      </c>
      <c r="D11" s="113">
        <f>IFERROR(INDEX('Ведомость расчета мин. платы'!$B$10:$AB$214,MATCH(Коэффициенты!$B11,'Ведомость расчета мин. платы'!$B$10:$B$214,0),3),"")</f>
        <v>33</v>
      </c>
      <c r="E11" s="113">
        <f>IFERROR(INDEX('Ведомость расчета мин. платы'!$B$10:$AB$214,MATCH(Коэффициенты!$B11,'Ведомость расчета мин. платы'!$B$10:$B$214,0),4),"")</f>
        <v>4</v>
      </c>
      <c r="F11" s="113">
        <f>IFERROR(INDEX('Ведомость расчета мин. платы'!$B$10:$AB$214,MATCH(Коэффициенты!$B11,'Ведомость расчета мин. платы'!$B$10:$B$214,0),5),"")</f>
        <v>1</v>
      </c>
      <c r="G11" s="210">
        <f>IFERROR(INDEX('Ведомость расчета мин. платы'!$B$10:$AB$214,MATCH(Коэффициенты!$B11,'Ведомость расчета мин. платы'!$B$10:$B$214,0),6),"")</f>
        <v>6</v>
      </c>
      <c r="H11" s="209">
        <f>SUMIFS('Ведомость расчета мин. платы'!S:S,'Ведомость расчета мин. платы'!J:J,"Итого",'Ведомость расчета мин. платы'!AC:AC,O11)</f>
        <v>31096.69</v>
      </c>
      <c r="I11" s="211">
        <f>(IFERROR(INDEX(ЛОТЫ!$I$5:$Y$2073,MATCH(B11,ЛОТЫ!$K$5:$K$2073,0),15),""))</f>
        <v>1.67</v>
      </c>
      <c r="J11" s="183">
        <f>(IFERROR(INDEX(ЛОТЫ!$I$5:$Y$2073,MATCH(B11,ЛОТЫ!$K$5:$K$2073,0),16),""))</f>
        <v>51931.472299999994</v>
      </c>
      <c r="L11" s="212">
        <f>SUMIFS('Ведомость расчета мин. платы'!Q:Q,'Ведомость расчета мин. платы'!J:J,"Итого",'Ведомость расчета мин. платы'!AC:AC,O11)</f>
        <v>1208.8800000000001</v>
      </c>
      <c r="M11" s="208"/>
      <c r="N11" s="211" t="str">
        <f>IFERROR(INDEX('Ведомость расчета мин. платы'!$B$10:$AB$214,MATCH(Коэффициенты!B11,'Ведомость расчета мин. платы'!$B$10:$B$214,0),22),"")</f>
        <v>мл</v>
      </c>
      <c r="O11" s="205" t="str">
        <f t="shared" si="0"/>
        <v>Вишнево-Полянское/33/4/1</v>
      </c>
      <c r="P11" s="211">
        <f>(IFERROR(INDEX(ЛОТЫ!$I$5:$Y$2073,MATCH(B11,ЛОТЫ!$K$5:$K$2073,0),17),""))</f>
        <v>42.958335235920842</v>
      </c>
      <c r="Q11" s="213">
        <f t="shared" si="1"/>
        <v>20834.782299999995</v>
      </c>
      <c r="R11" s="123">
        <f>IFERROR(INDEX('Ведомость расчета мин. платы'!$B$10:$AD$214,MATCH(B11,'Ведомость расчета мин. платы'!$B$10:$B$214,0),29),"")</f>
        <v>1.45</v>
      </c>
      <c r="S11" s="214">
        <f t="shared" si="2"/>
        <v>1187.58</v>
      </c>
    </row>
    <row r="12" spans="2:19" ht="15" customHeight="1" x14ac:dyDescent="0.2">
      <c r="B12" s="113">
        <v>9</v>
      </c>
      <c r="C12" s="209" t="str">
        <f>IFERROR(INDEX('Ведомость расчета мин. платы'!$B$10:$AB$214,MATCH(Коэффициенты!$B12,'Ведомость расчета мин. платы'!$B$10:$B$214,0),2),"")</f>
        <v>Вишнево-Полянское</v>
      </c>
      <c r="D12" s="113">
        <f>IFERROR(INDEX('Ведомость расчета мин. платы'!$B$10:$AB$214,MATCH(Коэффициенты!$B12,'Ведомость расчета мин. платы'!$B$10:$B$214,0),3),"")</f>
        <v>90</v>
      </c>
      <c r="E12" s="113">
        <f>IFERROR(INDEX('Ведомость расчета мин. платы'!$B$10:$AB$214,MATCH(Коэффициенты!$B12,'Ведомость расчета мин. платы'!$B$10:$B$214,0),4),"")</f>
        <v>1</v>
      </c>
      <c r="F12" s="113">
        <f>IFERROR(INDEX('Ведомость расчета мин. платы'!$B$10:$AB$214,MATCH(Коэффициенты!$B12,'Ведомость расчета мин. платы'!$B$10:$B$214,0),5),"")</f>
        <v>1</v>
      </c>
      <c r="G12" s="210">
        <f>IFERROR(INDEX('Ведомость расчета мин. платы'!$B$10:$AB$214,MATCH(Коэффициенты!$B12,'Ведомость расчета мин. платы'!$B$10:$B$214,0),6),"")</f>
        <v>9.5</v>
      </c>
      <c r="H12" s="209">
        <f>SUMIFS('Ведомость расчета мин. платы'!S:S,'Ведомость расчета мин. платы'!J:J,"Итого",'Ведомость расчета мин. платы'!AC:AC,O12)</f>
        <v>52214.899999999994</v>
      </c>
      <c r="I12" s="211">
        <f>(IFERROR(INDEX(ЛОТЫ!$I$5:$Y$2073,MATCH(B12,ЛОТЫ!$K$5:$K$2073,0),15),""))</f>
        <v>1.63</v>
      </c>
      <c r="J12" s="183">
        <f>(IFERROR(INDEX(ЛОТЫ!$I$5:$Y$2073,MATCH(B12,ЛОТЫ!$K$5:$K$2073,0),16),""))</f>
        <v>85110.286999999982</v>
      </c>
      <c r="L12" s="212">
        <f>SUMIFS('Ведомость расчета мин. платы'!Q:Q,'Ведомость расчета мин. платы'!J:J,"Итого",'Ведомость расчета мин. платы'!AC:AC,O12)</f>
        <v>1603.6999999999998</v>
      </c>
      <c r="M12" s="208"/>
      <c r="N12" s="211" t="str">
        <f>IFERROR(INDEX('Ведомость расчета мин. платы'!$B$10:$AB$214,MATCH(Коэффициенты!B12,'Ведомость расчета мин. платы'!$B$10:$B$214,0),22),"")</f>
        <v>мл</v>
      </c>
      <c r="O12" s="205" t="str">
        <f t="shared" si="0"/>
        <v>Вишнево-Полянское/90/1/1</v>
      </c>
      <c r="P12" s="211">
        <f>(IFERROR(INDEX(ЛОТЫ!$I$5:$Y$2073,MATCH(B12,ЛОТЫ!$K$5:$K$2073,0),17),""))</f>
        <v>53.071202219866557</v>
      </c>
      <c r="Q12" s="213">
        <f t="shared" si="1"/>
        <v>32895.386999999988</v>
      </c>
      <c r="R12" s="123">
        <f>IFERROR(INDEX('Ведомость расчета мин. платы'!$B$10:$AD$214,MATCH(B12,'Ведомость расчета мин. платы'!$B$10:$B$214,0),29),"")</f>
        <v>2.0299999999999998</v>
      </c>
      <c r="S12" s="214">
        <f t="shared" si="2"/>
        <v>1880.335</v>
      </c>
    </row>
    <row r="13" spans="2:19" ht="15" customHeight="1" x14ac:dyDescent="0.2">
      <c r="B13" s="113">
        <v>10</v>
      </c>
      <c r="C13" s="209" t="str">
        <f>IFERROR(INDEX('Ведомость расчета мин. платы'!$B$10:$AB$214,MATCH(Коэффициенты!$B13,'Ведомость расчета мин. платы'!$B$10:$B$214,0),2),"")</f>
        <v>Вишнево-Полянское</v>
      </c>
      <c r="D13" s="113">
        <f>IFERROR(INDEX('Ведомость расчета мин. платы'!$B$10:$AB$214,MATCH(Коэффициенты!$B13,'Ведомость расчета мин. платы'!$B$10:$B$214,0),3),"")</f>
        <v>90</v>
      </c>
      <c r="E13" s="113">
        <f>IFERROR(INDEX('Ведомость расчета мин. платы'!$B$10:$AB$214,MATCH(Коэффициенты!$B13,'Ведомость расчета мин. платы'!$B$10:$B$214,0),4),"")</f>
        <v>18</v>
      </c>
      <c r="F13" s="113">
        <f>IFERROR(INDEX('Ведомость расчета мин. платы'!$B$10:$AB$214,MATCH(Коэффициенты!$B13,'Ведомость расчета мин. платы'!$B$10:$B$214,0),5),"")</f>
        <v>2</v>
      </c>
      <c r="G13" s="210">
        <f>IFERROR(INDEX('Ведомость расчета мин. платы'!$B$10:$AB$214,MATCH(Коэффициенты!$B13,'Ведомость расчета мин. платы'!$B$10:$B$214,0),6),"")</f>
        <v>4.9000000000000004</v>
      </c>
      <c r="H13" s="209">
        <f>SUMIFS('Ведомость расчета мин. платы'!S:S,'Ведомость расчета мин. платы'!J:J,"Итого",'Ведомость расчета мин. платы'!AC:AC,O13)</f>
        <v>36571.199999999997</v>
      </c>
      <c r="I13" s="211">
        <f>(IFERROR(INDEX(ЛОТЫ!$I$5:$Y$2073,MATCH(B13,ЛОТЫ!$K$5:$K$2073,0),15),""))</f>
        <v>1.46</v>
      </c>
      <c r="J13" s="183">
        <f>(IFERROR(INDEX(ЛОТЫ!$I$5:$Y$2073,MATCH(B13,ЛОТЫ!$K$5:$K$2073,0),16),""))</f>
        <v>53393.951999999997</v>
      </c>
      <c r="L13" s="212">
        <f>SUMIFS('Ведомость расчета мин. платы'!Q:Q,'Ведомость расчета мин. платы'!J:J,"Итого",'Ведомость расчета мин. платы'!AC:AC,O13)</f>
        <v>898.67000000000007</v>
      </c>
      <c r="M13" s="208"/>
      <c r="N13" s="211" t="str">
        <f>IFERROR(INDEX('Ведомость расчета мин. платы'!$B$10:$AB$214,MATCH(Коэффициенты!B13,'Ведомость расчета мин. платы'!$B$10:$B$214,0),22),"")</f>
        <v>мл</v>
      </c>
      <c r="O13" s="205" t="str">
        <f t="shared" si="0"/>
        <v>Вишнево-Полянское/90/18/2</v>
      </c>
      <c r="P13" s="211">
        <f>(IFERROR(INDEX(ЛОТЫ!$I$5:$Y$2073,MATCH(B13,ЛОТЫ!$K$5:$K$2073,0),17),""))</f>
        <v>59.414414634960544</v>
      </c>
      <c r="Q13" s="213">
        <f t="shared" si="1"/>
        <v>16822.752</v>
      </c>
      <c r="R13" s="123">
        <f>IFERROR(INDEX('Ведомость расчета мин. платы'!$B$10:$AD$214,MATCH(B13,'Ведомость расчета мин. платы'!$B$10:$B$214,0),29),"")</f>
        <v>1.1100000000000001</v>
      </c>
      <c r="S13" s="214">
        <f t="shared" si="2"/>
        <v>969.85700000000008</v>
      </c>
    </row>
    <row r="14" spans="2:19" ht="15" customHeight="1" x14ac:dyDescent="0.2">
      <c r="B14" s="113">
        <v>11</v>
      </c>
      <c r="C14" s="209" t="str">
        <f>IFERROR(INDEX('Ведомость расчета мин. платы'!$B$10:$AB$214,MATCH(Коэффициенты!$B14,'Ведомость расчета мин. платы'!$B$10:$B$214,0),2),"")</f>
        <v>Восходское</v>
      </c>
      <c r="D14" s="113">
        <f>IFERROR(INDEX('Ведомость расчета мин. платы'!$B$10:$AB$214,MATCH(Коэффициенты!$B14,'Ведомость расчета мин. платы'!$B$10:$B$214,0),3),"")</f>
        <v>9</v>
      </c>
      <c r="E14" s="113">
        <f>IFERROR(INDEX('Ведомость расчета мин. платы'!$B$10:$AB$214,MATCH(Коэффициенты!$B14,'Ведомость расчета мин. платы'!$B$10:$B$214,0),4),"")</f>
        <v>19</v>
      </c>
      <c r="F14" s="113">
        <f>IFERROR(INDEX('Ведомость расчета мин. платы'!$B$10:$AB$214,MATCH(Коэффициенты!$B14,'Ведомость расчета мин. платы'!$B$10:$B$214,0),5),"")</f>
        <v>2</v>
      </c>
      <c r="G14" s="210">
        <f>IFERROR(INDEX('Ведомость расчета мин. платы'!$B$10:$AB$214,MATCH(Коэффициенты!$B14,'Ведомость расчета мин. платы'!$B$10:$B$214,0),6),"")</f>
        <v>4.8</v>
      </c>
      <c r="H14" s="209">
        <f>SUMIFS('Ведомость расчета мин. платы'!S:S,'Ведомость расчета мин. платы'!J:J,"Итого",'Ведомость расчета мин. платы'!AC:AC,O14)</f>
        <v>19255.04</v>
      </c>
      <c r="I14" s="211">
        <f>(IFERROR(INDEX(ЛОТЫ!$I$5:$Y$2073,MATCH(B14,ЛОТЫ!$K$5:$K$2073,0),15),""))</f>
        <v>1.8600000000000003</v>
      </c>
      <c r="J14" s="183">
        <f>(IFERROR(INDEX(ЛОТЫ!$I$5:$Y$2073,MATCH(B14,ЛОТЫ!$K$5:$K$2073,0),16),""))</f>
        <v>35814.374400000008</v>
      </c>
      <c r="L14" s="212">
        <f>SUMIFS('Ведомость расчета мин. платы'!Q:Q,'Ведомость расчета мин. платы'!J:J,"Итого",'Ведомость расчета мин. платы'!AC:AC,O14)</f>
        <v>1020.89</v>
      </c>
      <c r="M14" s="208"/>
      <c r="N14" s="211" t="str">
        <f>IFERROR(INDEX('Ведомость расчета мин. платы'!$B$10:$AB$214,MATCH(Коэффициенты!B14,'Ведомость расчета мин. платы'!$B$10:$B$214,0),22),"")</f>
        <v>мл</v>
      </c>
      <c r="O14" s="205" t="str">
        <f t="shared" si="0"/>
        <v>Восходское/9/19/2</v>
      </c>
      <c r="P14" s="211">
        <f>(IFERROR(INDEX(ЛОТЫ!$I$5:$Y$2073,MATCH(B14,ЛОТЫ!$K$5:$K$2073,0),17),""))</f>
        <v>35.081521417586622</v>
      </c>
      <c r="Q14" s="213">
        <f t="shared" si="1"/>
        <v>16559.334400000007</v>
      </c>
      <c r="R14" s="123">
        <f>IFERROR(INDEX('Ведомость расчета мин. платы'!$B$10:$AD$214,MATCH(B14,'Ведомость расчета мин. платы'!$B$10:$B$214,0),29),"")</f>
        <v>1.1599999999999999</v>
      </c>
      <c r="S14" s="214">
        <f t="shared" si="2"/>
        <v>950.06399999999996</v>
      </c>
    </row>
    <row r="15" spans="2:19" ht="15" customHeight="1" x14ac:dyDescent="0.2">
      <c r="B15" s="113">
        <v>12</v>
      </c>
      <c r="C15" s="209" t="str">
        <f>IFERROR(INDEX('Ведомость расчета мин. платы'!$B$10:$AB$214,MATCH(Коэффициенты!$B15,'Ведомость расчета мин. платы'!$B$10:$B$214,0),2),"")</f>
        <v>Восходское</v>
      </c>
      <c r="D15" s="113">
        <f>IFERROR(INDEX('Ведомость расчета мин. платы'!$B$10:$AB$214,MATCH(Коэффициенты!$B15,'Ведомость расчета мин. платы'!$B$10:$B$214,0),3),"")</f>
        <v>24</v>
      </c>
      <c r="E15" s="113">
        <f>IFERROR(INDEX('Ведомость расчета мин. платы'!$B$10:$AB$214,MATCH(Коэффициенты!$B15,'Ведомость расчета мин. платы'!$B$10:$B$214,0),4),"")</f>
        <v>1</v>
      </c>
      <c r="F15" s="113">
        <f>IFERROR(INDEX('Ведомость расчета мин. платы'!$B$10:$AB$214,MATCH(Коэффициенты!$B15,'Ведомость расчета мин. платы'!$B$10:$B$214,0),5),"")</f>
        <v>1</v>
      </c>
      <c r="G15" s="210">
        <f>IFERROR(INDEX('Ведомость расчета мин. платы'!$B$10:$AB$214,MATCH(Коэффициенты!$B15,'Ведомость расчета мин. платы'!$B$10:$B$214,0),6),"")</f>
        <v>6</v>
      </c>
      <c r="H15" s="209">
        <f>SUMIFS('Ведомость расчета мин. платы'!S:S,'Ведомость расчета мин. платы'!J:J,"Итого",'Ведомость расчета мин. платы'!AC:AC,O15)</f>
        <v>19491.02</v>
      </c>
      <c r="I15" s="211">
        <f>(IFERROR(INDEX(ЛОТЫ!$I$5:$Y$2073,MATCH(B15,ЛОТЫ!$K$5:$K$2073,0),15),""))</f>
        <v>2.0599999999999996</v>
      </c>
      <c r="J15" s="183">
        <f>(IFERROR(INDEX(ЛОТЫ!$I$5:$Y$2073,MATCH(B15,ЛОТЫ!$K$5:$K$2073,0),16),""))</f>
        <v>40151.501199999992</v>
      </c>
      <c r="L15" s="212">
        <f>SUMIFS('Ведомость расчета мин. платы'!Q:Q,'Ведомость расчета мин. платы'!J:J,"Итого",'Ведомость расчета мин. платы'!AC:AC,O15)</f>
        <v>1293.3600000000001</v>
      </c>
      <c r="M15" s="208"/>
      <c r="N15" s="211" t="str">
        <f>IFERROR(INDEX('Ведомость расчета мин. платы'!$B$10:$AB$214,MATCH(Коэффициенты!B15,'Ведомость расчета мин. платы'!$B$10:$B$214,0),22),"")</f>
        <v>мл</v>
      </c>
      <c r="O15" s="205" t="str">
        <f t="shared" si="0"/>
        <v>Восходское/24/1/1</v>
      </c>
      <c r="P15" s="211">
        <f>(IFERROR(INDEX(ЛОТЫ!$I$5:$Y$2073,MATCH(B15,ЛОТЫ!$K$5:$K$2073,0),17),""))</f>
        <v>31.044335065256377</v>
      </c>
      <c r="Q15" s="213">
        <f t="shared" si="1"/>
        <v>20660.481199999991</v>
      </c>
      <c r="R15" s="123">
        <f>IFERROR(INDEX('Ведомость расчета мин. платы'!$B$10:$AD$214,MATCH(B15,'Ведомость расчета мин. платы'!$B$10:$B$214,0),29),"")</f>
        <v>1.4</v>
      </c>
      <c r="S15" s="214">
        <f t="shared" si="2"/>
        <v>1187.58</v>
      </c>
    </row>
    <row r="16" spans="2:19" ht="15" customHeight="1" x14ac:dyDescent="0.2">
      <c r="B16" s="113">
        <v>13</v>
      </c>
      <c r="C16" s="209" t="str">
        <f>IFERROR(INDEX('Ведомость расчета мин. платы'!$B$10:$AB$214,MATCH(Коэффициенты!$B16,'Ведомость расчета мин. платы'!$B$10:$B$214,0),2),"")</f>
        <v>Восходское</v>
      </c>
      <c r="D16" s="113">
        <f>IFERROR(INDEX('Ведомость расчета мин. платы'!$B$10:$AB$214,MATCH(Коэффициенты!$B16,'Ведомость расчета мин. платы'!$B$10:$B$214,0),3),"")</f>
        <v>36</v>
      </c>
      <c r="E16" s="113">
        <f>IFERROR(INDEX('Ведомость расчета мин. платы'!$B$10:$AB$214,MATCH(Коэффициенты!$B16,'Ведомость расчета мин. платы'!$B$10:$B$214,0),4),"")</f>
        <v>10</v>
      </c>
      <c r="F16" s="113">
        <f>IFERROR(INDEX('Ведомость расчета мин. платы'!$B$10:$AB$214,MATCH(Коэффициенты!$B16,'Ведомость расчета мин. платы'!$B$10:$B$214,0),5),"")</f>
        <v>1</v>
      </c>
      <c r="G16" s="210">
        <f>IFERROR(INDEX('Ведомость расчета мин. платы'!$B$10:$AB$214,MATCH(Коэффициенты!$B16,'Ведомость расчета мин. платы'!$B$10:$B$214,0),6),"")</f>
        <v>8.5</v>
      </c>
      <c r="H16" s="209">
        <f>SUMIFS('Ведомость расчета мин. платы'!S:S,'Ведомость расчета мин. платы'!J:J,"Итого",'Ведомость расчета мин. платы'!AC:AC,O16)</f>
        <v>28902.219999999998</v>
      </c>
      <c r="I16" s="211">
        <f>(IFERROR(INDEX(ЛОТЫ!$I$5:$Y$2073,MATCH(B16,ЛОТЫ!$K$5:$K$2073,0),15),""))</f>
        <v>2.0099999999999998</v>
      </c>
      <c r="J16" s="183">
        <f>(IFERROR(INDEX(ЛОТЫ!$I$5:$Y$2073,MATCH(B16,ЛОТЫ!$K$5:$K$2073,0),16),""))</f>
        <v>58093.462199999987</v>
      </c>
      <c r="L16" s="212">
        <f>SUMIFS('Ведомость расчета мин. платы'!Q:Q,'Ведомость расчета мин. платы'!J:J,"Итого",'Ведомость расчета мин. платы'!AC:AC,O16)</f>
        <v>1847.34</v>
      </c>
      <c r="M16" s="208"/>
      <c r="N16" s="211" t="str">
        <f>IFERROR(INDEX('Ведомость расчета мин. платы'!$B$10:$AB$214,MATCH(Коэффициенты!B16,'Ведомость расчета мин. платы'!$B$10:$B$214,0),22),"")</f>
        <v>мл</v>
      </c>
      <c r="O16" s="205" t="str">
        <f t="shared" si="0"/>
        <v>Восходское/36/10/1</v>
      </c>
      <c r="P16" s="211">
        <f>(IFERROR(INDEX(ЛОТЫ!$I$5:$Y$2073,MATCH(B16,ЛОТЫ!$K$5:$K$2073,0),17),""))</f>
        <v>31.447087271428103</v>
      </c>
      <c r="Q16" s="213">
        <f t="shared" si="1"/>
        <v>29191.24219999999</v>
      </c>
      <c r="R16" s="123">
        <f>IFERROR(INDEX('Ведомость расчета мин. платы'!$B$10:$AD$214,MATCH(B16,'Ведомость расчета мин. платы'!$B$10:$B$214,0),29),"")</f>
        <v>1.9</v>
      </c>
      <c r="S16" s="214">
        <f t="shared" si="2"/>
        <v>1682.405</v>
      </c>
    </row>
    <row r="17" spans="2:19" ht="15" customHeight="1" x14ac:dyDescent="0.2">
      <c r="B17" s="113">
        <v>14</v>
      </c>
      <c r="C17" s="209" t="str">
        <f>IFERROR(INDEX('Ведомость расчета мин. платы'!$B$10:$AB$214,MATCH(Коэффициенты!$B17,'Ведомость расчета мин. платы'!$B$10:$B$214,0),2),"")</f>
        <v>Восходское</v>
      </c>
      <c r="D17" s="113">
        <f>IFERROR(INDEX('Ведомость расчета мин. платы'!$B$10:$AB$214,MATCH(Коэффициенты!$B17,'Ведомость расчета мин. платы'!$B$10:$B$214,0),3),"")</f>
        <v>36</v>
      </c>
      <c r="E17" s="113">
        <f>IFERROR(INDEX('Ведомость расчета мин. платы'!$B$10:$AB$214,MATCH(Коэффициенты!$B17,'Ведомость расчета мин. платы'!$B$10:$B$214,0),4),"")</f>
        <v>10</v>
      </c>
      <c r="F17" s="113">
        <f>IFERROR(INDEX('Ведомость расчета мин. платы'!$B$10:$AB$214,MATCH(Коэффициенты!$B17,'Ведомость расчета мин. платы'!$B$10:$B$214,0),5),"")</f>
        <v>2</v>
      </c>
      <c r="G17" s="210">
        <f>IFERROR(INDEX('Ведомость расчета мин. платы'!$B$10:$AB$214,MATCH(Коэффициенты!$B17,'Ведомость расчета мин. платы'!$B$10:$B$214,0),6),"")</f>
        <v>10</v>
      </c>
      <c r="H17" s="209">
        <f>SUMIFS('Ведомость расчета мин. платы'!S:S,'Ведомость расчета мин. платы'!J:J,"Итого",'Ведомость расчета мин. платы'!AC:AC,O17)</f>
        <v>34858.550000000003</v>
      </c>
      <c r="I17" s="211">
        <f>(IFERROR(INDEX(ЛОТЫ!$I$5:$Y$2073,MATCH(B17,ЛОТЫ!$K$5:$K$2073,0),15),""))</f>
        <v>1.9900000000000002</v>
      </c>
      <c r="J17" s="183">
        <f>(IFERROR(INDEX(ЛОТЫ!$I$5:$Y$2073,MATCH(B17,ЛОТЫ!$K$5:$K$2073,0),16),""))</f>
        <v>69368.514500000019</v>
      </c>
      <c r="L17" s="212">
        <f>SUMIFS('Ведомость расчета мин. платы'!Q:Q,'Ведомость расчета мин. платы'!J:J,"Итого",'Ведомость расчета мин. платы'!AC:AC,O17)</f>
        <v>2136.13</v>
      </c>
      <c r="M17" s="208"/>
      <c r="N17" s="211" t="str">
        <f>IFERROR(INDEX('Ведомость расчета мин. платы'!$B$10:$AB$214,MATCH(Коэффициенты!B17,'Ведомость расчета мин. платы'!$B$10:$B$214,0),22),"")</f>
        <v>мл</v>
      </c>
      <c r="O17" s="205" t="str">
        <f t="shared" si="0"/>
        <v>Восходское/36/10/2</v>
      </c>
      <c r="P17" s="211">
        <f>(IFERROR(INDEX(ЛОТЫ!$I$5:$Y$2073,MATCH(B17,ЛОТЫ!$K$5:$K$2073,0),17),""))</f>
        <v>32.473919892515916</v>
      </c>
      <c r="Q17" s="213">
        <f t="shared" si="1"/>
        <v>34509.964500000016</v>
      </c>
      <c r="R17" s="123">
        <f>IFERROR(INDEX('Ведомость расчета мин. платы'!$B$10:$AD$214,MATCH(B17,'Ведомость расчета мин. платы'!$B$10:$B$214,0),29),"")</f>
        <v>2.2000000000000002</v>
      </c>
      <c r="S17" s="214">
        <f t="shared" si="2"/>
        <v>1979.3000000000002</v>
      </c>
    </row>
    <row r="18" spans="2:19" ht="15" customHeight="1" x14ac:dyDescent="0.2">
      <c r="B18" s="113">
        <v>15</v>
      </c>
      <c r="C18" s="209" t="str">
        <f>IFERROR(INDEX('Ведомость расчета мин. платы'!$B$10:$AB$214,MATCH(Коэффициенты!$B18,'Ведомость расчета мин. платы'!$B$10:$B$214,0),2),"")</f>
        <v>Восходское</v>
      </c>
      <c r="D18" s="113">
        <f>IFERROR(INDEX('Ведомость расчета мин. платы'!$B$10:$AB$214,MATCH(Коэффициенты!$B18,'Ведомость расчета мин. платы'!$B$10:$B$214,0),3),"")</f>
        <v>40</v>
      </c>
      <c r="E18" s="113">
        <f>IFERROR(INDEX('Ведомость расчета мин. платы'!$B$10:$AB$214,MATCH(Коэффициенты!$B18,'Ведомость расчета мин. платы'!$B$10:$B$214,0),4),"")</f>
        <v>7</v>
      </c>
      <c r="F18" s="113">
        <f>IFERROR(INDEX('Ведомость расчета мин. платы'!$B$10:$AB$214,MATCH(Коэффициенты!$B18,'Ведомость расчета мин. платы'!$B$10:$B$214,0),5),"")</f>
        <v>1</v>
      </c>
      <c r="G18" s="210">
        <f>IFERROR(INDEX('Ведомость расчета мин. платы'!$B$10:$AB$214,MATCH(Коэффициенты!$B18,'Ведомость расчета мин. платы'!$B$10:$B$214,0),6),"")</f>
        <v>3.8</v>
      </c>
      <c r="H18" s="209">
        <f>SUMIFS('Ведомость расчета мин. платы'!S:S,'Ведомость расчета мин. платы'!J:J,"Итого",'Ведомость расчета мин. платы'!AC:AC,O18)</f>
        <v>15382.509999999998</v>
      </c>
      <c r="I18" s="211">
        <f>(IFERROR(INDEX(ЛОТЫ!$I$5:$Y$2073,MATCH(B18,ЛОТЫ!$K$5:$K$2073,0),15),""))</f>
        <v>1.8600000000000003</v>
      </c>
      <c r="J18" s="183">
        <f>(IFERROR(INDEX(ЛОТЫ!$I$5:$Y$2073,MATCH(B18,ЛОТЫ!$K$5:$K$2073,0),16),""))</f>
        <v>28611.4686</v>
      </c>
      <c r="L18" s="212">
        <f>SUMIFS('Ведомость расчета мин. платы'!Q:Q,'Ведомость расчета мин. платы'!J:J,"Итого",'Ведомость расчета мин. платы'!AC:AC,O18)</f>
        <v>760.73</v>
      </c>
      <c r="M18" s="208"/>
      <c r="N18" s="211" t="str">
        <f>IFERROR(INDEX('Ведомость расчета мин. платы'!$B$10:$AB$214,MATCH(Коэффициенты!B18,'Ведомость расчета мин. платы'!$B$10:$B$214,0),22),"")</f>
        <v>мл</v>
      </c>
      <c r="O18" s="205" t="str">
        <f t="shared" si="0"/>
        <v>Восходское/40/7/1</v>
      </c>
      <c r="P18" s="211">
        <f>(IFERROR(INDEX(ЛОТЫ!$I$5:$Y$2073,MATCH(B18,ЛОТЫ!$K$5:$K$2073,0),17),""))</f>
        <v>37.610543293941348</v>
      </c>
      <c r="Q18" s="213">
        <f t="shared" si="1"/>
        <v>13228.958600000002</v>
      </c>
      <c r="R18" s="123">
        <f>IFERROR(INDEX('Ведомость расчета мин. платы'!$B$10:$AD$214,MATCH(B18,'Ведомость расчета мин. платы'!$B$10:$B$214,0),29),"")</f>
        <v>0.96</v>
      </c>
      <c r="S18" s="214">
        <f t="shared" si="2"/>
        <v>752.13400000000001</v>
      </c>
    </row>
    <row r="19" spans="2:19" ht="15" customHeight="1" x14ac:dyDescent="0.2">
      <c r="B19" s="113">
        <v>16</v>
      </c>
      <c r="C19" s="209" t="str">
        <f>IFERROR(INDEX('Ведомость расчета мин. платы'!$B$10:$AB$214,MATCH(Коэффициенты!$B19,'Ведомость расчета мин. платы'!$B$10:$B$214,0),2),"")</f>
        <v>Восходское</v>
      </c>
      <c r="D19" s="113">
        <f>IFERROR(INDEX('Ведомость расчета мин. платы'!$B$10:$AB$214,MATCH(Коэффициенты!$B19,'Ведомость расчета мин. платы'!$B$10:$B$214,0),3),"")</f>
        <v>41</v>
      </c>
      <c r="E19" s="113">
        <f>IFERROR(INDEX('Ведомость расчета мин. платы'!$B$10:$AB$214,MATCH(Коэффициенты!$B19,'Ведомость расчета мин. платы'!$B$10:$B$214,0),4),"")</f>
        <v>7</v>
      </c>
      <c r="F19" s="113">
        <f>IFERROR(INDEX('Ведомость расчета мин. платы'!$B$10:$AB$214,MATCH(Коэффициенты!$B19,'Ведомость расчета мин. платы'!$B$10:$B$214,0),5),"")</f>
        <v>1</v>
      </c>
      <c r="G19" s="210">
        <f>IFERROR(INDEX('Ведомость расчета мин. платы'!$B$10:$AB$214,MATCH(Коэффициенты!$B19,'Ведомость расчета мин. платы'!$B$10:$B$214,0),6),"")</f>
        <v>7.2</v>
      </c>
      <c r="H19" s="209">
        <f>SUMIFS('Ведомость расчета мин. платы'!S:S,'Ведомость расчета мин. платы'!J:J,"Итого",'Ведомость расчета мин. платы'!AC:AC,O19)</f>
        <v>20466.559999999998</v>
      </c>
      <c r="I19" s="211">
        <f>(IFERROR(INDEX(ЛОТЫ!$I$5:$Y$2073,MATCH(B19,ЛОТЫ!$K$5:$K$2073,0),15),""))</f>
        <v>2.2000000000000002</v>
      </c>
      <c r="J19" s="183">
        <f>(IFERROR(INDEX(ЛОТЫ!$I$5:$Y$2073,MATCH(B19,ЛОТЫ!$K$5:$K$2073,0),16),""))</f>
        <v>45026.432000000001</v>
      </c>
      <c r="L19" s="212">
        <f>SUMIFS('Ведомость расчета мин. платы'!Q:Q,'Ведомость расчета мин. платы'!J:J,"Итого",'Ведомость расчета мин. платы'!AC:AC,O19)</f>
        <v>1272.68</v>
      </c>
      <c r="M19" s="208"/>
      <c r="N19" s="211" t="str">
        <f>IFERROR(INDEX('Ведомость расчета мин. платы'!$B$10:$AB$214,MATCH(Коэффициенты!B19,'Ведомость расчета мин. платы'!$B$10:$B$214,0),22),"")</f>
        <v>мл</v>
      </c>
      <c r="O19" s="205" t="str">
        <f t="shared" si="0"/>
        <v>Восходское/41/7/1</v>
      </c>
      <c r="P19" s="211">
        <f>(IFERROR(INDEX(ЛОТЫ!$I$5:$Y$2073,MATCH(B19,ЛОТЫ!$K$5:$K$2073,0),17),""))</f>
        <v>35.379224942640725</v>
      </c>
      <c r="Q19" s="213">
        <f t="shared" si="1"/>
        <v>24559.872000000003</v>
      </c>
      <c r="R19" s="123">
        <f>IFERROR(INDEX('Ведомость расчета мин. платы'!$B$10:$AD$214,MATCH(B19,'Ведомость расчета мин. платы'!$B$10:$B$214,0),29),"")</f>
        <v>1.64</v>
      </c>
      <c r="S19" s="214">
        <f t="shared" si="2"/>
        <v>1425.096</v>
      </c>
    </row>
    <row r="20" spans="2:19" ht="15" customHeight="1" x14ac:dyDescent="0.2">
      <c r="B20" s="113">
        <v>17</v>
      </c>
      <c r="C20" s="209" t="str">
        <f>IFERROR(INDEX('Ведомость расчета мин. платы'!$B$10:$AB$214,MATCH(Коэффициенты!$B20,'Ведомость расчета мин. платы'!$B$10:$B$214,0),2),"")</f>
        <v>Восходское</v>
      </c>
      <c r="D20" s="113">
        <f>IFERROR(INDEX('Ведомость расчета мин. платы'!$B$10:$AB$214,MATCH(Коэффициенты!$B20,'Ведомость расчета мин. платы'!$B$10:$B$214,0),3),"")</f>
        <v>42</v>
      </c>
      <c r="E20" s="113">
        <f>IFERROR(INDEX('Ведомость расчета мин. платы'!$B$10:$AB$214,MATCH(Коэффициенты!$B20,'Ведомость расчета мин. платы'!$B$10:$B$214,0),4),"")</f>
        <v>10</v>
      </c>
      <c r="F20" s="113">
        <f>IFERROR(INDEX('Ведомость расчета мин. платы'!$B$10:$AB$214,MATCH(Коэффициенты!$B20,'Ведомость расчета мин. платы'!$B$10:$B$214,0),5),"")</f>
        <v>1</v>
      </c>
      <c r="G20" s="210">
        <f>IFERROR(INDEX('Ведомость расчета мин. платы'!$B$10:$AB$214,MATCH(Коэффициенты!$B20,'Ведомость расчета мин. платы'!$B$10:$B$214,0),6),"")</f>
        <v>4.2</v>
      </c>
      <c r="H20" s="209">
        <f>SUMIFS('Ведомость расчета мин. платы'!S:S,'Ведомость расчета мин. платы'!J:J,"Итого",'Ведомость расчета мин. платы'!AC:AC,O20)</f>
        <v>13420.579999999998</v>
      </c>
      <c r="I20" s="211">
        <f>(IFERROR(INDEX(ЛОТЫ!$I$5:$Y$2073,MATCH(B20,ЛОТЫ!$K$5:$K$2073,0),15),""))</f>
        <v>2.0700000000000003</v>
      </c>
      <c r="J20" s="183">
        <f>(IFERROR(INDEX(ЛОТЫ!$I$5:$Y$2073,MATCH(B20,ЛОТЫ!$K$5:$K$2073,0),16),""))</f>
        <v>27780.600600000002</v>
      </c>
      <c r="L20" s="212">
        <f>SUMIFS('Ведомость расчета мин. платы'!Q:Q,'Ведомость расчета мин. платы'!J:J,"Итого",'Ведомость расчета мин. платы'!AC:AC,O20)</f>
        <v>780.28</v>
      </c>
      <c r="M20" s="208"/>
      <c r="N20" s="211" t="str">
        <f>IFERROR(INDEX('Ведомость расчета мин. платы'!$B$10:$AB$214,MATCH(Коэффициенты!B20,'Ведомость расчета мин. платы'!$B$10:$B$214,0),22),"")</f>
        <v>мл</v>
      </c>
      <c r="O20" s="205" t="str">
        <f t="shared" si="0"/>
        <v>Восходское/42/10/1</v>
      </c>
      <c r="P20" s="211">
        <f>(IFERROR(INDEX(ЛОТЫ!$I$5:$Y$2073,MATCH(B20,ЛОТЫ!$K$5:$K$2073,0),17),""))</f>
        <v>35.603373917055421</v>
      </c>
      <c r="Q20" s="213">
        <f t="shared" si="1"/>
        <v>14360.020600000003</v>
      </c>
      <c r="R20" s="123">
        <f>IFERROR(INDEX('Ведомость расчета мин. платы'!$B$10:$AD$214,MATCH(B20,'Ведомость расчета мин. платы'!$B$10:$B$214,0),29),"")</f>
        <v>1.04</v>
      </c>
      <c r="S20" s="214">
        <f t="shared" si="2"/>
        <v>831.30600000000004</v>
      </c>
    </row>
    <row r="21" spans="2:19" ht="15" customHeight="1" x14ac:dyDescent="0.2">
      <c r="B21" s="113">
        <v>18</v>
      </c>
      <c r="C21" s="209" t="str">
        <f>IFERROR(INDEX('Ведомость расчета мин. платы'!$B$10:$AB$214,MATCH(Коэффициенты!$B21,'Ведомость расчета мин. платы'!$B$10:$B$214,0),2),"")</f>
        <v>Восходское</v>
      </c>
      <c r="D21" s="113">
        <f>IFERROR(INDEX('Ведомость расчета мин. платы'!$B$10:$AB$214,MATCH(Коэффициенты!$B21,'Ведомость расчета мин. платы'!$B$10:$B$214,0),3),"")</f>
        <v>42</v>
      </c>
      <c r="E21" s="113">
        <f>IFERROR(INDEX('Ведомость расчета мин. платы'!$B$10:$AB$214,MATCH(Коэффициенты!$B21,'Ведомость расчета мин. платы'!$B$10:$B$214,0),4),"")</f>
        <v>12</v>
      </c>
      <c r="F21" s="113">
        <f>IFERROR(INDEX('Ведомость расчета мин. платы'!$B$10:$AB$214,MATCH(Коэффициенты!$B21,'Ведомость расчета мин. платы'!$B$10:$B$214,0),5),"")</f>
        <v>2</v>
      </c>
      <c r="G21" s="210">
        <f>IFERROR(INDEX('Ведомость расчета мин. платы'!$B$10:$AB$214,MATCH(Коэффициенты!$B21,'Ведомость расчета мин. платы'!$B$10:$B$214,0),6),"")</f>
        <v>4</v>
      </c>
      <c r="H21" s="209">
        <f>SUMIFS('Ведомость расчета мин. платы'!S:S,'Ведомость расчета мин. платы'!J:J,"Итого",'Ведомость расчета мин. платы'!AC:AC,O21)</f>
        <v>14497.77</v>
      </c>
      <c r="I21" s="211">
        <f>(IFERROR(INDEX(ЛОТЫ!$I$5:$Y$2073,MATCH(B21,ЛОТЫ!$K$5:$K$2073,0),15),""))</f>
        <v>1.9500000000000002</v>
      </c>
      <c r="J21" s="183">
        <f>(IFERROR(INDEX(ЛОТЫ!$I$5:$Y$2073,MATCH(B21,ЛОТЫ!$K$5:$K$2073,0),16),""))</f>
        <v>28270.651500000004</v>
      </c>
      <c r="L21" s="212">
        <f>SUMIFS('Ведомость расчета мин. платы'!Q:Q,'Ведомость расчета мин. платы'!J:J,"Итого",'Ведомость расчета мин. платы'!AC:AC,O21)</f>
        <v>838.09</v>
      </c>
      <c r="M21" s="208"/>
      <c r="N21" s="211" t="str">
        <f>IFERROR(INDEX('Ведомость расчета мин. платы'!$B$10:$AB$214,MATCH(Коэффициенты!B21,'Ведомость расчета мин. платы'!$B$10:$B$214,0),22),"")</f>
        <v>мл</v>
      </c>
      <c r="O21" s="205" t="str">
        <f t="shared" si="0"/>
        <v>Восходское/42/12/2</v>
      </c>
      <c r="P21" s="211">
        <f>(IFERROR(INDEX(ЛОТЫ!$I$5:$Y$2073,MATCH(B21,ЛОТЫ!$K$5:$K$2073,0),17),""))</f>
        <v>33.732238184443204</v>
      </c>
      <c r="Q21" s="213">
        <f t="shared" si="1"/>
        <v>13772.881500000003</v>
      </c>
      <c r="R21" s="123">
        <f>IFERROR(INDEX('Ведомость расчета мин. платы'!$B$10:$AD$214,MATCH(B21,'Ведомость расчета мин. платы'!$B$10:$B$214,0),29),"")</f>
        <v>1</v>
      </c>
      <c r="S21" s="214">
        <f t="shared" si="2"/>
        <v>791.72</v>
      </c>
    </row>
    <row r="22" spans="2:19" ht="15" customHeight="1" x14ac:dyDescent="0.2">
      <c r="B22" s="113">
        <v>19</v>
      </c>
      <c r="C22" s="209" t="str">
        <f>IFERROR(INDEX('Ведомость расчета мин. платы'!$B$10:$AB$214,MATCH(Коэффициенты!$B22,'Ведомость расчета мин. платы'!$B$10:$B$214,0),2),"")</f>
        <v>Восходское</v>
      </c>
      <c r="D22" s="113">
        <f>IFERROR(INDEX('Ведомость расчета мин. платы'!$B$10:$AB$214,MATCH(Коэффициенты!$B22,'Ведомость расчета мин. платы'!$B$10:$B$214,0),3),"")</f>
        <v>45</v>
      </c>
      <c r="E22" s="113">
        <f>IFERROR(INDEX('Ведомость расчета мин. платы'!$B$10:$AB$214,MATCH(Коэффициенты!$B22,'Ведомость расчета мин. платы'!$B$10:$B$214,0),4),"")</f>
        <v>8</v>
      </c>
      <c r="F22" s="113">
        <f>IFERROR(INDEX('Ведомость расчета мин. платы'!$B$10:$AB$214,MATCH(Коэффициенты!$B22,'Ведомость расчета мин. платы'!$B$10:$B$214,0),5),"")</f>
        <v>1</v>
      </c>
      <c r="G22" s="210">
        <f>IFERROR(INDEX('Ведомость расчета мин. платы'!$B$10:$AB$214,MATCH(Коэффициенты!$B22,'Ведомость расчета мин. платы'!$B$10:$B$214,0),6),"")</f>
        <v>7</v>
      </c>
      <c r="H22" s="209">
        <f>SUMIFS('Ведомость расчета мин. платы'!S:S,'Ведомость расчета мин. платы'!J:J,"Итого",'Ведомость расчета мин. платы'!AC:AC,O22)</f>
        <v>26076.519999999997</v>
      </c>
      <c r="I22" s="211">
        <f>(IFERROR(INDEX(ЛОТЫ!$I$5:$Y$2073,MATCH(B22,ЛОТЫ!$K$5:$K$2073,0),15),""))</f>
        <v>1.92</v>
      </c>
      <c r="J22" s="183">
        <f>(IFERROR(INDEX(ЛОТЫ!$I$5:$Y$2073,MATCH(B22,ЛОТЫ!$K$5:$K$2073,0),16),""))</f>
        <v>50066.918399999995</v>
      </c>
      <c r="L22" s="212">
        <f>SUMIFS('Ведомость расчета мин. платы'!Q:Q,'Ведомость расчета мин. платы'!J:J,"Итого",'Ведомость расчета мин. платы'!AC:AC,O22)</f>
        <v>1484.82</v>
      </c>
      <c r="M22" s="208"/>
      <c r="N22" s="211" t="str">
        <f>IFERROR(INDEX('Ведомость расчета мин. платы'!$B$10:$AB$214,MATCH(Коэффициенты!B22,'Ведомость расчета мин. платы'!$B$10:$B$214,0),22),"")</f>
        <v>мл</v>
      </c>
      <c r="O22" s="205" t="str">
        <f t="shared" si="0"/>
        <v>Восходское/45/8/1</v>
      </c>
      <c r="P22" s="211">
        <f>(IFERROR(INDEX(ЛОТЫ!$I$5:$Y$2073,MATCH(B22,ЛОТЫ!$K$5:$K$2073,0),17),""))</f>
        <v>33.71918373944316</v>
      </c>
      <c r="Q22" s="213">
        <f t="shared" si="1"/>
        <v>23990.398399999998</v>
      </c>
      <c r="R22" s="123">
        <f>IFERROR(INDEX('Ведомость расчета мин. платы'!$B$10:$AD$214,MATCH(B22,'Ведомость расчета мин. платы'!$B$10:$B$214,0),29),"")</f>
        <v>1.6</v>
      </c>
      <c r="S22" s="214">
        <f t="shared" si="2"/>
        <v>1385.51</v>
      </c>
    </row>
    <row r="23" spans="2:19" ht="15" customHeight="1" x14ac:dyDescent="0.2">
      <c r="B23" s="113">
        <v>20</v>
      </c>
      <c r="C23" s="209" t="str">
        <f>IFERROR(INDEX('Ведомость расчета мин. платы'!$B$10:$AB$214,MATCH(Коэффициенты!$B23,'Ведомость расчета мин. платы'!$B$10:$B$214,0),2),"")</f>
        <v>Мамыковское</v>
      </c>
      <c r="D23" s="113">
        <f>IFERROR(INDEX('Ведомость расчета мин. платы'!$B$10:$AB$214,MATCH(Коэффициенты!$B23,'Ведомость расчета мин. платы'!$B$10:$B$214,0),3),"")</f>
        <v>8</v>
      </c>
      <c r="E23" s="113">
        <f>IFERROR(INDEX('Ведомость расчета мин. платы'!$B$10:$AB$214,MATCH(Коэффициенты!$B23,'Ведомость расчета мин. платы'!$B$10:$B$214,0),4),"")</f>
        <v>5</v>
      </c>
      <c r="F23" s="113">
        <f>IFERROR(INDEX('Ведомость расчета мин. платы'!$B$10:$AB$214,MATCH(Коэффициенты!$B23,'Ведомость расчета мин. платы'!$B$10:$B$214,0),5),"")</f>
        <v>1</v>
      </c>
      <c r="G23" s="210">
        <f>IFERROR(INDEX('Ведомость расчета мин. платы'!$B$10:$AB$214,MATCH(Коэффициенты!$B23,'Ведомость расчета мин. платы'!$B$10:$B$214,0),6),"")</f>
        <v>5.6</v>
      </c>
      <c r="H23" s="209">
        <f>SUMIFS('Ведомость расчета мин. платы'!S:S,'Ведомость расчета мин. платы'!J:J,"Итого",'Ведомость расчета мин. платы'!AC:AC,O23)</f>
        <v>52898.83</v>
      </c>
      <c r="I23" s="211">
        <f>(IFERROR(INDEX(ЛОТЫ!$I$5:$Y$2073,MATCH(B23,ЛОТЫ!$K$5:$K$2073,0),15),""))</f>
        <v>1.3600000000000003</v>
      </c>
      <c r="J23" s="183">
        <f>(IFERROR(INDEX(ЛОТЫ!$I$5:$Y$2073,MATCH(B23,ЛОТЫ!$K$5:$K$2073,0),16),""))</f>
        <v>71942.408800000019</v>
      </c>
      <c r="L23" s="212">
        <f>SUMIFS('Ведомость расчета мин. платы'!Q:Q,'Ведомость расчета мин. платы'!J:J,"Итого",'Ведомость расчета мин. платы'!AC:AC,O23)</f>
        <v>745.77</v>
      </c>
      <c r="M23" s="208"/>
      <c r="N23" s="211" t="str">
        <f>IFERROR(INDEX('Ведомость расчета мин. платы'!$B$10:$AB$214,MATCH(Коэффициенты!B23,'Ведомость расчета мин. платы'!$B$10:$B$214,0),22),"")</f>
        <v>мл</v>
      </c>
      <c r="O23" s="205" t="str">
        <f t="shared" si="0"/>
        <v>Мамыковское/8/5/1</v>
      </c>
      <c r="P23" s="211">
        <f>(IFERROR(INDEX(ЛОТЫ!$I$5:$Y$2073,MATCH(B23,ЛОТЫ!$K$5:$K$2073,0),17),""))</f>
        <v>96.467287233329344</v>
      </c>
      <c r="Q23" s="213">
        <f t="shared" si="1"/>
        <v>19043.578800000018</v>
      </c>
      <c r="R23" s="123">
        <f>IFERROR(INDEX('Ведомость расчета мин. платы'!$B$10:$AD$214,MATCH(B23,'Ведомость расчета мин. платы'!$B$10:$B$214,0),29),"")</f>
        <v>1.32</v>
      </c>
      <c r="S23" s="214">
        <f t="shared" si="2"/>
        <v>1108.4079999999999</v>
      </c>
    </row>
    <row r="24" spans="2:19" ht="15" customHeight="1" x14ac:dyDescent="0.2">
      <c r="B24" s="113">
        <v>21</v>
      </c>
      <c r="C24" s="209" t="str">
        <f>IFERROR(INDEX('Ведомость расчета мин. платы'!$B$10:$AB$214,MATCH(Коэффициенты!$B24,'Ведомость расчета мин. платы'!$B$10:$B$214,0),2),"")</f>
        <v>Мамыковское</v>
      </c>
      <c r="D24" s="113">
        <f>IFERROR(INDEX('Ведомость расчета мин. платы'!$B$10:$AB$214,MATCH(Коэффициенты!$B24,'Ведомость расчета мин. платы'!$B$10:$B$214,0),3),"")</f>
        <v>25</v>
      </c>
      <c r="E24" s="113">
        <f>IFERROR(INDEX('Ведомость расчета мин. платы'!$B$10:$AB$214,MATCH(Коэффициенты!$B24,'Ведомость расчета мин. платы'!$B$10:$B$214,0),4),"")</f>
        <v>2</v>
      </c>
      <c r="F24" s="113">
        <f>IFERROR(INDEX('Ведомость расчета мин. платы'!$B$10:$AB$214,MATCH(Коэффициенты!$B24,'Ведомость расчета мин. платы'!$B$10:$B$214,0),5),"")</f>
        <v>1</v>
      </c>
      <c r="G24" s="210">
        <f>IFERROR(INDEX('Ведомость расчета мин. платы'!$B$10:$AB$214,MATCH(Коэффициенты!$B24,'Ведомость расчета мин. платы'!$B$10:$B$214,0),6),"")</f>
        <v>3.5</v>
      </c>
      <c r="H24" s="209">
        <f>SUMIFS('Ведомость расчета мин. платы'!S:S,'Ведомость расчета мин. платы'!J:J,"Итого",'Ведомость расчета мин. платы'!AC:AC,O24)</f>
        <v>7009.06</v>
      </c>
      <c r="I24" s="211">
        <f>(IFERROR(INDEX(ЛОТЫ!$I$5:$Y$2073,MATCH(B24,ЛОТЫ!$K$5:$K$2073,0),15),""))</f>
        <v>2.7300000000000004</v>
      </c>
      <c r="J24" s="183">
        <f>(IFERROR(INDEX(ЛОТЫ!$I$5:$Y$2073,MATCH(B24,ЛОТЫ!$K$5:$K$2073,0),16),""))</f>
        <v>19134.733800000005</v>
      </c>
      <c r="L24" s="212">
        <f>SUMIFS('Ведомость расчета мин. платы'!Q:Q,'Ведомость расчета мин. платы'!J:J,"Итого",'Ведомость расчета мин. платы'!AC:AC,O24)</f>
        <v>611.59999999999991</v>
      </c>
      <c r="M24" s="208"/>
      <c r="N24" s="211" t="str">
        <f>IFERROR(INDEX('Ведомость расчета мин. платы'!$B$10:$AB$214,MATCH(Коэффициенты!B24,'Ведомость расчета мин. платы'!$B$10:$B$214,0),22),"")</f>
        <v>мл</v>
      </c>
      <c r="O24" s="205" t="str">
        <f t="shared" si="0"/>
        <v>Мамыковское/25/2/1</v>
      </c>
      <c r="P24" s="211">
        <f>(IFERROR(INDEX(ЛОТЫ!$I$5:$Y$2073,MATCH(B24,ЛОТЫ!$K$5:$K$2073,0),17),""))</f>
        <v>31.286353499018979</v>
      </c>
      <c r="Q24" s="213">
        <f t="shared" si="1"/>
        <v>12125.673800000004</v>
      </c>
      <c r="R24" s="123">
        <f>IFERROR(INDEX('Ведомость расчета мин. платы'!$B$10:$AD$214,MATCH(B24,'Ведомость расчета мин. платы'!$B$10:$B$214,0),29),"")</f>
        <v>0.9</v>
      </c>
      <c r="S24" s="214">
        <f t="shared" si="2"/>
        <v>692.755</v>
      </c>
    </row>
    <row r="25" spans="2:19" ht="15" customHeight="1" x14ac:dyDescent="0.2">
      <c r="B25" s="113">
        <v>22</v>
      </c>
      <c r="C25" s="209" t="str">
        <f>IFERROR(INDEX('Ведомость расчета мин. платы'!$B$10:$AB$214,MATCH(Коэффициенты!$B25,'Ведомость расчета мин. платы'!$B$10:$B$214,0),2),"")</f>
        <v>Мамыковское</v>
      </c>
      <c r="D25" s="113">
        <f>IFERROR(INDEX('Ведомость расчета мин. платы'!$B$10:$AB$214,MATCH(Коэффициенты!$B25,'Ведомость расчета мин. платы'!$B$10:$B$214,0),3),"")</f>
        <v>52</v>
      </c>
      <c r="E25" s="113">
        <f>IFERROR(INDEX('Ведомость расчета мин. платы'!$B$10:$AB$214,MATCH(Коэффициенты!$B25,'Ведомость расчета мин. платы'!$B$10:$B$214,0),4),"")</f>
        <v>4</v>
      </c>
      <c r="F25" s="113">
        <f>IFERROR(INDEX('Ведомость расчета мин. платы'!$B$10:$AB$214,MATCH(Коэффициенты!$B25,'Ведомость расчета мин. платы'!$B$10:$B$214,0),5),"")</f>
        <v>1</v>
      </c>
      <c r="G25" s="210">
        <f>IFERROR(INDEX('Ведомость расчета мин. платы'!$B$10:$AB$214,MATCH(Коэффициенты!$B25,'Ведомость расчета мин. платы'!$B$10:$B$214,0),6),"")</f>
        <v>1.8</v>
      </c>
      <c r="H25" s="209">
        <f>SUMIFS('Ведомость расчета мин. платы'!S:S,'Ведомость расчета мин. платы'!J:J,"Итого",'Ведомость расчета мин. платы'!AC:AC,O25)</f>
        <v>3409.87</v>
      </c>
      <c r="I25" s="211">
        <f>(IFERROR(INDEX(ЛОТЫ!$I$5:$Y$2073,MATCH(B25,ЛОТЫ!$K$5:$K$2073,0),15),""))</f>
        <v>2.83</v>
      </c>
      <c r="J25" s="183">
        <f>(IFERROR(INDEX(ЛОТЫ!$I$5:$Y$2073,MATCH(B25,ЛОТЫ!$K$5:$K$2073,0),16),""))</f>
        <v>9649.9321</v>
      </c>
      <c r="L25" s="212">
        <f>SUMIFS('Ведомость расчета мин. платы'!Q:Q,'Ведомость расчета мин. платы'!J:J,"Итого",'Ведомость расчета мин. платы'!AC:AC,O25)</f>
        <v>246.6</v>
      </c>
      <c r="M25" s="208"/>
      <c r="N25" s="211" t="str">
        <f>IFERROR(INDEX('Ведомость расчета мин. платы'!$B$10:$AB$214,MATCH(Коэффициенты!B25,'Ведомость расчета мин. платы'!$B$10:$B$214,0),22),"")</f>
        <v>мл</v>
      </c>
      <c r="O25" s="205" t="str">
        <f t="shared" si="0"/>
        <v>Мамыковское/52/4/1</v>
      </c>
      <c r="P25" s="211">
        <f>(IFERROR(INDEX(ЛОТЫ!$I$5:$Y$2073,MATCH(B25,ЛОТЫ!$K$5:$K$2073,0),17),""))</f>
        <v>39.131922546634229</v>
      </c>
      <c r="Q25" s="213">
        <f t="shared" si="1"/>
        <v>6240.0621000000001</v>
      </c>
      <c r="R25" s="123">
        <f>IFERROR(INDEX('Ведомость расчета мин. платы'!$B$10:$AD$214,MATCH(B25,'Ведомость расчета мин. платы'!$B$10:$B$214,0),29),"")</f>
        <v>0.56999999999999995</v>
      </c>
      <c r="S25" s="214">
        <f t="shared" si="2"/>
        <v>356.274</v>
      </c>
    </row>
    <row r="26" spans="2:19" ht="15" customHeight="1" x14ac:dyDescent="0.2">
      <c r="B26" s="113">
        <v>23</v>
      </c>
      <c r="C26" s="209" t="str">
        <f>IFERROR(INDEX('Ведомость расчета мин. платы'!$B$10:$AB$214,MATCH(Коэффициенты!$B26,'Ведомость расчета мин. платы'!$B$10:$B$214,0),2),"")</f>
        <v>Мамыковское</v>
      </c>
      <c r="D26" s="113">
        <f>IFERROR(INDEX('Ведомость расчета мин. платы'!$B$10:$AB$214,MATCH(Коэффициенты!$B26,'Ведомость расчета мин. платы'!$B$10:$B$214,0),3),"")</f>
        <v>52</v>
      </c>
      <c r="E26" s="113">
        <f>IFERROR(INDEX('Ведомость расчета мин. платы'!$B$10:$AB$214,MATCH(Коэффициенты!$B26,'Ведомость расчета мин. платы'!$B$10:$B$214,0),4),"")</f>
        <v>22</v>
      </c>
      <c r="F26" s="113">
        <f>IFERROR(INDEX('Ведомость расчета мин. платы'!$B$10:$AB$214,MATCH(Коэффициенты!$B26,'Ведомость расчета мин. платы'!$B$10:$B$214,0),5),"")</f>
        <v>2</v>
      </c>
      <c r="G26" s="210">
        <f>IFERROR(INDEX('Ведомость расчета мин. платы'!$B$10:$AB$214,MATCH(Коэффициенты!$B26,'Ведомость расчета мин. платы'!$B$10:$B$214,0),6),"")</f>
        <v>7</v>
      </c>
      <c r="H26" s="209">
        <f>SUMIFS('Ведомость расчета мин. платы'!S:S,'Ведомость расчета мин. платы'!J:J,"Итого",'Ведомость расчета мин. платы'!AC:AC,O26)</f>
        <v>16489.580000000002</v>
      </c>
      <c r="I26" s="211">
        <f>(IFERROR(INDEX(ЛОТЫ!$I$5:$Y$2073,MATCH(B26,ЛОТЫ!$K$5:$K$2073,0),15),""))</f>
        <v>2.4500000000000002</v>
      </c>
      <c r="J26" s="183">
        <f>(IFERROR(INDEX(ЛОТЫ!$I$5:$Y$2073,MATCH(B26,ЛОТЫ!$K$5:$K$2073,0),16),""))</f>
        <v>40399.471000000005</v>
      </c>
      <c r="L26" s="212">
        <f>SUMIFS('Ведомость расчета мин. платы'!Q:Q,'Ведомость расчета мин. платы'!J:J,"Итого",'Ведомость расчета мин. платы'!AC:AC,O26)</f>
        <v>998.18000000000006</v>
      </c>
      <c r="M26" s="208"/>
      <c r="N26" s="211" t="str">
        <f>IFERROR(INDEX('Ведомость расчета мин. платы'!$B$10:$AB$214,MATCH(Коэффициенты!B26,'Ведомость расчета мин. платы'!$B$10:$B$214,0),22),"")</f>
        <v>мл</v>
      </c>
      <c r="O26" s="205" t="str">
        <f t="shared" si="0"/>
        <v>Мамыковское/52/22/2</v>
      </c>
      <c r="P26" s="211">
        <f>(IFERROR(INDEX(ЛОТЫ!$I$5:$Y$2073,MATCH(B26,ЛОТЫ!$K$5:$K$2073,0),17),""))</f>
        <v>40.473132100422774</v>
      </c>
      <c r="Q26" s="213">
        <f t="shared" si="1"/>
        <v>23909.891000000003</v>
      </c>
      <c r="R26" s="123">
        <f>IFERROR(INDEX('Ведомость расчета мин. платы'!$B$10:$AD$214,MATCH(B26,'Ведомость расчета мин. платы'!$B$10:$B$214,0),29),"")</f>
        <v>1.6</v>
      </c>
      <c r="S26" s="214">
        <f t="shared" si="2"/>
        <v>1385.51</v>
      </c>
    </row>
    <row r="27" spans="2:19" ht="15" customHeight="1" x14ac:dyDescent="0.2">
      <c r="B27" s="113">
        <v>24</v>
      </c>
      <c r="C27" s="209" t="str">
        <f>IFERROR(INDEX('Ведомость расчета мин. платы'!$B$10:$AB$214,MATCH(Коэффициенты!$B27,'Ведомость расчета мин. платы'!$B$10:$B$214,0),2),"")</f>
        <v>Мамыковское</v>
      </c>
      <c r="D27" s="113">
        <f>IFERROR(INDEX('Ведомость расчета мин. платы'!$B$10:$AB$214,MATCH(Коэффициенты!$B27,'Ведомость расчета мин. платы'!$B$10:$B$214,0),3),"")</f>
        <v>52</v>
      </c>
      <c r="E27" s="113">
        <f>IFERROR(INDEX('Ведомость расчета мин. платы'!$B$10:$AB$214,MATCH(Коэффициенты!$B27,'Ведомость расчета мин. платы'!$B$10:$B$214,0),4),"")</f>
        <v>35</v>
      </c>
      <c r="F27" s="113">
        <f>IFERROR(INDEX('Ведомость расчета мин. платы'!$B$10:$AB$214,MATCH(Коэффициенты!$B27,'Ведомость расчета мин. платы'!$B$10:$B$214,0),5),"")</f>
        <v>4</v>
      </c>
      <c r="G27" s="210">
        <f>IFERROR(INDEX('Ведомость расчета мин. платы'!$B$10:$AB$214,MATCH(Коэффициенты!$B27,'Ведомость расчета мин. платы'!$B$10:$B$214,0),6),"")</f>
        <v>3.6</v>
      </c>
      <c r="H27" s="209">
        <f>SUMIFS('Ведомость расчета мин. платы'!S:S,'Ведомость расчета мин. платы'!J:J,"Итого",'Ведомость расчета мин. платы'!AC:AC,O27)</f>
        <v>7711.6100000000006</v>
      </c>
      <c r="I27" s="211">
        <f>(IFERROR(INDEX(ЛОТЫ!$I$5:$Y$2073,MATCH(B27,ЛОТЫ!$K$5:$K$2073,0),15),""))</f>
        <v>2.6100000000000003</v>
      </c>
      <c r="J27" s="183">
        <f>(IFERROR(INDEX(ЛОТЫ!$I$5:$Y$2073,MATCH(B27,ЛОТЫ!$K$5:$K$2073,0),16),""))</f>
        <v>20127.302100000004</v>
      </c>
      <c r="L27" s="212">
        <f>SUMIFS('Ведомость расчета мин. платы'!Q:Q,'Ведомость расчета мин. платы'!J:J,"Итого",'Ведомость расчета мин. платы'!AC:AC,O27)</f>
        <v>476.29999999999995</v>
      </c>
      <c r="M27" s="208"/>
      <c r="N27" s="211" t="str">
        <f>IFERROR(INDEX('Ведомость расчета мин. платы'!$B$10:$AB$214,MATCH(Коэффициенты!B27,'Ведомость расчета мин. платы'!$B$10:$B$214,0),22),"")</f>
        <v>мл</v>
      </c>
      <c r="O27" s="205" t="str">
        <f t="shared" si="0"/>
        <v>Мамыковское/52/35/4</v>
      </c>
      <c r="P27" s="211">
        <f>(IFERROR(INDEX(ЛОТЫ!$I$5:$Y$2073,MATCH(B27,ЛОТЫ!$K$5:$K$2073,0),17),""))</f>
        <v>42.257615158513552</v>
      </c>
      <c r="Q27" s="213">
        <f t="shared" si="1"/>
        <v>12415.692100000004</v>
      </c>
      <c r="R27" s="123">
        <f>IFERROR(INDEX('Ведомость расчета мин. платы'!$B$10:$AD$214,MATCH(B27,'Ведомость расчета мин. платы'!$B$10:$B$214,0),29),"")</f>
        <v>0.92</v>
      </c>
      <c r="S27" s="214">
        <f t="shared" si="2"/>
        <v>712.548</v>
      </c>
    </row>
    <row r="28" spans="2:19" ht="15" customHeight="1" x14ac:dyDescent="0.2">
      <c r="B28" s="113">
        <v>25</v>
      </c>
      <c r="C28" s="209" t="str">
        <f>IFERROR(INDEX('Ведомость расчета мин. платы'!$B$10:$AB$214,MATCH(Коэффициенты!$B28,'Ведомость расчета мин. платы'!$B$10:$B$214,0),2),"")</f>
        <v>Мамыковское</v>
      </c>
      <c r="D28" s="113">
        <f>IFERROR(INDEX('Ведомость расчета мин. платы'!$B$10:$AB$214,MATCH(Коэффициенты!$B28,'Ведомость расчета мин. платы'!$B$10:$B$214,0),3),"")</f>
        <v>53</v>
      </c>
      <c r="E28" s="113">
        <f>IFERROR(INDEX('Ведомость расчета мин. платы'!$B$10:$AB$214,MATCH(Коэффициенты!$B28,'Ведомость расчета мин. платы'!$B$10:$B$214,0),4),"")</f>
        <v>10</v>
      </c>
      <c r="F28" s="113">
        <f>IFERROR(INDEX('Ведомость расчета мин. платы'!$B$10:$AB$214,MATCH(Коэффициенты!$B28,'Ведомость расчета мин. платы'!$B$10:$B$214,0),5),"")</f>
        <v>1</v>
      </c>
      <c r="G28" s="210">
        <f>IFERROR(INDEX('Ведомость расчета мин. платы'!$B$10:$AB$214,MATCH(Коэффициенты!$B28,'Ведомость расчета мин. платы'!$B$10:$B$214,0),6),"")</f>
        <v>4.0999999999999996</v>
      </c>
      <c r="H28" s="209">
        <f>SUMIFS('Ведомость расчета мин. платы'!S:S,'Ведомость расчета мин. платы'!J:J,"Итого",'Ведомость расчета мин. платы'!AC:AC,O28)</f>
        <v>7558.63</v>
      </c>
      <c r="I28" s="211">
        <f>(IFERROR(INDEX(ЛОТЫ!$I$5:$Y$2073,MATCH(B28,ЛОТЫ!$K$5:$K$2073,0),15),""))</f>
        <v>2.87</v>
      </c>
      <c r="J28" s="183">
        <f>(IFERROR(INDEX(ЛОТЫ!$I$5:$Y$2073,MATCH(B28,ЛОТЫ!$K$5:$K$2073,0),16),""))</f>
        <v>21693.268100000001</v>
      </c>
      <c r="L28" s="212">
        <f>SUMIFS('Ведомость расчета мин. платы'!Q:Q,'Ведомость расчета мин. платы'!J:J,"Итого",'Ведомость расчета мин. платы'!AC:AC,O28)</f>
        <v>581.79</v>
      </c>
      <c r="M28" s="208"/>
      <c r="N28" s="211" t="str">
        <f>IFERROR(INDEX('Ведомость расчета мин. платы'!$B$10:$AB$214,MATCH(Коэффициенты!B28,'Ведомость расчета мин. платы'!$B$10:$B$214,0),22),"")</f>
        <v>мл</v>
      </c>
      <c r="O28" s="205" t="str">
        <f t="shared" si="0"/>
        <v>Мамыковское/53/10/1</v>
      </c>
      <c r="P28" s="211">
        <f>(IFERROR(INDEX(ЛОТЫ!$I$5:$Y$2073,MATCH(B28,ЛОТЫ!$K$5:$K$2073,0),17),""))</f>
        <v>37.287110641296692</v>
      </c>
      <c r="Q28" s="213">
        <f t="shared" si="1"/>
        <v>14134.6381</v>
      </c>
      <c r="R28" s="123">
        <f>IFERROR(INDEX('Ведомость расчета мин. платы'!$B$10:$AD$214,MATCH(B28,'Ведомость расчета мин. платы'!$B$10:$B$214,0),29),"")</f>
        <v>1.02</v>
      </c>
      <c r="S28" s="214">
        <f t="shared" si="2"/>
        <v>811.51299999999992</v>
      </c>
    </row>
    <row r="29" spans="2:19" ht="15" customHeight="1" x14ac:dyDescent="0.2">
      <c r="B29" s="215">
        <v>26</v>
      </c>
      <c r="C29" s="209" t="str">
        <f>IFERROR(INDEX('Ведомость расчета мин. платы'!$B$10:$AB$214,MATCH(Коэффициенты!$B29,'Ведомость расчета мин. платы'!$B$10:$B$214,0),2),"")</f>
        <v>Мамыковское</v>
      </c>
      <c r="D29" s="113">
        <f>IFERROR(INDEX('Ведомость расчета мин. платы'!$B$10:$AB$214,MATCH(Коэффициенты!$B29,'Ведомость расчета мин. платы'!$B$10:$B$214,0),3),"")</f>
        <v>90</v>
      </c>
      <c r="E29" s="113">
        <f>IFERROR(INDEX('Ведомость расчета мин. платы'!$B$10:$AB$214,MATCH(Коэффициенты!$B29,'Ведомость расчета мин. платы'!$B$10:$B$214,0),4),"")</f>
        <v>5</v>
      </c>
      <c r="F29" s="113">
        <f>IFERROR(INDEX('Ведомость расчета мин. платы'!$B$10:$AB$214,MATCH(Коэффициенты!$B29,'Ведомость расчета мин. платы'!$B$10:$B$214,0),5),"")</f>
        <v>1</v>
      </c>
      <c r="G29" s="210">
        <f>IFERROR(INDEX('Ведомость расчета мин. платы'!$B$10:$AB$214,MATCH(Коэффициенты!$B29,'Ведомость расчета мин. платы'!$B$10:$B$214,0),6),"")</f>
        <v>5.4</v>
      </c>
      <c r="H29" s="209">
        <f>SUMIFS('Ведомость расчета мин. платы'!S:S,'Ведомость расчета мин. платы'!J:J,"Итого",'Ведомость расчета мин. платы'!AC:AC,O29)</f>
        <v>17102.57</v>
      </c>
      <c r="I29" s="211">
        <f>(IFERROR(INDEX(ЛОТЫ!$I$5:$Y$2073,MATCH(B29,ЛОТЫ!$K$5:$K$2073,0),15),""))</f>
        <v>2.08</v>
      </c>
      <c r="J29" s="183">
        <f>(IFERROR(INDEX(ЛОТЫ!$I$5:$Y$2073,MATCH(B29,ЛОТЫ!$K$5:$K$2073,0),16),""))</f>
        <v>35573.345600000001</v>
      </c>
      <c r="L29" s="212">
        <f>SUMIFS('Ведомость расчета мин. платы'!Q:Q,'Ведомость расчета мин. платы'!J:J,"Итого",'Ведомость расчета мин. платы'!AC:AC,O29)</f>
        <v>1175.94</v>
      </c>
      <c r="M29" s="216"/>
      <c r="N29" s="211" t="str">
        <f>IFERROR(INDEX('Ведомость расчета мин. платы'!$B$10:$AB$214,MATCH(Коэффициенты!B29,'Ведомость расчета мин. платы'!$B$10:$B$214,0),22),"")</f>
        <v>мл</v>
      </c>
      <c r="O29" s="217" t="str">
        <f t="shared" si="0"/>
        <v>Мамыковское/90/5/1</v>
      </c>
      <c r="P29" s="211">
        <f>(IFERROR(INDEX(ЛОТЫ!$I$5:$Y$2073,MATCH(B29,ЛОТЫ!$K$5:$K$2073,0),17),""))</f>
        <v>30.250986955116758</v>
      </c>
      <c r="Q29" s="213">
        <f t="shared" si="1"/>
        <v>18470.775600000001</v>
      </c>
      <c r="R29" s="123">
        <f>IFERROR(INDEX('Ведомость расчета мин. платы'!$B$10:$AD$214,MATCH(B29,'Ведомость расчета мин. платы'!$B$10:$B$214,0),29),"")</f>
        <v>1.28</v>
      </c>
      <c r="S29" s="218">
        <f t="shared" si="2"/>
        <v>1068.8220000000001</v>
      </c>
    </row>
    <row r="30" spans="2:19" ht="15" customHeight="1" x14ac:dyDescent="0.2">
      <c r="B30" s="113">
        <v>27</v>
      </c>
      <c r="C30" s="209" t="str">
        <f>IFERROR(INDEX('Ведомость расчета мин. платы'!$B$10:$AB$214,MATCH(Коэффициенты!$B30,'Ведомость расчета мин. платы'!$B$10:$B$214,0),2),"")</f>
        <v>Мамыковское</v>
      </c>
      <c r="D30" s="113">
        <f>IFERROR(INDEX('Ведомость расчета мин. платы'!$B$10:$AB$214,MATCH(Коэффициенты!$B30,'Ведомость расчета мин. платы'!$B$10:$B$214,0),3),"")</f>
        <v>90</v>
      </c>
      <c r="E30" s="113">
        <f>IFERROR(INDEX('Ведомость расчета мин. платы'!$B$10:$AB$214,MATCH(Коэффициенты!$B30,'Ведомость расчета мин. платы'!$B$10:$B$214,0),4),"")</f>
        <v>8</v>
      </c>
      <c r="F30" s="113">
        <f>IFERROR(INDEX('Ведомость расчета мин. платы'!$B$10:$AB$214,MATCH(Коэффициенты!$B30,'Ведомость расчета мин. платы'!$B$10:$B$214,0),5),"")</f>
        <v>2</v>
      </c>
      <c r="G30" s="210">
        <f>IFERROR(INDEX('Ведомость расчета мин. платы'!$B$10:$AB$214,MATCH(Коэффициенты!$B30,'Ведомость расчета мин. платы'!$B$10:$B$214,0),6),"")</f>
        <v>2.8</v>
      </c>
      <c r="H30" s="209">
        <f>SUMIFS('Ведомость расчета мин. платы'!S:S,'Ведомость расчета мин. платы'!J:J,"Итого",'Ведомость расчета мин. платы'!AC:AC,O30)</f>
        <v>8020.59</v>
      </c>
      <c r="I30" s="211">
        <f>(IFERROR(INDEX(ЛОТЫ!$I$5:$Y$2073,MATCH(B30,ЛОТЫ!$K$5:$K$2073,0),15),""))</f>
        <v>2.2100000000000009</v>
      </c>
      <c r="J30" s="183">
        <f>(IFERROR(INDEX(ЛОТЫ!$I$5:$Y$2073,MATCH(B30,ЛОТЫ!$K$5:$K$2073,0),16),""))</f>
        <v>17725.503900000007</v>
      </c>
      <c r="K30" s="219"/>
      <c r="L30" s="212">
        <f>SUMIFS('Ведомость расчета мин. платы'!Q:Q,'Ведомость расчета мин. платы'!J:J,"Итого",'Ведомость расчета мин. платы'!AC:AC,O30)</f>
        <v>539.55999999999995</v>
      </c>
      <c r="M30" s="219"/>
      <c r="N30" s="211" t="str">
        <f>IFERROR(INDEX('Ведомость расчета мин. платы'!$B$10:$AB$214,MATCH(Коэффициенты!B30,'Ведомость расчета мин. платы'!$B$10:$B$214,0),22),"")</f>
        <v>мл</v>
      </c>
      <c r="O30" s="217" t="str">
        <f t="shared" si="0"/>
        <v>Мамыковское/90/8/2</v>
      </c>
      <c r="P30" s="211">
        <f>(IFERROR(INDEX(ЛОТЫ!$I$5:$Y$2073,MATCH(B30,ЛОТЫ!$K$5:$K$2073,0),17),""))</f>
        <v>32.851775335458541</v>
      </c>
      <c r="Q30" s="213">
        <f t="shared" ref="Q30:Q52" si="3">J30-H30</f>
        <v>9704.9139000000068</v>
      </c>
      <c r="R30" s="123">
        <f>IFERROR(INDEX('Ведомость расчета мин. платы'!$B$10:$AD$214,MATCH(B30,'Ведомость расчета мин. платы'!$B$10:$B$214,0),29),"")</f>
        <v>0.76</v>
      </c>
      <c r="S30" s="218">
        <f t="shared" ref="S30:S52" si="4">G30*197.93</f>
        <v>554.20399999999995</v>
      </c>
    </row>
    <row r="31" spans="2:19" ht="15" customHeight="1" x14ac:dyDescent="0.2">
      <c r="B31" s="113">
        <v>28</v>
      </c>
      <c r="C31" s="209" t="str">
        <f>IFERROR(INDEX('Ведомость расчета мин. платы'!$B$10:$AB$214,MATCH(Коэффициенты!$B31,'Ведомость расчета мин. платы'!$B$10:$B$214,0),2),"")</f>
        <v>Мамыковское</v>
      </c>
      <c r="D31" s="113">
        <f>IFERROR(INDEX('Ведомость расчета мин. платы'!$B$10:$AB$214,MATCH(Коэффициенты!$B31,'Ведомость расчета мин. платы'!$B$10:$B$214,0),3),"")</f>
        <v>90</v>
      </c>
      <c r="E31" s="113">
        <f>IFERROR(INDEX('Ведомость расчета мин. платы'!$B$10:$AB$214,MATCH(Коэффициенты!$B31,'Ведомость расчета мин. платы'!$B$10:$B$214,0),4),"")</f>
        <v>12</v>
      </c>
      <c r="F31" s="113">
        <f>IFERROR(INDEX('Ведомость расчета мин. платы'!$B$10:$AB$214,MATCH(Коэффициенты!$B31,'Ведомость расчета мин. платы'!$B$10:$B$214,0),5),"")</f>
        <v>3</v>
      </c>
      <c r="G31" s="210">
        <f>IFERROR(INDEX('Ведомость расчета мин. платы'!$B$10:$AB$214,MATCH(Коэффициенты!$B31,'Ведомость расчета мин. платы'!$B$10:$B$214,0),6),"")</f>
        <v>3.7</v>
      </c>
      <c r="H31" s="209">
        <f>SUMIFS('Ведомость расчета мин. платы'!S:S,'Ведомость расчета мин. платы'!J:J,"Итого",'Ведомость расчета мин. платы'!AC:AC,O31)</f>
        <v>19505.21</v>
      </c>
      <c r="I31" s="211">
        <f>(IFERROR(INDEX(ЛОТЫ!$I$5:$Y$2073,MATCH(B31,ЛОТЫ!$K$5:$K$2073,0),15),""))</f>
        <v>1.6600000000000001</v>
      </c>
      <c r="J31" s="183">
        <f>(IFERROR(INDEX(ЛОТЫ!$I$5:$Y$2073,MATCH(B31,ЛОТЫ!$K$5:$K$2073,0),16),""))</f>
        <v>32378.6486</v>
      </c>
      <c r="K31" s="219"/>
      <c r="L31" s="212">
        <f>SUMIFS('Ведомость расчета мин. платы'!Q:Q,'Ведомость расчета мин. платы'!J:J,"Итого",'Ведомость расчета мин. платы'!AC:AC,O31)</f>
        <v>542.08999999999992</v>
      </c>
      <c r="M31" s="219"/>
      <c r="N31" s="211" t="str">
        <f>IFERROR(INDEX('Ведомость расчета мин. платы'!$B$10:$AB$214,MATCH(Коэффициенты!B31,'Ведомость расчета мин. платы'!$B$10:$B$214,0),22),"")</f>
        <v>мл</v>
      </c>
      <c r="O31" s="217" t="str">
        <f t="shared" si="0"/>
        <v>Мамыковское/90/12/3</v>
      </c>
      <c r="P31" s="211">
        <f>(IFERROR(INDEX(ЛОТЫ!$I$5:$Y$2073,MATCH(B31,ЛОТЫ!$K$5:$K$2073,0),17),""))</f>
        <v>59.729285911933452</v>
      </c>
      <c r="Q31" s="213">
        <f t="shared" si="3"/>
        <v>12873.438600000001</v>
      </c>
      <c r="R31" s="123">
        <f>IFERROR(INDEX('Ведомость расчета мин. платы'!$B$10:$AD$214,MATCH(B31,'Ведомость расчета мин. платы'!$B$10:$B$214,0),29),"")</f>
        <v>0.94</v>
      </c>
      <c r="S31" s="218">
        <f t="shared" si="4"/>
        <v>732.34100000000001</v>
      </c>
    </row>
    <row r="32" spans="2:19" ht="15" customHeight="1" x14ac:dyDescent="0.2">
      <c r="B32" s="113">
        <v>29</v>
      </c>
      <c r="C32" s="209" t="str">
        <f>IFERROR(INDEX('Ведомость расчета мин. платы'!$B$10:$AB$214,MATCH(Коэффициенты!$B32,'Ведомость расчета мин. платы'!$B$10:$B$214,0),2),"")</f>
        <v>Мамыковское</v>
      </c>
      <c r="D32" s="113">
        <f>IFERROR(INDEX('Ведомость расчета мин. платы'!$B$10:$AB$214,MATCH(Коэффициенты!$B32,'Ведомость расчета мин. платы'!$B$10:$B$214,0),3),"")</f>
        <v>91</v>
      </c>
      <c r="E32" s="113">
        <f>IFERROR(INDEX('Ведомость расчета мин. платы'!$B$10:$AB$214,MATCH(Коэффициенты!$B32,'Ведомость расчета мин. платы'!$B$10:$B$214,0),4),"")</f>
        <v>9</v>
      </c>
      <c r="F32" s="113">
        <f>IFERROR(INDEX('Ведомость расчета мин. платы'!$B$10:$AB$214,MATCH(Коэффициенты!$B32,'Ведомость расчета мин. платы'!$B$10:$B$214,0),5),"")</f>
        <v>1</v>
      </c>
      <c r="G32" s="210">
        <f>IFERROR(INDEX('Ведомость расчета мин. платы'!$B$10:$AB$214,MATCH(Коэффициенты!$B32,'Ведомость расчета мин. платы'!$B$10:$B$214,0),6),"")</f>
        <v>6.1</v>
      </c>
      <c r="H32" s="209">
        <f>SUMIFS('Ведомость расчета мин. платы'!S:S,'Ведомость расчета мин. платы'!J:J,"Итого",'Ведомость расчета мин. платы'!AC:AC,O32)</f>
        <v>47089.74</v>
      </c>
      <c r="I32" s="211">
        <f>(IFERROR(INDEX(ЛОТЫ!$I$5:$Y$2073,MATCH(B32,ЛОТЫ!$K$5:$K$2073,0),15),""))</f>
        <v>1.4500000000000002</v>
      </c>
      <c r="J32" s="183">
        <f>(IFERROR(INDEX(ЛОТЫ!$I$5:$Y$2073,MATCH(B32,ЛОТЫ!$K$5:$K$2073,0),16),""))</f>
        <v>68280.123000000007</v>
      </c>
      <c r="K32" s="219"/>
      <c r="L32" s="212">
        <f>SUMIFS('Ведомость расчета мин. платы'!Q:Q,'Ведомость расчета мин. платы'!J:J,"Итого",'Ведомость расчета мин. платы'!AC:AC,O32)</f>
        <v>1117.54</v>
      </c>
      <c r="M32" s="219"/>
      <c r="N32" s="211" t="str">
        <f>IFERROR(INDEX('Ведомость расчета мин. платы'!$B$10:$AB$214,MATCH(Коэффициенты!B32,'Ведомость расчета мин. платы'!$B$10:$B$214,0),22),"")</f>
        <v>мл</v>
      </c>
      <c r="O32" s="217" t="str">
        <f t="shared" si="0"/>
        <v>Мамыковское/91/9/1</v>
      </c>
      <c r="P32" s="211">
        <f>(IFERROR(INDEX(ЛОТЫ!$I$5:$Y$2073,MATCH(B32,ЛОТЫ!$K$5:$K$2073,0),17),""))</f>
        <v>61.09859423376345</v>
      </c>
      <c r="Q32" s="213">
        <f t="shared" si="3"/>
        <v>21190.383000000009</v>
      </c>
      <c r="R32" s="123">
        <f>IFERROR(INDEX('Ведомость расчета мин. платы'!$B$10:$AD$214,MATCH(B32,'Ведомость расчета мин. платы'!$B$10:$B$214,0),29),"")</f>
        <v>1.42</v>
      </c>
      <c r="S32" s="218">
        <f t="shared" si="4"/>
        <v>1207.373</v>
      </c>
    </row>
    <row r="33" spans="2:19" ht="15" customHeight="1" x14ac:dyDescent="0.2">
      <c r="B33" s="113">
        <v>30</v>
      </c>
      <c r="C33" s="209" t="str">
        <f>IFERROR(INDEX('Ведомость расчета мин. платы'!$B$10:$AB$214,MATCH(Коэффициенты!$B33,'Ведомость расчета мин. платы'!$B$10:$B$214,0),2),"")</f>
        <v>Мамыковское</v>
      </c>
      <c r="D33" s="113">
        <f>IFERROR(INDEX('Ведомость расчета мин. платы'!$B$10:$AB$214,MATCH(Коэффициенты!$B33,'Ведомость расчета мин. платы'!$B$10:$B$214,0),3),"")</f>
        <v>96</v>
      </c>
      <c r="E33" s="113">
        <f>IFERROR(INDEX('Ведомость расчета мин. платы'!$B$10:$AB$214,MATCH(Коэффициенты!$B33,'Ведомость расчета мин. платы'!$B$10:$B$214,0),4),"")</f>
        <v>5</v>
      </c>
      <c r="F33" s="113">
        <f>IFERROR(INDEX('Ведомость расчета мин. платы'!$B$10:$AB$214,MATCH(Коэффициенты!$B33,'Ведомость расчета мин. платы'!$B$10:$B$214,0),5),"")</f>
        <v>1</v>
      </c>
      <c r="G33" s="210">
        <f>IFERROR(INDEX('Ведомость расчета мин. платы'!$B$10:$AB$214,MATCH(Коэффициенты!$B33,'Ведомость расчета мин. платы'!$B$10:$B$214,0),6),"")</f>
        <v>5.6</v>
      </c>
      <c r="H33" s="209">
        <f>SUMIFS('Ведомость расчета мин. платы'!S:S,'Ведомость расчета мин. платы'!J:J,"Итого",'Ведомость расчета мин. платы'!AC:AC,O33)</f>
        <v>40097.680000000008</v>
      </c>
      <c r="I33" s="211">
        <f>(IFERROR(INDEX(ЛОТЫ!$I$5:$Y$2073,MATCH(B33,ЛОТЫ!$K$5:$K$2073,0),15),""))</f>
        <v>1.4800000000000004</v>
      </c>
      <c r="J33" s="183">
        <f>(IFERROR(INDEX(ЛОТЫ!$I$5:$Y$2073,MATCH(B33,ЛОТЫ!$K$5:$K$2073,0),16),""))</f>
        <v>59344.566400000025</v>
      </c>
      <c r="K33" s="219"/>
      <c r="L33" s="212">
        <f>SUMIFS('Ведомость расчета мин. платы'!Q:Q,'Ведомость расчета мин. платы'!J:J,"Итого",'Ведомость расчета мин. платы'!AC:AC,O33)</f>
        <v>923.46</v>
      </c>
      <c r="M33" s="219"/>
      <c r="N33" s="211" t="str">
        <f>IFERROR(INDEX('Ведомость расчета мин. платы'!$B$10:$AB$214,MATCH(Коэффициенты!B33,'Ведомость расчета мин. платы'!$B$10:$B$214,0),22),"")</f>
        <v>мл</v>
      </c>
      <c r="O33" s="217" t="str">
        <f t="shared" si="0"/>
        <v>Мамыковское/96/5/1</v>
      </c>
      <c r="P33" s="211">
        <f>(IFERROR(INDEX(ЛОТЫ!$I$5:$Y$2073,MATCH(B33,ЛОТЫ!$K$5:$K$2073,0),17),""))</f>
        <v>64.263277673099026</v>
      </c>
      <c r="Q33" s="213">
        <f t="shared" si="3"/>
        <v>19246.886400000018</v>
      </c>
      <c r="R33" s="123">
        <f>IFERROR(INDEX('Ведомость расчета мин. платы'!$B$10:$AD$214,MATCH(B33,'Ведомость расчета мин. платы'!$B$10:$B$214,0),29),"")</f>
        <v>1.32</v>
      </c>
      <c r="S33" s="218">
        <f t="shared" si="4"/>
        <v>1108.4079999999999</v>
      </c>
    </row>
    <row r="34" spans="2:19" ht="15" customHeight="1" x14ac:dyDescent="0.2">
      <c r="B34" s="113">
        <v>31</v>
      </c>
      <c r="C34" s="209" t="str">
        <f>IFERROR(INDEX('Ведомость расчета мин. платы'!$B$10:$AB$214,MATCH(Коэффициенты!$B34,'Ведомость расчета мин. платы'!$B$10:$B$214,0),2),"")</f>
        <v>Тимерликовское</v>
      </c>
      <c r="D34" s="113">
        <f>IFERROR(INDEX('Ведомость расчета мин. платы'!$B$10:$AB$214,MATCH(Коэффициенты!$B34,'Ведомость расчета мин. платы'!$B$10:$B$214,0),3),"")</f>
        <v>11</v>
      </c>
      <c r="E34" s="113">
        <f>IFERROR(INDEX('Ведомость расчета мин. платы'!$B$10:$AB$214,MATCH(Коэффициенты!$B34,'Ведомость расчета мин. платы'!$B$10:$B$214,0),4),"")</f>
        <v>3</v>
      </c>
      <c r="F34" s="113">
        <f>IFERROR(INDEX('Ведомость расчета мин. платы'!$B$10:$AB$214,MATCH(Коэффициенты!$B34,'Ведомость расчета мин. платы'!$B$10:$B$214,0),5),"")</f>
        <v>1</v>
      </c>
      <c r="G34" s="210">
        <f>IFERROR(INDEX('Ведомость расчета мин. платы'!$B$10:$AB$214,MATCH(Коэффициенты!$B34,'Ведомость расчета мин. платы'!$B$10:$B$214,0),6),"")</f>
        <v>4.3</v>
      </c>
      <c r="H34" s="209">
        <f>SUMIFS('Ведомость расчета мин. платы'!S:S,'Ведомость расчета мин. платы'!J:J,"Итого",'Ведомость расчета мин. платы'!AC:AC,O34)</f>
        <v>16378.64</v>
      </c>
      <c r="I34" s="211">
        <f>(IFERROR(INDEX(ЛОТЫ!$I$5:$Y$2073,MATCH(B34,ЛОТЫ!$K$5:$K$2073,0),15),""))</f>
        <v>1.9000000000000004</v>
      </c>
      <c r="J34" s="183">
        <f>(IFERROR(INDEX(ЛОТЫ!$I$5:$Y$2073,MATCH(B34,ЛОТЫ!$K$5:$K$2073,0),16),""))</f>
        <v>31119.416000000005</v>
      </c>
      <c r="K34" s="219"/>
      <c r="L34" s="212">
        <f>SUMIFS('Ведомость расчета мин. платы'!Q:Q,'Ведомость расчета мин. платы'!J:J,"Итого",'Ведомость расчета мин. платы'!AC:AC,O34)</f>
        <v>815.1</v>
      </c>
      <c r="M34" s="219"/>
      <c r="N34" s="211" t="str">
        <f>IFERROR(INDEX('Ведомость расчета мин. платы'!$B$10:$AB$214,MATCH(Коэффициенты!B34,'Ведомость расчета мин. платы'!$B$10:$B$214,0),22),"")</f>
        <v>мл</v>
      </c>
      <c r="O34" s="217" t="str">
        <f t="shared" si="0"/>
        <v>Тимерликовское/11/3/1</v>
      </c>
      <c r="P34" s="211">
        <f>(IFERROR(INDEX(ЛОТЫ!$I$5:$Y$2073,MATCH(B34,ЛОТЫ!$K$5:$K$2073,0),17),""))</f>
        <v>38.178648018648026</v>
      </c>
      <c r="Q34" s="213">
        <f t="shared" si="3"/>
        <v>14740.776000000005</v>
      </c>
      <c r="R34" s="123">
        <f>IFERROR(INDEX('Ведомость расчета мин. платы'!$B$10:$AD$214,MATCH(B34,'Ведомость расчета мин. платы'!$B$10:$B$214,0),29),"")</f>
        <v>1.06</v>
      </c>
      <c r="S34" s="218">
        <f t="shared" si="4"/>
        <v>851.09900000000005</v>
      </c>
    </row>
    <row r="35" spans="2:19" ht="15" customHeight="1" x14ac:dyDescent="0.2">
      <c r="B35" s="113">
        <v>32</v>
      </c>
      <c r="C35" s="209" t="str">
        <f>IFERROR(INDEX('Ведомость расчета мин. платы'!$B$10:$AB$214,MATCH(Коэффициенты!$B35,'Ведомость расчета мин. платы'!$B$10:$B$214,0),2),"")</f>
        <v>Тимерликовское</v>
      </c>
      <c r="D35" s="113">
        <f>IFERROR(INDEX('Ведомость расчета мин. платы'!$B$10:$AB$214,MATCH(Коэффициенты!$B35,'Ведомость расчета мин. платы'!$B$10:$B$214,0),3),"")</f>
        <v>11</v>
      </c>
      <c r="E35" s="113">
        <f>IFERROR(INDEX('Ведомость расчета мин. платы'!$B$10:$AB$214,MATCH(Коэффициенты!$B35,'Ведомость расчета мин. платы'!$B$10:$B$214,0),4),"")</f>
        <v>5</v>
      </c>
      <c r="F35" s="113">
        <f>IFERROR(INDEX('Ведомость расчета мин. платы'!$B$10:$AB$214,MATCH(Коэффициенты!$B35,'Ведомость расчета мин. платы'!$B$10:$B$214,0),5),"")</f>
        <v>2</v>
      </c>
      <c r="G35" s="210">
        <f>IFERROR(INDEX('Ведомость расчета мин. платы'!$B$10:$AB$214,MATCH(Коэффициенты!$B35,'Ведомость расчета мин. платы'!$B$10:$B$214,0),6),"")</f>
        <v>4.5</v>
      </c>
      <c r="H35" s="209">
        <f>SUMIFS('Ведомость расчета мин. платы'!S:S,'Ведомость расчета мин. платы'!J:J,"Итого",'Ведомость расчета мин. платы'!AC:AC,O35)</f>
        <v>15244.809999999998</v>
      </c>
      <c r="I35" s="211">
        <f>(IFERROR(INDEX(ЛОТЫ!$I$5:$Y$2073,MATCH(B35,ЛОТЫ!$K$5:$K$2073,0),15),""))</f>
        <v>2.0199999999999996</v>
      </c>
      <c r="J35" s="183">
        <f>(IFERROR(INDEX(ЛОТЫ!$I$5:$Y$2073,MATCH(B35,ЛОТЫ!$K$5:$K$2073,0),16),""))</f>
        <v>30794.516199999987</v>
      </c>
      <c r="K35" s="219"/>
      <c r="L35" s="212">
        <f>SUMIFS('Ведомость расчета мин. платы'!Q:Q,'Ведомость расчета мин. платы'!J:J,"Итого",'Ведомость расчета мин. платы'!AC:AC,O35)</f>
        <v>749.44</v>
      </c>
      <c r="M35" s="219"/>
      <c r="N35" s="211" t="str">
        <f>IFERROR(INDEX('Ведомость расчета мин. платы'!$B$10:$AB$214,MATCH(Коэффициенты!B35,'Ведомость расчета мин. платы'!$B$10:$B$214,0),22),"")</f>
        <v>мл</v>
      </c>
      <c r="O35" s="217" t="str">
        <f t="shared" si="0"/>
        <v>Тимерликовское/11/5/2</v>
      </c>
      <c r="P35" s="211">
        <f>(IFERROR(INDEX(ЛОТЫ!$I$5:$Y$2073,MATCH(B35,ЛОТЫ!$K$5:$K$2073,0),17),""))</f>
        <v>41.090035493168209</v>
      </c>
      <c r="Q35" s="213">
        <f t="shared" si="3"/>
        <v>15549.70619999999</v>
      </c>
      <c r="R35" s="123">
        <f>IFERROR(INDEX('Ведомость расчета мин. платы'!$B$10:$AD$214,MATCH(B35,'Ведомость расчета мин. платы'!$B$10:$B$214,0),29),"")</f>
        <v>1.1000000000000001</v>
      </c>
      <c r="S35" s="218">
        <f t="shared" si="4"/>
        <v>890.68500000000006</v>
      </c>
    </row>
    <row r="36" spans="2:19" ht="15" customHeight="1" x14ac:dyDescent="0.2">
      <c r="B36" s="113">
        <v>33</v>
      </c>
      <c r="C36" s="209" t="str">
        <f>IFERROR(INDEX('Ведомость расчета мин. платы'!$B$10:$AB$214,MATCH(Коэффициенты!$B36,'Ведомость расчета мин. платы'!$B$10:$B$214,0),2),"")</f>
        <v>Тимерликовское</v>
      </c>
      <c r="D36" s="113">
        <f>IFERROR(INDEX('Ведомость расчета мин. платы'!$B$10:$AB$214,MATCH(Коэффициенты!$B36,'Ведомость расчета мин. платы'!$B$10:$B$214,0),3),"")</f>
        <v>11</v>
      </c>
      <c r="E36" s="113">
        <f>IFERROR(INDEX('Ведомость расчета мин. платы'!$B$10:$AB$214,MATCH(Коэффициенты!$B36,'Ведомость расчета мин. платы'!$B$10:$B$214,0),4),"")</f>
        <v>8</v>
      </c>
      <c r="F36" s="113">
        <f>IFERROR(INDEX('Ведомость расчета мин. платы'!$B$10:$AB$214,MATCH(Коэффициенты!$B36,'Ведомость расчета мин. платы'!$B$10:$B$214,0),5),"")</f>
        <v>3</v>
      </c>
      <c r="G36" s="210">
        <f>IFERROR(INDEX('Ведомость расчета мин. платы'!$B$10:$AB$214,MATCH(Коэффициенты!$B36,'Ведомость расчета мин. платы'!$B$10:$B$214,0),6),"")</f>
        <v>3.1</v>
      </c>
      <c r="H36" s="209">
        <f>SUMIFS('Ведомость расчета мин. платы'!S:S,'Ведомость расчета мин. платы'!J:J,"Итого",'Ведомость расчета мин. платы'!AC:AC,O36)</f>
        <v>18767.349999999999</v>
      </c>
      <c r="I36" s="211">
        <f>(IFERROR(INDEX(ЛОТЫ!$I$5:$Y$2073,MATCH(B36,ЛОТЫ!$K$5:$K$2073,0),15),""))</f>
        <v>1.5700000000000003</v>
      </c>
      <c r="J36" s="183">
        <f>(IFERROR(INDEX(ЛОТЫ!$I$5:$Y$2073,MATCH(B36,ЛОТЫ!$K$5:$K$2073,0),16),""))</f>
        <v>29464.739500000003</v>
      </c>
      <c r="K36" s="219"/>
      <c r="L36" s="212">
        <f>SUMIFS('Ведомость расчета мин. платы'!Q:Q,'Ведомость расчета мин. платы'!J:J,"Итого",'Ведомость расчета мин. платы'!AC:AC,O36)</f>
        <v>740.02</v>
      </c>
      <c r="M36" s="219"/>
      <c r="N36" s="211" t="str">
        <f>IFERROR(INDEX('Ведомость расчета мин. платы'!$B$10:$AB$214,MATCH(Коэффициенты!B36,'Ведомость расчета мин. платы'!$B$10:$B$214,0),22),"")</f>
        <v>мл</v>
      </c>
      <c r="O36" s="217" t="str">
        <f t="shared" si="0"/>
        <v>Тимерликовское/11/8/3</v>
      </c>
      <c r="P36" s="211">
        <f>(IFERROR(INDEX(ЛОТЫ!$I$5:$Y$2073,MATCH(B36,ЛОТЫ!$K$5:$K$2073,0),17),""))</f>
        <v>39.816139428664094</v>
      </c>
      <c r="Q36" s="213">
        <f t="shared" si="3"/>
        <v>10697.389500000005</v>
      </c>
      <c r="R36" s="123">
        <f>IFERROR(INDEX('Ведомость расчета мин. платы'!$B$10:$AD$214,MATCH(B36,'Ведомость расчета мин. платы'!$B$10:$B$214,0),29),"")</f>
        <v>0.82</v>
      </c>
      <c r="S36" s="218">
        <f t="shared" si="4"/>
        <v>613.58300000000008</v>
      </c>
    </row>
    <row r="37" spans="2:19" ht="15" customHeight="1" x14ac:dyDescent="0.2">
      <c r="B37" s="113">
        <v>34</v>
      </c>
      <c r="C37" s="209" t="str">
        <f>IFERROR(INDEX('Ведомость расчета мин. платы'!$B$10:$AB$214,MATCH(Коэффициенты!$B37,'Ведомость расчета мин. платы'!$B$10:$B$214,0),2),"")</f>
        <v>Тимерликовское</v>
      </c>
      <c r="D37" s="113">
        <f>IFERROR(INDEX('Ведомость расчета мин. платы'!$B$10:$AB$214,MATCH(Коэффициенты!$B37,'Ведомость расчета мин. платы'!$B$10:$B$214,0),3),"")</f>
        <v>11</v>
      </c>
      <c r="E37" s="113">
        <f>IFERROR(INDEX('Ведомость расчета мин. платы'!$B$10:$AB$214,MATCH(Коэффициенты!$B37,'Ведомость расчета мин. платы'!$B$10:$B$214,0),4),"")</f>
        <v>17</v>
      </c>
      <c r="F37" s="113">
        <f>IFERROR(INDEX('Ведомость расчета мин. платы'!$B$10:$AB$214,MATCH(Коэффициенты!$B37,'Ведомость расчета мин. платы'!$B$10:$B$214,0),5),"")</f>
        <v>4</v>
      </c>
      <c r="G37" s="210">
        <f>IFERROR(INDEX('Ведомость расчета мин. платы'!$B$10:$AB$214,MATCH(Коэффициенты!$B37,'Ведомость расчета мин. платы'!$B$10:$B$214,0),6),"")</f>
        <v>4.8</v>
      </c>
      <c r="H37" s="209">
        <f>SUMIFS('Ведомость расчета мин. платы'!S:S,'Ведомость расчета мин. платы'!J:J,"Итого",'Ведомость расчета мин. платы'!AC:AC,O37)</f>
        <v>17388.63</v>
      </c>
      <c r="I37" s="211">
        <f>(IFERROR(INDEX(ЛОТЫ!$I$5:$Y$2073,MATCH(B37,ЛОТЫ!$K$5:$K$2073,0),15),""))</f>
        <v>1.9500000000000002</v>
      </c>
      <c r="J37" s="183">
        <f>(IFERROR(INDEX(ЛОТЫ!$I$5:$Y$2073,MATCH(B37,ЛОТЫ!$K$5:$K$2073,0),16),""))</f>
        <v>33907.828500000003</v>
      </c>
      <c r="K37" s="219"/>
      <c r="L37" s="212">
        <f>SUMIFS('Ведомость расчета мин. платы'!Q:Q,'Ведомость расчета мин. платы'!J:J,"Итого",'Ведомость расчета мин. платы'!AC:AC,O37)</f>
        <v>968.44999999999993</v>
      </c>
      <c r="M37" s="219"/>
      <c r="N37" s="211" t="str">
        <f>IFERROR(INDEX('Ведомость расчета мин. платы'!$B$10:$AB$214,MATCH(Коэффициенты!B37,'Ведомость расчета мин. платы'!$B$10:$B$214,0),22),"")</f>
        <v>мл</v>
      </c>
      <c r="O37" s="217" t="str">
        <f t="shared" si="0"/>
        <v>Тимерликовское/11/17/4</v>
      </c>
      <c r="P37" s="211">
        <f>(IFERROR(INDEX(ЛОТЫ!$I$5:$Y$2073,MATCH(B37,ЛОТЫ!$K$5:$K$2073,0),17),""))</f>
        <v>35.01247199132635</v>
      </c>
      <c r="Q37" s="213">
        <f t="shared" si="3"/>
        <v>16519.198500000002</v>
      </c>
      <c r="R37" s="123">
        <f>IFERROR(INDEX('Ведомость расчета мин. платы'!$B$10:$AD$214,MATCH(B37,'Ведомость расчета мин. платы'!$B$10:$B$214,0),29),"")</f>
        <v>1.1599999999999999</v>
      </c>
      <c r="S37" s="218">
        <f t="shared" si="4"/>
        <v>950.06399999999996</v>
      </c>
    </row>
    <row r="38" spans="2:19" ht="15" customHeight="1" x14ac:dyDescent="0.2">
      <c r="B38" s="113">
        <v>35</v>
      </c>
      <c r="C38" s="209" t="str">
        <f>IFERROR(INDEX('Ведомость расчета мин. платы'!$B$10:$AB$214,MATCH(Коэффициенты!$B38,'Ведомость расчета мин. платы'!$B$10:$B$214,0),2),"")</f>
        <v>Тимерликовское</v>
      </c>
      <c r="D38" s="113">
        <f>IFERROR(INDEX('Ведомость расчета мин. платы'!$B$10:$AB$214,MATCH(Коэффициенты!$B38,'Ведомость расчета мин. платы'!$B$10:$B$214,0),3),"")</f>
        <v>11</v>
      </c>
      <c r="E38" s="113">
        <f>IFERROR(INDEX('Ведомость расчета мин. платы'!$B$10:$AB$214,MATCH(Коэффициенты!$B38,'Ведомость расчета мин. платы'!$B$10:$B$214,0),4),"")</f>
        <v>27</v>
      </c>
      <c r="F38" s="113">
        <f>IFERROR(INDEX('Ведомость расчета мин. платы'!$B$10:$AB$214,MATCH(Коэффициенты!$B38,'Ведомость расчета мин. платы'!$B$10:$B$214,0),5),"")</f>
        <v>5</v>
      </c>
      <c r="G38" s="210">
        <f>IFERROR(INDEX('Ведомость расчета мин. платы'!$B$10:$AB$214,MATCH(Коэффициенты!$B38,'Ведомость расчета мин. платы'!$B$10:$B$214,0),6),"")</f>
        <v>4.9000000000000004</v>
      </c>
      <c r="H38" s="209">
        <f>SUMIFS('Ведомость расчета мин. платы'!S:S,'Ведомость расчета мин. платы'!J:J,"Итого",'Ведомость расчета мин. платы'!AC:AC,O38)</f>
        <v>28601.71</v>
      </c>
      <c r="I38" s="211">
        <f>(IFERROR(INDEX(ЛОТЫ!$I$5:$Y$2073,MATCH(B38,ЛОТЫ!$K$5:$K$2073,0),15),""))</f>
        <v>1.5899999999999999</v>
      </c>
      <c r="J38" s="183">
        <f>(IFERROR(INDEX(ЛОТЫ!$I$5:$Y$2073,MATCH(B38,ЛОТЫ!$K$5:$K$2073,0),16),""))</f>
        <v>45476.718899999993</v>
      </c>
      <c r="K38" s="219"/>
      <c r="L38" s="212">
        <f>SUMIFS('Ведомость расчета мин. платы'!Q:Q,'Ведомость расчета мин. платы'!J:J,"Итого",'Ведомость расчета мин. платы'!AC:AC,O38)</f>
        <v>1332.58</v>
      </c>
      <c r="M38" s="219"/>
      <c r="N38" s="211" t="str">
        <f>IFERROR(INDEX('Ведомость расчета мин. платы'!$B$10:$AB$214,MATCH(Коэффициенты!B38,'Ведомость расчета мин. платы'!$B$10:$B$214,0),22),"")</f>
        <v>мл</v>
      </c>
      <c r="O38" s="217" t="str">
        <f t="shared" si="0"/>
        <v>Тимерликовское/11/27/5</v>
      </c>
      <c r="P38" s="211">
        <f>(IFERROR(INDEX(ЛОТЫ!$I$5:$Y$2073,MATCH(B38,ЛОТЫ!$K$5:$K$2073,0),17),""))</f>
        <v>34.126820828768253</v>
      </c>
      <c r="Q38" s="213">
        <f t="shared" si="3"/>
        <v>16875.008899999993</v>
      </c>
      <c r="R38" s="123">
        <f>IFERROR(INDEX('Ведомость расчета мин. платы'!$B$10:$AD$214,MATCH(B38,'Ведомость расчета мин. платы'!$B$10:$B$214,0),29),"")</f>
        <v>1.24</v>
      </c>
      <c r="S38" s="218">
        <f t="shared" si="4"/>
        <v>969.85700000000008</v>
      </c>
    </row>
    <row r="39" spans="2:19" ht="15" customHeight="1" x14ac:dyDescent="0.2">
      <c r="B39" s="113">
        <v>36</v>
      </c>
      <c r="C39" s="209" t="str">
        <f>IFERROR(INDEX('Ведомость расчета мин. платы'!$B$10:$AB$214,MATCH(Коэффициенты!$B39,'Ведомость расчета мин. платы'!$B$10:$B$214,0),2),"")</f>
        <v>Тимерликовское</v>
      </c>
      <c r="D39" s="113">
        <f>IFERROR(INDEX('Ведомость расчета мин. платы'!$B$10:$AB$214,MATCH(Коэффициенты!$B39,'Ведомость расчета мин. платы'!$B$10:$B$214,0),3),"")</f>
        <v>16</v>
      </c>
      <c r="E39" s="113">
        <f>IFERROR(INDEX('Ведомость расчета мин. платы'!$B$10:$AB$214,MATCH(Коэффициенты!$B39,'Ведомость расчета мин. платы'!$B$10:$B$214,0),4),"")</f>
        <v>6</v>
      </c>
      <c r="F39" s="113">
        <f>IFERROR(INDEX('Ведомость расчета мин. платы'!$B$10:$AB$214,MATCH(Коэффициенты!$B39,'Ведомость расчета мин. платы'!$B$10:$B$214,0),5),"")</f>
        <v>1</v>
      </c>
      <c r="G39" s="210">
        <f>IFERROR(INDEX('Ведомость расчета мин. платы'!$B$10:$AB$214,MATCH(Коэффициенты!$B39,'Ведомость расчета мин. платы'!$B$10:$B$214,0),6),"")</f>
        <v>3.2</v>
      </c>
      <c r="H39" s="209">
        <f>SUMIFS('Ведомость расчета мин. платы'!S:S,'Ведомость расчета мин. платы'!J:J,"Итого",'Ведомость расчета мин. платы'!AC:AC,O39)</f>
        <v>15460.15</v>
      </c>
      <c r="I39" s="211">
        <f>(IFERROR(INDEX(ЛОТЫ!$I$5:$Y$2073,MATCH(B39,ЛОТЫ!$K$5:$K$2073,0),15),""))</f>
        <v>1.71</v>
      </c>
      <c r="J39" s="183">
        <f>(IFERROR(INDEX(ЛОТЫ!$I$5:$Y$2073,MATCH(B39,ЛОТЫ!$K$5:$K$2073,0),16),""))</f>
        <v>26436.856499999998</v>
      </c>
      <c r="K39" s="219"/>
      <c r="L39" s="212">
        <f>SUMIFS('Ведомость расчета мин. платы'!Q:Q,'Ведомость расчета мин. платы'!J:J,"Итого",'Ведомость расчета мин. платы'!AC:AC,O39)</f>
        <v>711.54</v>
      </c>
      <c r="M39" s="219"/>
      <c r="N39" s="211" t="str">
        <f>IFERROR(INDEX('Ведомость расчета мин. платы'!$B$10:$AB$214,MATCH(Коэффициенты!B39,'Ведомость расчета мин. платы'!$B$10:$B$214,0),22),"")</f>
        <v>мл</v>
      </c>
      <c r="O39" s="217" t="str">
        <f t="shared" si="0"/>
        <v>Тимерликовское/16/6/1</v>
      </c>
      <c r="P39" s="211">
        <f>(IFERROR(INDEX(ЛОТЫ!$I$5:$Y$2073,MATCH(B39,ЛОТЫ!$K$5:$K$2073,0),17),""))</f>
        <v>37.154420693144445</v>
      </c>
      <c r="Q39" s="213">
        <f t="shared" si="3"/>
        <v>10976.706499999998</v>
      </c>
      <c r="R39" s="123">
        <f>IFERROR(INDEX('Ведомость расчета мин. платы'!$B$10:$AD$214,MATCH(B39,'Ведомость расчета мин. платы'!$B$10:$B$214,0),29),"")</f>
        <v>0.84</v>
      </c>
      <c r="S39" s="218">
        <f t="shared" si="4"/>
        <v>633.37600000000009</v>
      </c>
    </row>
    <row r="40" spans="2:19" ht="15" customHeight="1" x14ac:dyDescent="0.2">
      <c r="B40" s="113">
        <v>37</v>
      </c>
      <c r="C40" s="209" t="str">
        <f>IFERROR(INDEX('Ведомость расчета мин. платы'!$B$10:$AB$214,MATCH(Коэффициенты!$B40,'Ведомость расчета мин. платы'!$B$10:$B$214,0),2),"")</f>
        <v>Тимерликовское</v>
      </c>
      <c r="D40" s="113">
        <f>IFERROR(INDEX('Ведомость расчета мин. платы'!$B$10:$AB$214,MATCH(Коэффициенты!$B40,'Ведомость расчета мин. платы'!$B$10:$B$214,0),3),"")</f>
        <v>16</v>
      </c>
      <c r="E40" s="113">
        <f>IFERROR(INDEX('Ведомость расчета мин. платы'!$B$10:$AB$214,MATCH(Коэффициенты!$B40,'Ведомость расчета мин. платы'!$B$10:$B$214,0),4),"")</f>
        <v>9</v>
      </c>
      <c r="F40" s="113">
        <f>IFERROR(INDEX('Ведомость расчета мин. платы'!$B$10:$AB$214,MATCH(Коэффициенты!$B40,'Ведомость расчета мин. платы'!$B$10:$B$214,0),5),"")</f>
        <v>2</v>
      </c>
      <c r="G40" s="210">
        <f>IFERROR(INDEX('Ведомость расчета мин. платы'!$B$10:$AB$214,MATCH(Коэффициенты!$B40,'Ведомость расчета мин. платы'!$B$10:$B$214,0),6),"")</f>
        <v>6.7</v>
      </c>
      <c r="H40" s="209">
        <f>SUMIFS('Ведомость расчета мин. платы'!S:S,'Ведомость расчета мин. платы'!J:J,"Итого",'Ведомость расчета мин. платы'!AC:AC,O40)</f>
        <v>28609.940000000002</v>
      </c>
      <c r="I40" s="211">
        <f>(IFERROR(INDEX(ЛОТЫ!$I$5:$Y$2073,MATCH(B40,ЛОТЫ!$K$5:$K$2073,0),15),""))</f>
        <v>1.8100000000000005</v>
      </c>
      <c r="J40" s="183">
        <f>(IFERROR(INDEX(ЛОТЫ!$I$5:$Y$2073,MATCH(B40,ЛОТЫ!$K$5:$K$2073,0),16),""))</f>
        <v>51783.991400000021</v>
      </c>
      <c r="K40" s="219"/>
      <c r="L40" s="212">
        <f>SUMIFS('Ведомость расчета мин. платы'!Q:Q,'Ведомость расчета мин. платы'!J:J,"Итого",'Ведомость расчета мин. платы'!AC:AC,O40)</f>
        <v>1601.98</v>
      </c>
      <c r="M40" s="219"/>
      <c r="N40" s="211" t="str">
        <f>IFERROR(INDEX('Ведомость расчета мин. платы'!$B$10:$AB$214,MATCH(Коэффициенты!B40,'Ведомость расчета мин. платы'!$B$10:$B$214,0),22),"")</f>
        <v>мл</v>
      </c>
      <c r="O40" s="217" t="str">
        <f t="shared" si="0"/>
        <v>Тимерликовское/16/9/2</v>
      </c>
      <c r="P40" s="211">
        <f>(IFERROR(INDEX(ЛОТЫ!$I$5:$Y$2073,MATCH(B40,ЛОТЫ!$K$5:$K$2073,0),17),""))</f>
        <v>32.324992446847041</v>
      </c>
      <c r="Q40" s="213">
        <f t="shared" si="3"/>
        <v>23174.051400000018</v>
      </c>
      <c r="R40" s="123">
        <f>IFERROR(INDEX('Ведомость расчета мин. платы'!$B$10:$AD$214,MATCH(B40,'Ведомость расчета мин. платы'!$B$10:$B$214,0),29),"")</f>
        <v>1.54</v>
      </c>
      <c r="S40" s="218">
        <f t="shared" si="4"/>
        <v>1326.1310000000001</v>
      </c>
    </row>
    <row r="41" spans="2:19" ht="15" customHeight="1" x14ac:dyDescent="0.2">
      <c r="B41" s="113">
        <v>38</v>
      </c>
      <c r="C41" s="209" t="str">
        <f>IFERROR(INDEX('Ведомость расчета мин. платы'!$B$10:$AB$214,MATCH(Коэффициенты!$B41,'Ведомость расчета мин. платы'!$B$10:$B$214,0),2),"")</f>
        <v>Тимерликовское</v>
      </c>
      <c r="D41" s="113">
        <f>IFERROR(INDEX('Ведомость расчета мин. платы'!$B$10:$AB$214,MATCH(Коэффициенты!$B41,'Ведомость расчета мин. платы'!$B$10:$B$214,0),3),"")</f>
        <v>16</v>
      </c>
      <c r="E41" s="113">
        <f>IFERROR(INDEX('Ведомость расчета мин. платы'!$B$10:$AB$214,MATCH(Коэффициенты!$B41,'Ведомость расчета мин. платы'!$B$10:$B$214,0),4),"")</f>
        <v>9</v>
      </c>
      <c r="F41" s="113">
        <f>IFERROR(INDEX('Ведомость расчета мин. платы'!$B$10:$AB$214,MATCH(Коэффициенты!$B41,'Ведомость расчета мин. платы'!$B$10:$B$214,0),5),"")</f>
        <v>3</v>
      </c>
      <c r="G41" s="210">
        <f>IFERROR(INDEX('Ведомость расчета мин. платы'!$B$10:$AB$214,MATCH(Коэффициенты!$B41,'Ведомость расчета мин. платы'!$B$10:$B$214,0),6),"")</f>
        <v>3.3</v>
      </c>
      <c r="H41" s="209">
        <f>SUMIFS('Ведомость расчета мин. платы'!S:S,'Ведомость расчета мин. платы'!J:J,"Итого",'Ведомость расчета мин. платы'!AC:AC,O41)</f>
        <v>14457.369999999999</v>
      </c>
      <c r="I41" s="211">
        <f>(IFERROR(INDEX(ЛОТЫ!$I$5:$Y$2073,MATCH(B41,ЛОТЫ!$K$5:$K$2073,0),15),""))</f>
        <v>1.7999999999999998</v>
      </c>
      <c r="J41" s="183">
        <f>(IFERROR(INDEX(ЛОТЫ!$I$5:$Y$2073,MATCH(B41,ЛОТЫ!$K$5:$K$2073,0),16),""))</f>
        <v>26023.265999999996</v>
      </c>
      <c r="K41" s="219"/>
      <c r="L41" s="212">
        <f>SUMIFS('Ведомость расчета мин. платы'!Q:Q,'Ведомость расчета мин. платы'!J:J,"Итого",'Ведомость расчета мин. платы'!AC:AC,O41)</f>
        <v>791.68</v>
      </c>
      <c r="M41" s="219"/>
      <c r="N41" s="211" t="str">
        <f>IFERROR(INDEX('Ведомость расчета мин. платы'!$B$10:$AB$214,MATCH(Коэффициенты!B41,'Ведомость расчета мин. платы'!$B$10:$B$214,0),22),"")</f>
        <v>мл</v>
      </c>
      <c r="O41" s="217" t="str">
        <f t="shared" si="0"/>
        <v>Тимерликовское/16/9/3</v>
      </c>
      <c r="P41" s="211">
        <f>(IFERROR(INDEX(ЛОТЫ!$I$5:$Y$2073,MATCH(B41,ЛОТЫ!$K$5:$K$2073,0),17),""))</f>
        <v>32.870940278900562</v>
      </c>
      <c r="Q41" s="213">
        <f t="shared" si="3"/>
        <v>11565.895999999997</v>
      </c>
      <c r="R41" s="123">
        <f>IFERROR(INDEX('Ведомость расчета мин. платы'!$B$10:$AD$214,MATCH(B41,'Ведомость расчета мин. платы'!$B$10:$B$214,0),29),"")</f>
        <v>0.86</v>
      </c>
      <c r="S41" s="218">
        <f t="shared" si="4"/>
        <v>653.16899999999998</v>
      </c>
    </row>
    <row r="42" spans="2:19" ht="15" customHeight="1" x14ac:dyDescent="0.2">
      <c r="B42" s="113">
        <v>39</v>
      </c>
      <c r="C42" s="209" t="str">
        <f>IFERROR(INDEX('Ведомость расчета мин. платы'!$B$10:$AB$214,MATCH(Коэффициенты!$B42,'Ведомость расчета мин. платы'!$B$10:$B$214,0),2),"")</f>
        <v>Тимерликовское</v>
      </c>
      <c r="D42" s="113">
        <f>IFERROR(INDEX('Ведомость расчета мин. платы'!$B$10:$AB$214,MATCH(Коэффициенты!$B42,'Ведомость расчета мин. платы'!$B$10:$B$214,0),3),"")</f>
        <v>16</v>
      </c>
      <c r="E42" s="113">
        <f>IFERROR(INDEX('Ведомость расчета мин. платы'!$B$10:$AB$214,MATCH(Коэффициенты!$B42,'Ведомость расчета мин. платы'!$B$10:$B$214,0),4),"")</f>
        <v>9</v>
      </c>
      <c r="F42" s="113">
        <f>IFERROR(INDEX('Ведомость расчета мин. платы'!$B$10:$AB$214,MATCH(Коэффициенты!$B42,'Ведомость расчета мин. платы'!$B$10:$B$214,0),5),"")</f>
        <v>4</v>
      </c>
      <c r="G42" s="210">
        <f>IFERROR(INDEX('Ведомость расчета мин. платы'!$B$10:$AB$214,MATCH(Коэффициенты!$B42,'Ведомость расчета мин. платы'!$B$10:$B$214,0),6),"")</f>
        <v>2.8</v>
      </c>
      <c r="H42" s="209">
        <f>SUMIFS('Ведомость расчета мин. платы'!S:S,'Ведомость расчета мин. платы'!J:J,"Итого",'Ведомость расчета мин. платы'!AC:AC,O42)</f>
        <v>12484.81</v>
      </c>
      <c r="I42" s="211">
        <f>(IFERROR(INDEX(ЛОТЫ!$I$5:$Y$2073,MATCH(B42,ЛОТЫ!$K$5:$K$2073,0),15),""))</f>
        <v>1.7700000000000005</v>
      </c>
      <c r="J42" s="183">
        <f>(IFERROR(INDEX(ЛОТЫ!$I$5:$Y$2073,MATCH(B42,ЛОТЫ!$K$5:$K$2073,0),16),""))</f>
        <v>22098.113700000005</v>
      </c>
      <c r="K42" s="219"/>
      <c r="L42" s="212">
        <f>SUMIFS('Ведомость расчета мин. платы'!Q:Q,'Ведомость расчета мин. платы'!J:J,"Итого",'Ведомость расчета мин. платы'!AC:AC,O42)</f>
        <v>678.8</v>
      </c>
      <c r="M42" s="219"/>
      <c r="N42" s="211" t="str">
        <f>IFERROR(INDEX('Ведомость расчета мин. платы'!$B$10:$AB$214,MATCH(Коэффициенты!B42,'Ведомость расчета мин. платы'!$B$10:$B$214,0),22),"")</f>
        <v>мл</v>
      </c>
      <c r="O42" s="217" t="str">
        <f t="shared" si="0"/>
        <v>Тимерликовское/16/9/4</v>
      </c>
      <c r="P42" s="211">
        <f>(IFERROR(INDEX(ЛОТЫ!$I$5:$Y$2073,MATCH(B42,ЛОТЫ!$K$5:$K$2073,0),17),""))</f>
        <v>32.554675456688287</v>
      </c>
      <c r="Q42" s="213">
        <f t="shared" si="3"/>
        <v>9613.3037000000058</v>
      </c>
      <c r="R42" s="123">
        <f>IFERROR(INDEX('Ведомость расчета мин. платы'!$B$10:$AD$214,MATCH(B42,'Ведомость расчета мин. платы'!$B$10:$B$214,0),29),"")</f>
        <v>0.76</v>
      </c>
      <c r="S42" s="218">
        <f t="shared" si="4"/>
        <v>554.20399999999995</v>
      </c>
    </row>
    <row r="43" spans="2:19" ht="15" customHeight="1" x14ac:dyDescent="0.2">
      <c r="B43" s="113">
        <v>40</v>
      </c>
      <c r="C43" s="209" t="str">
        <f>IFERROR(INDEX('Ведомость расчета мин. платы'!$B$10:$AB$214,MATCH(Коэффициенты!$B43,'Ведомость расчета мин. платы'!$B$10:$B$214,0),2),"")</f>
        <v>Тимерликовское</v>
      </c>
      <c r="D43" s="113">
        <f>IFERROR(INDEX('Ведомость расчета мин. платы'!$B$10:$AB$214,MATCH(Коэффициенты!$B43,'Ведомость расчета мин. платы'!$B$10:$B$214,0),3),"")</f>
        <v>16</v>
      </c>
      <c r="E43" s="113">
        <f>IFERROR(INDEX('Ведомость расчета мин. платы'!$B$10:$AB$214,MATCH(Коэффициенты!$B43,'Ведомость расчета мин. платы'!$B$10:$B$214,0),4),"")</f>
        <v>9</v>
      </c>
      <c r="F43" s="113">
        <f>IFERROR(INDEX('Ведомость расчета мин. платы'!$B$10:$AB$214,MATCH(Коэффициенты!$B43,'Ведомость расчета мин. платы'!$B$10:$B$214,0),5),"")</f>
        <v>5</v>
      </c>
      <c r="G43" s="210">
        <f>IFERROR(INDEX('Ведомость расчета мин. платы'!$B$10:$AB$214,MATCH(Коэффициенты!$B43,'Ведомость расчета мин. платы'!$B$10:$B$214,0),6),"")</f>
        <v>2.8</v>
      </c>
      <c r="H43" s="209">
        <f>SUMIFS('Ведомость расчета мин. платы'!S:S,'Ведомость расчета мин. платы'!J:J,"Итого",'Ведомость расчета мин. платы'!AC:AC,O43)</f>
        <v>12109.3</v>
      </c>
      <c r="I43" s="211">
        <f>(IFERROR(INDEX(ЛОТЫ!$I$5:$Y$2073,MATCH(B43,ЛОТЫ!$K$5:$K$2073,0),15),""))</f>
        <v>1.8100000000000005</v>
      </c>
      <c r="J43" s="183">
        <f>(IFERROR(INDEX(ЛОТЫ!$I$5:$Y$2073,MATCH(B43,ЛОТЫ!$K$5:$K$2073,0),16),""))</f>
        <v>21917.833000000006</v>
      </c>
      <c r="K43" s="219"/>
      <c r="L43" s="212">
        <f>SUMIFS('Ведомость расчета мин. платы'!Q:Q,'Ведомость расчета мин. платы'!J:J,"Итого",'Ведомость расчета мин. платы'!AC:AC,O43)</f>
        <v>651.17999999999995</v>
      </c>
      <c r="M43" s="219"/>
      <c r="N43" s="211" t="str">
        <f>IFERROR(INDEX('Ведомость расчета мин. платы'!$B$10:$AB$214,MATCH(Коэффициенты!B43,'Ведомость расчета мин. платы'!$B$10:$B$214,0),22),"")</f>
        <v>мл</v>
      </c>
      <c r="O43" s="217" t="str">
        <f t="shared" si="0"/>
        <v>Тимерликовское/16/9/5</v>
      </c>
      <c r="P43" s="211">
        <f>(IFERROR(INDEX(ЛОТЫ!$I$5:$Y$2073,MATCH(B43,ЛОТЫ!$K$5:$K$2073,0),17),""))</f>
        <v>33.658639700236506</v>
      </c>
      <c r="Q43" s="213">
        <f t="shared" si="3"/>
        <v>9808.5330000000067</v>
      </c>
      <c r="R43" s="123">
        <f>IFERROR(INDEX('Ведомость расчета мин. платы'!$B$10:$AD$214,MATCH(B43,'Ведомость расчета мин. платы'!$B$10:$B$214,0),29),"")</f>
        <v>0.76</v>
      </c>
      <c r="S43" s="218">
        <f t="shared" si="4"/>
        <v>554.20399999999995</v>
      </c>
    </row>
    <row r="44" spans="2:19" ht="15" customHeight="1" x14ac:dyDescent="0.2">
      <c r="B44" s="113">
        <v>41</v>
      </c>
      <c r="C44" s="209" t="str">
        <f>IFERROR(INDEX('Ведомость расчета мин. платы'!$B$10:$AB$214,MATCH(Коэффициенты!$B44,'Ведомость расчета мин. платы'!$B$10:$B$214,0),2),"")</f>
        <v>Тимерликовское</v>
      </c>
      <c r="D44" s="113">
        <f>IFERROR(INDEX('Ведомость расчета мин. платы'!$B$10:$AB$214,MATCH(Коэффициенты!$B44,'Ведомость расчета мин. платы'!$B$10:$B$214,0),3),"")</f>
        <v>115</v>
      </c>
      <c r="E44" s="113">
        <f>IFERROR(INDEX('Ведомость расчета мин. платы'!$B$10:$AB$214,MATCH(Коэффициенты!$B44,'Ведомость расчета мин. платы'!$B$10:$B$214,0),4),"")</f>
        <v>6</v>
      </c>
      <c r="F44" s="113">
        <f>IFERROR(INDEX('Ведомость расчета мин. платы'!$B$10:$AB$214,MATCH(Коэффициенты!$B44,'Ведомость расчета мин. платы'!$B$10:$B$214,0),5),"")</f>
        <v>1</v>
      </c>
      <c r="G44" s="210">
        <f>IFERROR(INDEX('Ведомость расчета мин. платы'!$B$10:$AB$214,MATCH(Коэффициенты!$B44,'Ведомость расчета мин. платы'!$B$10:$B$214,0),6),"")</f>
        <v>4</v>
      </c>
      <c r="H44" s="209">
        <f>SUMIFS('Ведомость расчета мин. платы'!S:S,'Ведомость расчета мин. платы'!J:J,"Итого",'Ведомость расчета мин. платы'!AC:AC,O44)</f>
        <v>9114.89</v>
      </c>
      <c r="I44" s="211">
        <f>(IFERROR(INDEX(ЛОТЫ!$I$5:$Y$2073,MATCH(B44,ЛОТЫ!$K$5:$K$2073,0),15),""))</f>
        <v>2.5199999999999996</v>
      </c>
      <c r="J44" s="183">
        <f>(IFERROR(INDEX(ЛОТЫ!$I$5:$Y$2073,MATCH(B44,ЛОТЫ!$K$5:$K$2073,0),16),""))</f>
        <v>22969.522799999995</v>
      </c>
      <c r="K44" s="219"/>
      <c r="L44" s="212">
        <f>SUMIFS('Ведомость расчета мин. платы'!Q:Q,'Ведомость расчета мин. платы'!J:J,"Итого",'Ведомость расчета мин. платы'!AC:AC,O44)</f>
        <v>630.75</v>
      </c>
      <c r="M44" s="219"/>
      <c r="N44" s="211" t="str">
        <f>IFERROR(INDEX('Ведомость расчета мин. платы'!$B$10:$AB$214,MATCH(Коэффициенты!B44,'Ведомость расчета мин. платы'!$B$10:$B$214,0),22),"")</f>
        <v>мл</v>
      </c>
      <c r="O44" s="217" t="str">
        <f t="shared" si="0"/>
        <v>Тимерликовское/115/6/1</v>
      </c>
      <c r="P44" s="211">
        <f>(IFERROR(INDEX(ЛОТЫ!$I$5:$Y$2073,MATCH(B44,ЛОТЫ!$K$5:$K$2073,0),17),""))</f>
        <v>36.416207372175975</v>
      </c>
      <c r="Q44" s="213">
        <f t="shared" si="3"/>
        <v>13854.632799999996</v>
      </c>
      <c r="R44" s="123">
        <f>IFERROR(INDEX('Ведомость расчета мин. платы'!$B$10:$AD$214,MATCH(B44,'Ведомость расчета мин. платы'!$B$10:$B$214,0),29),"")</f>
        <v>0.99</v>
      </c>
      <c r="S44" s="218">
        <f t="shared" si="4"/>
        <v>791.72</v>
      </c>
    </row>
    <row r="45" spans="2:19" ht="15" customHeight="1" x14ac:dyDescent="0.2">
      <c r="B45" s="113">
        <v>42</v>
      </c>
      <c r="C45" s="209" t="str">
        <f>IFERROR(INDEX('Ведомость расчета мин. платы'!$B$10:$AB$214,MATCH(Коэффициенты!$B45,'Ведомость расчета мин. платы'!$B$10:$B$214,0),2),"")</f>
        <v>Тимерликовское</v>
      </c>
      <c r="D45" s="113">
        <f>IFERROR(INDEX('Ведомость расчета мин. платы'!$B$10:$AB$214,MATCH(Коэффициенты!$B45,'Ведомость расчета мин. платы'!$B$10:$B$214,0),3),"")</f>
        <v>115</v>
      </c>
      <c r="E45" s="113">
        <f>IFERROR(INDEX('Ведомость расчета мин. платы'!$B$10:$AB$214,MATCH(Коэффициенты!$B45,'Ведомость расчета мин. платы'!$B$10:$B$214,0),4),"")</f>
        <v>6</v>
      </c>
      <c r="F45" s="113">
        <f>IFERROR(INDEX('Ведомость расчета мин. платы'!$B$10:$AB$214,MATCH(Коэффициенты!$B45,'Ведомость расчета мин. платы'!$B$10:$B$214,0),5),"")</f>
        <v>3</v>
      </c>
      <c r="G45" s="210">
        <f>IFERROR(INDEX('Ведомость расчета мин. платы'!$B$10:$AB$214,MATCH(Коэффициенты!$B45,'Ведомость расчета мин. платы'!$B$10:$B$214,0),6),"")</f>
        <v>3.2</v>
      </c>
      <c r="H45" s="209">
        <f>SUMIFS('Ведомость расчета мин. платы'!S:S,'Ведомость расчета мин. платы'!J:J,"Итого",'Ведомость расчета мин. платы'!AC:AC,O45)</f>
        <v>6704.51</v>
      </c>
      <c r="I45" s="211">
        <f>(IFERROR(INDEX(ЛОТЫ!$I$5:$Y$2073,MATCH(B45,ЛОТЫ!$K$5:$K$2073,0),15),""))</f>
        <v>2.6500000000000004</v>
      </c>
      <c r="J45" s="183">
        <f>(IFERROR(INDEX(ЛОТЫ!$I$5:$Y$2073,MATCH(B45,ЛОТЫ!$K$5:$K$2073,0),16),""))</f>
        <v>17766.951500000003</v>
      </c>
      <c r="K45" s="219"/>
      <c r="L45" s="212">
        <f>SUMIFS('Ведомость расчета мин. платы'!Q:Q,'Ведомость расчета мин. платы'!J:J,"Итого",'Ведомость расчета мин. платы'!AC:AC,O45)</f>
        <v>496.34000000000003</v>
      </c>
      <c r="M45" s="219"/>
      <c r="N45" s="211" t="str">
        <f>IFERROR(INDEX('Ведомость расчета мин. платы'!$B$10:$AB$214,MATCH(Коэффициенты!B45,'Ведомость расчета мин. платы'!$B$10:$B$214,0),22),"")</f>
        <v>мл</v>
      </c>
      <c r="O45" s="217" t="str">
        <f t="shared" si="0"/>
        <v>Тимерликовское/115/6/3</v>
      </c>
      <c r="P45" s="211">
        <f>(IFERROR(INDEX(ЛОТЫ!$I$5:$Y$2073,MATCH(B45,ЛОТЫ!$K$5:$K$2073,0),17),""))</f>
        <v>35.795929201756863</v>
      </c>
      <c r="Q45" s="213">
        <f t="shared" si="3"/>
        <v>11062.441500000003</v>
      </c>
      <c r="R45" s="123">
        <f>IFERROR(INDEX('Ведомость расчета мин. платы'!$B$10:$AD$214,MATCH(B45,'Ведомость расчета мин. платы'!$B$10:$B$214,0),29),"")</f>
        <v>0.9</v>
      </c>
      <c r="S45" s="218">
        <f t="shared" si="4"/>
        <v>633.37600000000009</v>
      </c>
    </row>
    <row r="46" spans="2:19" ht="15" customHeight="1" x14ac:dyDescent="0.2">
      <c r="B46" s="113">
        <v>43</v>
      </c>
      <c r="C46" s="209" t="str">
        <f>IFERROR(INDEX('Ведомость расчета мин. платы'!$B$10:$AB$214,MATCH(Коэффициенты!$B46,'Ведомость расчета мин. платы'!$B$10:$B$214,0),2),"")</f>
        <v>Тумбинское</v>
      </c>
      <c r="D46" s="113">
        <f>IFERROR(INDEX('Ведомость расчета мин. платы'!$B$10:$AB$214,MATCH(Коэффициенты!$B46,'Ведомость расчета мин. платы'!$B$10:$B$214,0),3),"")</f>
        <v>3</v>
      </c>
      <c r="E46" s="113">
        <f>IFERROR(INDEX('Ведомость расчета мин. платы'!$B$10:$AB$214,MATCH(Коэффициенты!$B46,'Ведомость расчета мин. платы'!$B$10:$B$214,0),4),"")</f>
        <v>3</v>
      </c>
      <c r="F46" s="113">
        <f>IFERROR(INDEX('Ведомость расчета мин. платы'!$B$10:$AB$214,MATCH(Коэффициенты!$B46,'Ведомость расчета мин. платы'!$B$10:$B$214,0),5),"")</f>
        <v>1</v>
      </c>
      <c r="G46" s="210">
        <f>IFERROR(INDEX('Ведомость расчета мин. платы'!$B$10:$AB$214,MATCH(Коэффициенты!$B46,'Ведомость расчета мин. платы'!$B$10:$B$214,0),6),"")</f>
        <v>10</v>
      </c>
      <c r="H46" s="209">
        <f>SUMIFS('Ведомость расчета мин. платы'!S:S,'Ведомость расчета мин. платы'!J:J,"Итого",'Ведомость расчета мин. платы'!AC:AC,O46)</f>
        <v>18840.22</v>
      </c>
      <c r="I46" s="211">
        <f>(IFERROR(INDEX(ЛОТЫ!$I$5:$Y$2073,MATCH(B46,ЛОТЫ!$K$5:$K$2073,0),15),""))</f>
        <v>2.83</v>
      </c>
      <c r="J46" s="183">
        <f>(IFERROR(INDEX(ЛОТЫ!$I$5:$Y$2073,MATCH(B46,ЛОТЫ!$K$5:$K$2073,0),16),""))</f>
        <v>53317.822600000007</v>
      </c>
      <c r="K46" s="219"/>
      <c r="L46" s="212">
        <f>SUMIFS('Ведомость расчета мин. платы'!Q:Q,'Ведомость расчета мин. платы'!J:J,"Итого",'Ведомость расчета мин. платы'!AC:AC,O46)</f>
        <v>1607.49</v>
      </c>
      <c r="M46" s="219"/>
      <c r="N46" s="211" t="str">
        <f>IFERROR(INDEX('Ведомость расчета мин. платы'!$B$10:$AB$214,MATCH(Коэффициенты!B46,'Ведомость расчета мин. платы'!$B$10:$B$214,0),22),"")</f>
        <v>мл</v>
      </c>
      <c r="O46" s="217" t="str">
        <f t="shared" si="0"/>
        <v>Тумбинское/3/3/1</v>
      </c>
      <c r="P46" s="211">
        <f>(IFERROR(INDEX(ЛОТЫ!$I$5:$Y$2073,MATCH(B46,ЛОТЫ!$K$5:$K$2073,0),17),""))</f>
        <v>33.168369694368245</v>
      </c>
      <c r="Q46" s="213">
        <f t="shared" si="3"/>
        <v>34477.602600000006</v>
      </c>
      <c r="R46" s="123">
        <f>IFERROR(INDEX('Ведомость расчета мин. платы'!$B$10:$AD$214,MATCH(B46,'Ведомость расчета мин. платы'!$B$10:$B$214,0),29),"")</f>
        <v>2.2000000000000002</v>
      </c>
      <c r="S46" s="218">
        <f t="shared" si="4"/>
        <v>1979.3000000000002</v>
      </c>
    </row>
    <row r="47" spans="2:19" ht="15" customHeight="1" x14ac:dyDescent="0.2">
      <c r="B47" s="113">
        <v>44</v>
      </c>
      <c r="C47" s="209" t="str">
        <f>IFERROR(INDEX('Ведомость расчета мин. платы'!$B$10:$AB$214,MATCH(Коэффициенты!$B47,'Ведомость расчета мин. платы'!$B$10:$B$214,0),2),"")</f>
        <v>Тумбинское</v>
      </c>
      <c r="D47" s="113">
        <f>IFERROR(INDEX('Ведомость расчета мин. платы'!$B$10:$AB$214,MATCH(Коэффициенты!$B47,'Ведомость расчета мин. платы'!$B$10:$B$214,0),3),"")</f>
        <v>4</v>
      </c>
      <c r="E47" s="113">
        <f>IFERROR(INDEX('Ведомость расчета мин. платы'!$B$10:$AB$214,MATCH(Коэффициенты!$B47,'Ведомость расчета мин. платы'!$B$10:$B$214,0),4),"")</f>
        <v>1</v>
      </c>
      <c r="F47" s="113">
        <f>IFERROR(INDEX('Ведомость расчета мин. платы'!$B$10:$AB$214,MATCH(Коэффициенты!$B47,'Ведомость расчета мин. платы'!$B$10:$B$214,0),5),"")</f>
        <v>1</v>
      </c>
      <c r="G47" s="210">
        <f>IFERROR(INDEX('Ведомость расчета мин. платы'!$B$10:$AB$214,MATCH(Коэффициенты!$B47,'Ведомость расчета мин. платы'!$B$10:$B$214,0),6),"")</f>
        <v>10</v>
      </c>
      <c r="H47" s="209">
        <f>SUMIFS('Ведомость расчета мин. платы'!S:S,'Ведомость расчета мин. платы'!J:J,"Итого",'Ведомость расчета мин. платы'!AC:AC,O47)</f>
        <v>19478.16</v>
      </c>
      <c r="I47" s="211">
        <f>(IFERROR(INDEX(ЛОТЫ!$I$5:$Y$2073,MATCH(B47,ЛОТЫ!$K$5:$K$2073,0),15),""))</f>
        <v>2.76</v>
      </c>
      <c r="J47" s="183">
        <f>(IFERROR(INDEX(ЛОТЫ!$I$5:$Y$2073,MATCH(B47,ЛОТЫ!$K$5:$K$2073,0),16),""))</f>
        <v>53759.721599999997</v>
      </c>
      <c r="K47" s="219"/>
      <c r="L47" s="212">
        <f>SUMIFS('Ведомость расчета мин. платы'!Q:Q,'Ведомость расчета мин. платы'!J:J,"Итого",'Ведомость расчета мин. платы'!AC:AC,O47)</f>
        <v>1428.25</v>
      </c>
      <c r="M47" s="219"/>
      <c r="N47" s="211" t="str">
        <f>IFERROR(INDEX('Ведомость расчета мин. платы'!$B$10:$AB$214,MATCH(Коэффициенты!B47,'Ведомость расчета мин. платы'!$B$10:$B$214,0),22),"")</f>
        <v>мл</v>
      </c>
      <c r="O47" s="205" t="str">
        <f t="shared" si="0"/>
        <v>Тумбинское/4/1/1</v>
      </c>
      <c r="P47" s="211">
        <f>(IFERROR(INDEX(ЛОТЫ!$I$5:$Y$2073,MATCH(B47,ЛОТЫ!$K$5:$K$2073,0),17),""))</f>
        <v>37.640274181690877</v>
      </c>
      <c r="Q47" s="213">
        <f t="shared" si="3"/>
        <v>34281.561600000001</v>
      </c>
      <c r="R47" s="123">
        <f>IFERROR(INDEX('Ведомость расчета мин. платы'!$B$10:$AD$214,MATCH(B47,'Ведомость расчета мин. платы'!$B$10:$B$214,0),29),"")</f>
        <v>2.2000000000000002</v>
      </c>
      <c r="S47" s="214">
        <f t="shared" si="4"/>
        <v>1979.3000000000002</v>
      </c>
    </row>
    <row r="48" spans="2:19" ht="15" customHeight="1" x14ac:dyDescent="0.2">
      <c r="B48" s="113">
        <v>45</v>
      </c>
      <c r="C48" s="209" t="str">
        <f>IFERROR(INDEX('Ведомость расчета мин. платы'!$B$10:$AB$214,MATCH(Коэффициенты!$B48,'Ведомость расчета мин. платы'!$B$10:$B$214,0),2),"")</f>
        <v>Тумбинское</v>
      </c>
      <c r="D48" s="113">
        <f>IFERROR(INDEX('Ведомость расчета мин. платы'!$B$10:$AB$214,MATCH(Коэффициенты!$B48,'Ведомость расчета мин. платы'!$B$10:$B$214,0),3),"")</f>
        <v>4</v>
      </c>
      <c r="E48" s="113">
        <f>IFERROR(INDEX('Ведомость расчета мин. платы'!$B$10:$AB$214,MATCH(Коэффициенты!$B48,'Ведомость расчета мин. платы'!$B$10:$B$214,0),4),"")</f>
        <v>1</v>
      </c>
      <c r="F48" s="113">
        <f>IFERROR(INDEX('Ведомость расчета мин. платы'!$B$10:$AB$214,MATCH(Коэффициенты!$B48,'Ведомость расчета мин. платы'!$B$10:$B$214,0),5),"")</f>
        <v>2</v>
      </c>
      <c r="G48" s="210">
        <f>IFERROR(INDEX('Ведомость расчета мин. платы'!$B$10:$AB$214,MATCH(Коэффициенты!$B48,'Ведомость расчета мин. платы'!$B$10:$B$214,0),6),"")</f>
        <v>10</v>
      </c>
      <c r="H48" s="209">
        <f>SUMIFS('Ведомость расчета мин. платы'!S:S,'Ведомость расчета мин. платы'!J:J,"Итого",'Ведомость расчета мин. платы'!AC:AC,O48)</f>
        <v>15686.67</v>
      </c>
      <c r="I48" s="211">
        <f>(IFERROR(INDEX(ЛОТЫ!$I$5:$Y$2073,MATCH(B48,ЛОТЫ!$K$5:$K$2073,0),15),""))</f>
        <v>3.1899999999999995</v>
      </c>
      <c r="J48" s="183">
        <f>(IFERROR(INDEX(ЛОТЫ!$I$5:$Y$2073,MATCH(B48,ЛОТЫ!$K$5:$K$2073,0),16),""))</f>
        <v>50040.477299999991</v>
      </c>
      <c r="K48" s="219"/>
      <c r="L48" s="212">
        <f>SUMIFS('Ведомость расчета мин. платы'!Q:Q,'Ведомость расчета мин. платы'!J:J,"Итого",'Ведомость расчета мин. платы'!AC:AC,O48)</f>
        <v>1418.04</v>
      </c>
      <c r="M48" s="219"/>
      <c r="N48" s="211" t="str">
        <f>IFERROR(INDEX('Ведомость расчета мин. платы'!$B$10:$AB$214,MATCH(Коэффициенты!B48,'Ведомость расчета мин. платы'!$B$10:$B$214,0),22),"")</f>
        <v>мл</v>
      </c>
      <c r="O48" s="205" t="str">
        <f t="shared" si="0"/>
        <v>Тумбинское/4/1/2</v>
      </c>
      <c r="P48" s="211">
        <f>(IFERROR(INDEX(ЛОТЫ!$I$5:$Y$2073,MATCH(B48,ЛОТЫ!$K$5:$K$2073,0),17),""))</f>
        <v>35.288480790386728</v>
      </c>
      <c r="Q48" s="213">
        <f t="shared" si="3"/>
        <v>34353.807299999993</v>
      </c>
      <c r="R48" s="123">
        <f>IFERROR(INDEX('Ведомость расчета мин. платы'!$B$10:$AD$214,MATCH(B48,'Ведомость расчета мин. платы'!$B$10:$B$214,0),29),"")</f>
        <v>2.2000000000000002</v>
      </c>
      <c r="S48" s="214">
        <f t="shared" si="4"/>
        <v>1979.3000000000002</v>
      </c>
    </row>
    <row r="49" spans="2:19" ht="15" customHeight="1" x14ac:dyDescent="0.2">
      <c r="B49" s="113">
        <v>46</v>
      </c>
      <c r="C49" s="209" t="str">
        <f>IFERROR(INDEX('Ведомость расчета мин. платы'!$B$10:$AB$214,MATCH(Коэффициенты!$B49,'Ведомость расчета мин. платы'!$B$10:$B$214,0),2),"")</f>
        <v>Тумбинское</v>
      </c>
      <c r="D49" s="113">
        <f>IFERROR(INDEX('Ведомость расчета мин. платы'!$B$10:$AB$214,MATCH(Коэффициенты!$B49,'Ведомость расчета мин. платы'!$B$10:$B$214,0),3),"")</f>
        <v>4</v>
      </c>
      <c r="E49" s="113">
        <f>IFERROR(INDEX('Ведомость расчета мин. платы'!$B$10:$AB$214,MATCH(Коэффициенты!$B49,'Ведомость расчета мин. платы'!$B$10:$B$214,0),4),"")</f>
        <v>2</v>
      </c>
      <c r="F49" s="113">
        <f>IFERROR(INDEX('Ведомость расчета мин. платы'!$B$10:$AB$214,MATCH(Коэффициенты!$B49,'Ведомость расчета мин. платы'!$B$10:$B$214,0),5),"")</f>
        <v>3</v>
      </c>
      <c r="G49" s="210">
        <f>IFERROR(INDEX('Ведомость расчета мин. платы'!$B$10:$AB$214,MATCH(Коэффициенты!$B49,'Ведомость расчета мин. платы'!$B$10:$B$214,0),6),"")</f>
        <v>4.3</v>
      </c>
      <c r="H49" s="209">
        <f>SUMIFS('Ведомость расчета мин. платы'!S:S,'Ведомость расчета мин. платы'!J:J,"Итого",'Ведомость расчета мин. платы'!AC:AC,O49)</f>
        <v>10521.720000000001</v>
      </c>
      <c r="I49" s="211">
        <f>(IFERROR(INDEX(ЛОТЫ!$I$5:$Y$2073,MATCH(B49,ЛОТЫ!$K$5:$K$2073,0),15),""))</f>
        <v>2.3900000000000006</v>
      </c>
      <c r="J49" s="183">
        <f>(IFERROR(INDEX(ЛОТЫ!$I$5:$Y$2073,MATCH(B49,ЛОТЫ!$K$5:$K$2073,0),16),""))</f>
        <v>25146.910800000009</v>
      </c>
      <c r="K49" s="219"/>
      <c r="L49" s="212">
        <f>SUMIFS('Ведомость расчета мин. платы'!Q:Q,'Ведомость расчета мин. платы'!J:J,"Итого",'Ведомость расчета мин. платы'!AC:AC,O49)</f>
        <v>1049.58</v>
      </c>
      <c r="M49" s="219"/>
      <c r="N49" s="211" t="str">
        <f>IFERROR(INDEX('Ведомость расчета мин. платы'!$B$10:$AB$214,MATCH(Коэффициенты!B49,'Ведомость расчета мин. платы'!$B$10:$B$214,0),22),"")</f>
        <v>мл</v>
      </c>
      <c r="O49" s="205" t="str">
        <f t="shared" si="0"/>
        <v>Тумбинское/4/2/3</v>
      </c>
      <c r="P49" s="211">
        <f>(IFERROR(INDEX(ЛОТЫ!$I$5:$Y$2073,MATCH(B49,ЛОТЫ!$K$5:$K$2073,0),17),""))</f>
        <v>23.959022466129319</v>
      </c>
      <c r="Q49" s="213">
        <f t="shared" si="3"/>
        <v>14625.190800000008</v>
      </c>
      <c r="R49" s="123">
        <f>IFERROR(INDEX('Ведомость расчета мин. платы'!$B$10:$AD$214,MATCH(B49,'Ведомость расчета мин. платы'!$B$10:$B$214,0),29),"")</f>
        <v>0.67</v>
      </c>
      <c r="S49" s="214">
        <f t="shared" si="4"/>
        <v>851.09900000000005</v>
      </c>
    </row>
    <row r="50" spans="2:19" ht="15" customHeight="1" x14ac:dyDescent="0.2">
      <c r="B50" s="113">
        <v>47</v>
      </c>
      <c r="C50" s="209" t="str">
        <f>IFERROR(INDEX('Ведомость расчета мин. платы'!$B$10:$AB$214,MATCH(Коэффициенты!$B50,'Ведомость расчета мин. платы'!$B$10:$B$214,0),2),"")</f>
        <v>Тумбинское</v>
      </c>
      <c r="D50" s="113">
        <f>IFERROR(INDEX('Ведомость расчета мин. платы'!$B$10:$AB$214,MATCH(Коэффициенты!$B50,'Ведомость расчета мин. платы'!$B$10:$B$214,0),3),"")</f>
        <v>54</v>
      </c>
      <c r="E50" s="113">
        <f>IFERROR(INDEX('Ведомость расчета мин. платы'!$B$10:$AB$214,MATCH(Коэффициенты!$B50,'Ведомость расчета мин. платы'!$B$10:$B$214,0),4),"")</f>
        <v>9</v>
      </c>
      <c r="F50" s="113">
        <f>IFERROR(INDEX('Ведомость расчета мин. платы'!$B$10:$AB$214,MATCH(Коэффициенты!$B50,'Ведомость расчета мин. платы'!$B$10:$B$214,0),5),"")</f>
        <v>1</v>
      </c>
      <c r="G50" s="210">
        <f>IFERROR(INDEX('Ведомость расчета мин. платы'!$B$10:$AB$214,MATCH(Коэффициенты!$B50,'Ведомость расчета мин. платы'!$B$10:$B$214,0),6),"")</f>
        <v>7.7</v>
      </c>
      <c r="H50" s="209">
        <f>SUMIFS('Ведомость расчета мин. платы'!S:S,'Ведомость расчета мин. платы'!J:J,"Итого",'Ведомость расчета мин. платы'!AC:AC,O50)</f>
        <v>12233.7</v>
      </c>
      <c r="I50" s="211">
        <f>(IFERROR(INDEX(ЛОТЫ!$I$5:$Y$2073,MATCH(B50,ЛОТЫ!$K$5:$K$2073,0),15),""))</f>
        <v>3.16</v>
      </c>
      <c r="J50" s="183">
        <f>(IFERROR(INDEX(ЛОТЫ!$I$5:$Y$2073,MATCH(B50,ЛОТЫ!$K$5:$K$2073,0),16),""))</f>
        <v>38658.492000000006</v>
      </c>
      <c r="K50" s="219"/>
      <c r="L50" s="212">
        <f>SUMIFS('Ведомость расчета мин. платы'!Q:Q,'Ведомость расчета мин. платы'!J:J,"Итого",'Ведомость расчета мин. платы'!AC:AC,O50)</f>
        <v>1212.68</v>
      </c>
      <c r="M50" s="219"/>
      <c r="N50" s="211" t="str">
        <f>IFERROR(INDEX('Ведомость расчета мин. платы'!$B$10:$AB$214,MATCH(Коэффициенты!B50,'Ведомость расчета мин. платы'!$B$10:$B$214,0),22),"")</f>
        <v>мл</v>
      </c>
      <c r="O50" s="205" t="str">
        <f t="shared" si="0"/>
        <v>Тумбинское/54/9/1</v>
      </c>
      <c r="P50" s="211">
        <f>(IFERROR(INDEX(ЛОТЫ!$I$5:$Y$2073,MATCH(B50,ЛОТЫ!$K$5:$K$2073,0),17),""))</f>
        <v>31.878559883893526</v>
      </c>
      <c r="Q50" s="213">
        <f t="shared" si="3"/>
        <v>26424.792000000005</v>
      </c>
      <c r="R50" s="123">
        <f>IFERROR(INDEX('Ведомость расчета мин. платы'!$B$10:$AD$214,MATCH(B50,'Ведомость расчета мин. платы'!$B$10:$B$214,0),29),"")</f>
        <v>1.74</v>
      </c>
      <c r="S50" s="214">
        <f t="shared" si="4"/>
        <v>1524.0610000000001</v>
      </c>
    </row>
    <row r="51" spans="2:19" ht="15" customHeight="1" x14ac:dyDescent="0.2">
      <c r="B51" s="113">
        <v>48</v>
      </c>
      <c r="C51" s="209" t="str">
        <f>IFERROR(INDEX('Ведомость расчета мин. платы'!$B$10:$AB$214,MATCH(Коэффициенты!$B51,'Ведомость расчета мин. платы'!$B$10:$B$214,0),2),"")</f>
        <v>Тумбинское</v>
      </c>
      <c r="D51" s="113">
        <f>IFERROR(INDEX('Ведомость расчета мин. платы'!$B$10:$AB$214,MATCH(Коэффициенты!$B51,'Ведомость расчета мин. платы'!$B$10:$B$214,0),3),"")</f>
        <v>54</v>
      </c>
      <c r="E51" s="113">
        <f>IFERROR(INDEX('Ведомость расчета мин. платы'!$B$10:$AB$214,MATCH(Коэффициенты!$B51,'Ведомость расчета мин. платы'!$B$10:$B$214,0),4),"")</f>
        <v>9</v>
      </c>
      <c r="F51" s="113">
        <f>IFERROR(INDEX('Ведомость расчета мин. платы'!$B$10:$AB$214,MATCH(Коэффициенты!$B51,'Ведомость расчета мин. платы'!$B$10:$B$214,0),5),"")</f>
        <v>2</v>
      </c>
      <c r="G51" s="210">
        <f>IFERROR(INDEX('Ведомость расчета мин. платы'!$B$10:$AB$214,MATCH(Коэффициенты!$B51,'Ведомость расчета мин. платы'!$B$10:$B$214,0),6),"")</f>
        <v>6.5</v>
      </c>
      <c r="H51" s="209">
        <f>SUMIFS('Ведомость расчета мин. платы'!S:S,'Ведомость расчета мин. платы'!J:J,"Итого",'Ведомость расчета мин. платы'!AC:AC,O51)</f>
        <v>12449.79</v>
      </c>
      <c r="I51" s="211">
        <f>(IFERROR(INDEX(ЛОТЫ!$I$5:$Y$2073,MATCH(B51,ЛОТЫ!$K$5:$K$2073,0),15),""))</f>
        <v>2.7900000000000009</v>
      </c>
      <c r="J51" s="183">
        <f>(IFERROR(INDEX(ЛОТЫ!$I$5:$Y$2073,MATCH(B51,ЛОТЫ!$K$5:$K$2073,0),16),""))</f>
        <v>34734.914100000016</v>
      </c>
      <c r="K51" s="219"/>
      <c r="L51" s="212">
        <f>SUMIFS('Ведомость расчета мин. платы'!Q:Q,'Ведомость расчета мин. платы'!J:J,"Итого",'Ведомость расчета мин. платы'!AC:AC,O51)</f>
        <v>1163.0900000000001</v>
      </c>
      <c r="M51" s="219"/>
      <c r="N51" s="211" t="str">
        <f>IFERROR(INDEX('Ведомость расчета мин. платы'!$B$10:$AB$214,MATCH(Коэффициенты!B51,'Ведомость расчета мин. платы'!$B$10:$B$214,0),22),"")</f>
        <v>мл</v>
      </c>
      <c r="O51" s="205" t="str">
        <f t="shared" si="0"/>
        <v>Тумбинское/54/9/2</v>
      </c>
      <c r="P51" s="211">
        <f>(IFERROR(INDEX(ЛОТЫ!$I$5:$Y$2073,MATCH(B51,ЛОТЫ!$K$5:$K$2073,0),17),""))</f>
        <v>29.864339045129793</v>
      </c>
      <c r="Q51" s="213">
        <f t="shared" si="3"/>
        <v>22285.124100000015</v>
      </c>
      <c r="R51" s="123">
        <f>IFERROR(INDEX('Ведомость расчета мин. платы'!$B$10:$AD$214,MATCH(B51,'Ведомость расчета мин. платы'!$B$10:$B$214,0),29),"")</f>
        <v>1.5</v>
      </c>
      <c r="S51" s="214">
        <f t="shared" si="4"/>
        <v>1286.5450000000001</v>
      </c>
    </row>
    <row r="52" spans="2:19" ht="15" customHeight="1" x14ac:dyDescent="0.2">
      <c r="B52" s="113">
        <v>49</v>
      </c>
      <c r="C52" s="209" t="str">
        <f>IFERROR(INDEX('Ведомость расчета мин. платы'!$B$10:$AB$214,MATCH(Коэффициенты!$B52,'Ведомость расчета мин. платы'!$B$10:$B$214,0),2),"")</f>
        <v>Тумбинское</v>
      </c>
      <c r="D52" s="113">
        <f>IFERROR(INDEX('Ведомость расчета мин. платы'!$B$10:$AB$214,MATCH(Коэффициенты!$B52,'Ведомость расчета мин. платы'!$B$10:$B$214,0),3),"")</f>
        <v>57</v>
      </c>
      <c r="E52" s="113">
        <f>IFERROR(INDEX('Ведомость расчета мин. платы'!$B$10:$AB$214,MATCH(Коэффициенты!$B52,'Ведомость расчета мин. платы'!$B$10:$B$214,0),4),"")</f>
        <v>19</v>
      </c>
      <c r="F52" s="113">
        <f>IFERROR(INDEX('Ведомость расчета мин. платы'!$B$10:$AB$214,MATCH(Коэффициенты!$B52,'Ведомость расчета мин. платы'!$B$10:$B$214,0),5),"")</f>
        <v>1</v>
      </c>
      <c r="G52" s="210">
        <f>IFERROR(INDEX('Ведомость расчета мин. платы'!$B$10:$AB$214,MATCH(Коэффициенты!$B52,'Ведомость расчета мин. платы'!$B$10:$B$214,0),6),"")</f>
        <v>3</v>
      </c>
      <c r="H52" s="209">
        <f>SUMIFS('Ведомость расчета мин. платы'!S:S,'Ведомость расчета мин. платы'!J:J,"Итого",'Ведомость расчета мин. платы'!AC:AC,O52)</f>
        <v>10934.630000000001</v>
      </c>
      <c r="I52" s="211">
        <f>(IFERROR(INDEX(ЛОТЫ!$I$5:$Y$2073,MATCH(B52,ЛОТЫ!$K$5:$K$2073,0),15),""))</f>
        <v>1.9400000000000004</v>
      </c>
      <c r="J52" s="183">
        <f>(IFERROR(INDEX(ЛОТЫ!$I$5:$Y$2073,MATCH(B52,ЛОТЫ!$K$5:$K$2073,0),16),""))</f>
        <v>21213.182200000007</v>
      </c>
      <c r="K52" s="219"/>
      <c r="L52" s="212">
        <f>SUMIFS('Ведомость расчета мин. платы'!Q:Q,'Ведомость расчета мин. платы'!J:J,"Итого",'Ведомость расчета мин. платы'!AC:AC,O52)</f>
        <v>360.1</v>
      </c>
      <c r="M52" s="219"/>
      <c r="N52" s="211" t="str">
        <f>IFERROR(INDEX('Ведомость расчета мин. платы'!$B$10:$AB$214,MATCH(Коэффициенты!B52,'Ведомость расчета мин. платы'!$B$10:$B$214,0),22),"")</f>
        <v>мл</v>
      </c>
      <c r="O52" s="205" t="str">
        <f t="shared" si="0"/>
        <v>Тумбинское/57/19/1</v>
      </c>
      <c r="P52" s="211">
        <f>(IFERROR(INDEX(ЛОТЫ!$I$5:$Y$2073,MATCH(B52,ЛОТЫ!$K$5:$K$2073,0),17),""))</f>
        <v>58.909142460427674</v>
      </c>
      <c r="Q52" s="213">
        <f t="shared" si="3"/>
        <v>10278.552200000006</v>
      </c>
      <c r="R52" s="123">
        <f>IFERROR(INDEX('Ведомость расчета мин. платы'!$B$10:$AD$214,MATCH(B52,'Ведомость расчета мин. платы'!$B$10:$B$214,0),29),"")</f>
        <v>0.8</v>
      </c>
      <c r="S52" s="214">
        <f t="shared" si="4"/>
        <v>593.79</v>
      </c>
    </row>
    <row r="53" spans="2:19" ht="15" customHeight="1" x14ac:dyDescent="0.2">
      <c r="B53" s="113">
        <v>50</v>
      </c>
      <c r="C53" s="209" t="str">
        <f>IFERROR(INDEX('Ведомость расчета мин. платы'!$B$10:$AB$214,MATCH(Коэффициенты!$B53,'Ведомость расчета мин. платы'!$B$10:$B$214,0),2),"")</f>
        <v>Тумбинское</v>
      </c>
      <c r="D53" s="113">
        <f>IFERROR(INDEX('Ведомость расчета мин. платы'!$B$10:$AB$214,MATCH(Коэффициенты!$B53,'Ведомость расчета мин. платы'!$B$10:$B$214,0),3),"")</f>
        <v>68</v>
      </c>
      <c r="E53" s="113">
        <f>IFERROR(INDEX('Ведомость расчета мин. платы'!$B$10:$AB$214,MATCH(Коэффициенты!$B53,'Ведомость расчета мин. платы'!$B$10:$B$214,0),4),"")</f>
        <v>7</v>
      </c>
      <c r="F53" s="113">
        <f>IFERROR(INDEX('Ведомость расчета мин. платы'!$B$10:$AB$214,MATCH(Коэффициенты!$B53,'Ведомость расчета мин. платы'!$B$10:$B$214,0),5),"")</f>
        <v>1</v>
      </c>
      <c r="G53" s="210">
        <f>IFERROR(INDEX('Ведомость расчета мин. платы'!$B$10:$AB$214,MATCH(Коэффициенты!$B53,'Ведомость расчета мин. платы'!$B$10:$B$214,0),6),"")</f>
        <v>10</v>
      </c>
      <c r="H53" s="209">
        <f>SUMIFS('Ведомость расчета мин. платы'!S:S,'Ведомость расчета мин. платы'!J:J,"Итого",'Ведомость расчета мин. платы'!AC:AC,O53)</f>
        <v>12168.29</v>
      </c>
      <c r="I53" s="211">
        <f>(IFERROR(INDEX(ЛОТЫ!$I$5:$Y$2073,MATCH(B53,ЛОТЫ!$K$5:$K$2073,0),15),""))</f>
        <v>3.8100000000000005</v>
      </c>
      <c r="J53" s="183">
        <f>(IFERROR(INDEX(ЛОТЫ!$I$5:$Y$2073,MATCH(B53,ЛОТЫ!$K$5:$K$2073,0),16),""))</f>
        <v>46361.184900000007</v>
      </c>
      <c r="K53" s="219"/>
      <c r="L53" s="212">
        <f>SUMIFS('Ведомость расчета мин. платы'!Q:Q,'Ведомость расчета мин. платы'!J:J,"Итого",'Ведомость расчета мин. платы'!AC:AC,O53)</f>
        <v>1279.9199999999998</v>
      </c>
      <c r="M53" s="219"/>
      <c r="N53" s="211" t="str">
        <f>IFERROR(INDEX('Ведомость расчета мин. платы'!$B$10:$AB$214,MATCH(Коэффициенты!B53,'Ведомость расчета мин. платы'!$B$10:$B$214,0),22),"")</f>
        <v>мл</v>
      </c>
      <c r="O53" s="205" t="str">
        <f t="shared" ref="O53:O59" si="5">CONCATENATE(C53,"/",D53,"/",E53,"/",F53)</f>
        <v>Тумбинское/68/7/1</v>
      </c>
      <c r="P53" s="211">
        <f>(IFERROR(INDEX(ЛОТЫ!$I$5:$Y$2073,MATCH(B53,ЛОТЫ!$K$5:$K$2073,0),17),""))</f>
        <v>36.221939574348404</v>
      </c>
      <c r="Q53" s="213">
        <f t="shared" ref="Q53:Q59" si="6">J53-H53</f>
        <v>34192.894900000007</v>
      </c>
      <c r="R53" s="123">
        <f>IFERROR(INDEX('Ведомость расчета мин. платы'!$B$10:$AD$214,MATCH(B53,'Ведомость расчета мин. платы'!$B$10:$B$214,0),29),"")</f>
        <v>1.84</v>
      </c>
      <c r="S53" s="214">
        <f t="shared" ref="S53:S59" si="7">G53*197.93</f>
        <v>1979.3000000000002</v>
      </c>
    </row>
    <row r="54" spans="2:19" ht="15" customHeight="1" x14ac:dyDescent="0.2">
      <c r="B54" s="113">
        <v>51</v>
      </c>
      <c r="C54" s="209" t="str">
        <f>IFERROR(INDEX('Ведомость расчета мин. платы'!$B$10:$AB$214,MATCH(Коэффициенты!$B54,'Ведомость расчета мин. платы'!$B$10:$B$214,0),2),"")</f>
        <v>Тумбинское</v>
      </c>
      <c r="D54" s="113">
        <f>IFERROR(INDEX('Ведомость расчета мин. платы'!$B$10:$AB$214,MATCH(Коэффициенты!$B54,'Ведомость расчета мин. платы'!$B$10:$B$214,0),3),"")</f>
        <v>114</v>
      </c>
      <c r="E54" s="113">
        <f>IFERROR(INDEX('Ведомость расчета мин. платы'!$B$10:$AB$214,MATCH(Коэффициенты!$B54,'Ведомость расчета мин. платы'!$B$10:$B$214,0),4),"")</f>
        <v>10</v>
      </c>
      <c r="F54" s="113">
        <f>IFERROR(INDEX('Ведомость расчета мин. платы'!$B$10:$AB$214,MATCH(Коэффициенты!$B54,'Ведомость расчета мин. платы'!$B$10:$B$214,0),5),"")</f>
        <v>1</v>
      </c>
      <c r="G54" s="210">
        <f>IFERROR(INDEX('Ведомость расчета мин. платы'!$B$10:$AB$214,MATCH(Коэффициенты!$B54,'Ведомость расчета мин. платы'!$B$10:$B$214,0),6),"")</f>
        <v>4.4000000000000004</v>
      </c>
      <c r="H54" s="209">
        <f>SUMIFS('Ведомость расчета мин. платы'!S:S,'Ведомость расчета мин. платы'!J:J,"Итого",'Ведомость расчета мин. платы'!AC:AC,O54)</f>
        <v>24950.27</v>
      </c>
      <c r="I54" s="211">
        <f>(IFERROR(INDEX(ЛОТЫ!$I$5:$Y$2073,MATCH(B54,ЛОТЫ!$K$5:$K$2073,0),15),""))</f>
        <v>1.5999999999999996</v>
      </c>
      <c r="J54" s="183">
        <f>(IFERROR(INDEX(ЛОТЫ!$I$5:$Y$2073,MATCH(B54,ЛОТЫ!$K$5:$K$2073,0),16),""))</f>
        <v>39920.431999999993</v>
      </c>
      <c r="K54" s="219"/>
      <c r="L54" s="212">
        <f>SUMIFS('Ведомость расчета мин. платы'!Q:Q,'Ведомость расчета мин. платы'!J:J,"Итого",'Ведомость расчета мин. платы'!AC:AC,O54)</f>
        <v>900.23</v>
      </c>
      <c r="M54" s="219"/>
      <c r="N54" s="211" t="str">
        <f>IFERROR(INDEX('Ведомость расчета мин. платы'!$B$10:$AB$214,MATCH(Коэффициенты!B54,'Ведомость расчета мин. платы'!$B$10:$B$214,0),22),"")</f>
        <v>мл</v>
      </c>
      <c r="O54" s="205" t="str">
        <f t="shared" si="5"/>
        <v>Тумбинское/114/10/1</v>
      </c>
      <c r="P54" s="211">
        <f>(IFERROR(INDEX(ЛОТЫ!$I$5:$Y$2073,MATCH(B54,ЛОТЫ!$K$5:$K$2073,0),17),""))</f>
        <v>44.344703020339239</v>
      </c>
      <c r="Q54" s="213">
        <f t="shared" si="6"/>
        <v>14970.161999999993</v>
      </c>
      <c r="R54" s="123">
        <f>IFERROR(INDEX('Ведомость расчета мин. платы'!$B$10:$AD$214,MATCH(B54,'Ведомость расчета мин. платы'!$B$10:$B$214,0),29),"")</f>
        <v>1.26</v>
      </c>
      <c r="S54" s="214">
        <f t="shared" si="7"/>
        <v>870.89200000000005</v>
      </c>
    </row>
    <row r="55" spans="2:19" ht="15" customHeight="1" x14ac:dyDescent="0.2">
      <c r="B55" s="113">
        <v>52</v>
      </c>
      <c r="C55" s="209" t="str">
        <f>IFERROR(INDEX('Ведомость расчета мин. платы'!$B$10:$AB$214,MATCH(Коэффициенты!$B55,'Ведомость расчета мин. платы'!$B$10:$B$214,0),2),"")</f>
        <v>Тумбинское</v>
      </c>
      <c r="D55" s="113">
        <f>IFERROR(INDEX('Ведомость расчета мин. платы'!$B$10:$AB$214,MATCH(Коэффициенты!$B55,'Ведомость расчета мин. платы'!$B$10:$B$214,0),3),"")</f>
        <v>136</v>
      </c>
      <c r="E55" s="113">
        <f>IFERROR(INDEX('Ведомость расчета мин. платы'!$B$10:$AB$214,MATCH(Коэффициенты!$B55,'Ведомость расчета мин. платы'!$B$10:$B$214,0),4),"")</f>
        <v>11</v>
      </c>
      <c r="F55" s="113">
        <f>IFERROR(INDEX('Ведомость расчета мин. платы'!$B$10:$AB$214,MATCH(Коэффициенты!$B55,'Ведомость расчета мин. платы'!$B$10:$B$214,0),5),"")</f>
        <v>1</v>
      </c>
      <c r="G55" s="210">
        <f>IFERROR(INDEX('Ведомость расчета мин. платы'!$B$10:$AB$214,MATCH(Коэффициенты!$B55,'Ведомость расчета мин. платы'!$B$10:$B$214,0),6),"")</f>
        <v>9.5</v>
      </c>
      <c r="H55" s="209">
        <f>SUMIFS('Ведомость расчета мин. платы'!S:S,'Ведомость расчета мин. платы'!J:J,"Итого",'Ведомость расчета мин. платы'!AC:AC,O55)</f>
        <v>20240.150000000001</v>
      </c>
      <c r="I55" s="211">
        <f>(IFERROR(INDEX(ЛОТЫ!$I$5:$Y$2073,MATCH(B55,ЛОТЫ!$K$5:$K$2073,0),15),""))</f>
        <v>2.59</v>
      </c>
      <c r="J55" s="183">
        <f>(IFERROR(INDEX(ЛОТЫ!$I$5:$Y$2073,MATCH(B55,ЛОТЫ!$K$5:$K$2073,0),16),""))</f>
        <v>52421.988499999999</v>
      </c>
      <c r="K55" s="219"/>
      <c r="L55" s="212">
        <f>SUMIFS('Ведомость расчета мин. платы'!Q:Q,'Ведомость расчета мин. платы'!J:J,"Итого",'Ведомость расчета мин. платы'!AC:AC,O55)</f>
        <v>1200.42</v>
      </c>
      <c r="M55" s="219"/>
      <c r="N55" s="211" t="str">
        <f>IFERROR(INDEX('Ведомость расчета мин. платы'!$B$10:$AB$214,MATCH(Коэффициенты!B55,'Ведомость расчета мин. платы'!$B$10:$B$214,0),22),"")</f>
        <v>мл</v>
      </c>
      <c r="O55" s="205" t="str">
        <f t="shared" si="5"/>
        <v>Тумбинское/136/11/1</v>
      </c>
      <c r="P55" s="211">
        <f>(IFERROR(INDEX(ЛОТЫ!$I$5:$Y$2073,MATCH(B55,ЛОТЫ!$K$5:$K$2073,0),17),""))</f>
        <v>43.669706019559818</v>
      </c>
      <c r="Q55" s="213">
        <f t="shared" si="6"/>
        <v>32181.838499999998</v>
      </c>
      <c r="R55" s="123">
        <f>IFERROR(INDEX('Ведомость расчета мин. платы'!$B$10:$AD$214,MATCH(B55,'Ведомость расчета мин. платы'!$B$10:$B$214,0),29),"")</f>
        <v>1.52</v>
      </c>
      <c r="S55" s="214">
        <f t="shared" si="7"/>
        <v>1880.335</v>
      </c>
    </row>
    <row r="56" spans="2:19" ht="15" customHeight="1" x14ac:dyDescent="0.2">
      <c r="B56" s="113">
        <v>53</v>
      </c>
      <c r="C56" s="209" t="str">
        <f>IFERROR(INDEX('Ведомость расчета мин. платы'!$B$10:$AB$214,MATCH(Коэффициенты!$B56,'Ведомость расчета мин. платы'!$B$10:$B$214,0),2),"")</f>
        <v>Чулпановское</v>
      </c>
      <c r="D56" s="113">
        <f>IFERROR(INDEX('Ведомость расчета мин. платы'!$B$10:$AB$214,MATCH(Коэффициенты!$B56,'Ведомость расчета мин. платы'!$B$10:$B$214,0),3),"")</f>
        <v>14</v>
      </c>
      <c r="E56" s="113">
        <f>IFERROR(INDEX('Ведомость расчета мин. платы'!$B$10:$AB$214,MATCH(Коэффициенты!$B56,'Ведомость расчета мин. платы'!$B$10:$B$214,0),4),"")</f>
        <v>10</v>
      </c>
      <c r="F56" s="113">
        <f>IFERROR(INDEX('Ведомость расчета мин. платы'!$B$10:$AB$214,MATCH(Коэффициенты!$B56,'Ведомость расчета мин. платы'!$B$10:$B$214,0),5),"")</f>
        <v>1</v>
      </c>
      <c r="G56" s="210">
        <f>IFERROR(INDEX('Ведомость расчета мин. платы'!$B$10:$AB$214,MATCH(Коэффициенты!$B56,'Ведомость расчета мин. платы'!$B$10:$B$214,0),6),"")</f>
        <v>9.3000000000000007</v>
      </c>
      <c r="H56" s="209">
        <f>SUMIFS('Ведомость расчета мин. платы'!S:S,'Ведомость расчета мин. платы'!J:J,"Итого",'Ведомость расчета мин. платы'!AC:AC,O56)</f>
        <v>15254.689999999999</v>
      </c>
      <c r="I56" s="211">
        <f>(IFERROR(INDEX(ЛОТЫ!$I$5:$Y$2073,MATCH(B56,ЛОТЫ!$K$5:$K$2073,0),15),""))</f>
        <v>3.0600000000000005</v>
      </c>
      <c r="J56" s="183">
        <f>(IFERROR(INDEX(ЛОТЫ!$I$5:$Y$2073,MATCH(B56,ЛОТЫ!$K$5:$K$2073,0),16),""))</f>
        <v>46679.351400000007</v>
      </c>
      <c r="K56" s="219"/>
      <c r="L56" s="212">
        <f>SUMIFS('Ведомость расчета мин. платы'!Q:Q,'Ведомость расчета мин. платы'!J:J,"Итого",'Ведомость расчета мин. платы'!AC:AC,O56)</f>
        <v>1423.8</v>
      </c>
      <c r="M56" s="219"/>
      <c r="N56" s="211" t="str">
        <f>IFERROR(INDEX('Ведомость расчета мин. платы'!$B$10:$AB$214,MATCH(Коэффициенты!B56,'Ведомость расчета мин. платы'!$B$10:$B$214,0),22),"")</f>
        <v>мл</v>
      </c>
      <c r="O56" s="205" t="str">
        <f t="shared" si="5"/>
        <v>Чулпановское/14/10/1</v>
      </c>
      <c r="P56" s="211">
        <f>(IFERROR(INDEX(ЛОТЫ!$I$5:$Y$2073,MATCH(B56,ЛОТЫ!$K$5:$K$2073,0),17),""))</f>
        <v>32.785048040455123</v>
      </c>
      <c r="Q56" s="213">
        <f t="shared" si="6"/>
        <v>31424.661400000008</v>
      </c>
      <c r="R56" s="123">
        <f>IFERROR(INDEX('Ведомость расчета мин. платы'!$B$10:$AD$214,MATCH(B56,'Ведомость расчета мин. платы'!$B$10:$B$214,0),29),"")</f>
        <v>1.17</v>
      </c>
      <c r="S56" s="214">
        <f t="shared" si="7"/>
        <v>1840.7490000000003</v>
      </c>
    </row>
    <row r="57" spans="2:19" ht="15" customHeight="1" x14ac:dyDescent="0.2">
      <c r="B57" s="113">
        <v>54</v>
      </c>
      <c r="C57" s="209" t="str">
        <f>IFERROR(INDEX('Ведомость расчета мин. платы'!$B$10:$AB$214,MATCH(Коэффициенты!$B57,'Ведомость расчета мин. платы'!$B$10:$B$214,0),2),"")</f>
        <v>Чулпановское</v>
      </c>
      <c r="D57" s="113">
        <f>IFERROR(INDEX('Ведомость расчета мин. платы'!$B$10:$AB$214,MATCH(Коэффициенты!$B57,'Ведомость расчета мин. платы'!$B$10:$B$214,0),3),"")</f>
        <v>18</v>
      </c>
      <c r="E57" s="113">
        <f>IFERROR(INDEX('Ведомость расчета мин. платы'!$B$10:$AB$214,MATCH(Коэффициенты!$B57,'Ведомость расчета мин. платы'!$B$10:$B$214,0),4),"")</f>
        <v>69</v>
      </c>
      <c r="F57" s="113">
        <f>IFERROR(INDEX('Ведомость расчета мин. платы'!$B$10:$AB$214,MATCH(Коэффициенты!$B57,'Ведомость расчета мин. платы'!$B$10:$B$214,0),5),"")</f>
        <v>1</v>
      </c>
      <c r="G57" s="210">
        <f>IFERROR(INDEX('Ведомость расчета мин. платы'!$B$10:$AB$214,MATCH(Коэффициенты!$B57,'Ведомость расчета мин. платы'!$B$10:$B$214,0),6),"")</f>
        <v>3</v>
      </c>
      <c r="H57" s="209">
        <f>SUMIFS('Ведомость расчета мин. платы'!S:S,'Ведомость расчета мин. платы'!J:J,"Итого",'Ведомость расчета мин. платы'!AC:AC,O57)</f>
        <v>3489.77</v>
      </c>
      <c r="I57" s="211">
        <f>(IFERROR(INDEX(ЛОТЫ!$I$5:$Y$2073,MATCH(B57,ЛОТЫ!$K$5:$K$2073,0),15),""))</f>
        <v>3.9700000000000006</v>
      </c>
      <c r="J57" s="183">
        <f>(IFERROR(INDEX(ЛОТЫ!$I$5:$Y$2073,MATCH(B57,ЛОТЫ!$K$5:$K$2073,0),16),""))</f>
        <v>13854.386900000001</v>
      </c>
      <c r="K57" s="219"/>
      <c r="L57" s="212">
        <f>SUMIFS('Ведомость расчета мин. платы'!Q:Q,'Ведомость расчета мин. платы'!J:J,"Итого",'Ведомость расчета мин. платы'!AC:AC,O57)</f>
        <v>518.64</v>
      </c>
      <c r="M57" s="219"/>
      <c r="N57" s="211" t="str">
        <f>IFERROR(INDEX('Ведомость расчета мин. платы'!$B$10:$AB$214,MATCH(Коэффициенты!B57,'Ведомость расчета мин. платы'!$B$10:$B$214,0),22),"")</f>
        <v>мл</v>
      </c>
      <c r="O57" s="205" t="str">
        <f t="shared" si="5"/>
        <v>Чулпановское/18/69/1</v>
      </c>
      <c r="P57" s="211">
        <f>(IFERROR(INDEX(ЛОТЫ!$I$5:$Y$2073,MATCH(B57,ЛОТЫ!$K$5:$K$2073,0),17),""))</f>
        <v>26.71291628104273</v>
      </c>
      <c r="Q57" s="213">
        <f t="shared" si="6"/>
        <v>10364.616900000001</v>
      </c>
      <c r="R57" s="123">
        <f>IFERROR(INDEX('Ведомость расчета мин. платы'!$B$10:$AD$214,MATCH(B57,'Ведомость расчета мин. платы'!$B$10:$B$214,0),29),"")</f>
        <v>0.8</v>
      </c>
      <c r="S57" s="214">
        <f t="shared" si="7"/>
        <v>593.79</v>
      </c>
    </row>
    <row r="58" spans="2:19" ht="15" customHeight="1" x14ac:dyDescent="0.2">
      <c r="B58" s="113">
        <v>55</v>
      </c>
      <c r="C58" s="209" t="str">
        <f>IFERROR(INDEX('Ведомость расчета мин. платы'!$B$10:$AB$214,MATCH(Коэффициенты!$B58,'Ведомость расчета мин. платы'!$B$10:$B$214,0),2),"")</f>
        <v>Чулпановское</v>
      </c>
      <c r="D58" s="113">
        <f>IFERROR(INDEX('Ведомость расчета мин. платы'!$B$10:$AB$214,MATCH(Коэффициенты!$B58,'Ведомость расчета мин. платы'!$B$10:$B$214,0),3),"")</f>
        <v>59</v>
      </c>
      <c r="E58" s="113">
        <f>IFERROR(INDEX('Ведомость расчета мин. платы'!$B$10:$AB$214,MATCH(Коэффициенты!$B58,'Ведомость расчета мин. платы'!$B$10:$B$214,0),4),"")</f>
        <v>57</v>
      </c>
      <c r="F58" s="113">
        <f>IFERROR(INDEX('Ведомость расчета мин. платы'!$B$10:$AB$214,MATCH(Коэффициенты!$B58,'Ведомость расчета мин. платы'!$B$10:$B$214,0),5),"")</f>
        <v>3</v>
      </c>
      <c r="G58" s="210">
        <f>IFERROR(INDEX('Ведомость расчета мин. платы'!$B$10:$AB$214,MATCH(Коэффициенты!$B58,'Ведомость расчета мин. платы'!$B$10:$B$214,0),6),"")</f>
        <v>0.9</v>
      </c>
      <c r="H58" s="209">
        <f>SUMIFS('Ведомость расчета мин. платы'!S:S,'Ведомость расчета мин. платы'!J:J,"Итого",'Ведомость расчета мин. платы'!AC:AC,O58)</f>
        <v>1467.01</v>
      </c>
      <c r="I58" s="211">
        <f>(IFERROR(INDEX(ЛОТЫ!$I$5:$Y$2073,MATCH(B58,ЛОТЫ!$K$5:$K$2073,0),15),""))</f>
        <v>3.17</v>
      </c>
      <c r="J58" s="183">
        <f>(IFERROR(INDEX(ЛОТЫ!$I$5:$Y$2073,MATCH(B58,ЛОТЫ!$K$5:$K$2073,0),16),""))</f>
        <v>4650.4216999999999</v>
      </c>
      <c r="K58" s="219"/>
      <c r="L58" s="212">
        <f>SUMIFS('Ведомость расчета мин. платы'!Q:Q,'Ведомость расчета мин. платы'!J:J,"Итого",'Ведомость расчета мин. платы'!AC:AC,O58)</f>
        <v>179.47</v>
      </c>
      <c r="M58" s="219"/>
      <c r="N58" s="211" t="str">
        <f>IFERROR(INDEX('Ведомость расчета мин. платы'!$B$10:$AB$214,MATCH(Коэффициенты!B58,'Ведомость расчета мин. платы'!$B$10:$B$214,0),22),"")</f>
        <v>мл</v>
      </c>
      <c r="O58" s="205" t="str">
        <f t="shared" si="5"/>
        <v>Чулпановское/59/57/3</v>
      </c>
      <c r="P58" s="211">
        <f>(IFERROR(INDEX(ЛОТЫ!$I$5:$Y$2073,MATCH(B58,ЛОТЫ!$K$5:$K$2073,0),17),""))</f>
        <v>25.911972474508275</v>
      </c>
      <c r="Q58" s="213">
        <f t="shared" si="6"/>
        <v>3183.4116999999997</v>
      </c>
      <c r="R58" s="123">
        <f>IFERROR(INDEX('Ведомость расчета мин. платы'!$B$10:$AD$214,MATCH(B58,'Ведомость расчета мин. платы'!$B$10:$B$214,0),29),"")</f>
        <v>0.4</v>
      </c>
      <c r="S58" s="214">
        <f t="shared" si="7"/>
        <v>178.137</v>
      </c>
    </row>
    <row r="59" spans="2:19" x14ac:dyDescent="0.2">
      <c r="B59" s="113">
        <v>56</v>
      </c>
      <c r="C59" s="209" t="str">
        <f>IFERROR(INDEX('Ведомость расчета мин. платы'!$B$10:$AB$214,MATCH(Коэффициенты!$B59,'Ведомость расчета мин. платы'!$B$10:$B$214,0),2),"")</f>
        <v>Чулпановское</v>
      </c>
      <c r="D59" s="113">
        <f>IFERROR(INDEX('Ведомость расчета мин. платы'!$B$10:$AB$214,MATCH(Коэффициенты!$B59,'Ведомость расчета мин. платы'!$B$10:$B$214,0),3),"")</f>
        <v>67</v>
      </c>
      <c r="E59" s="113">
        <f>IFERROR(INDEX('Ведомость расчета мин. платы'!$B$10:$AB$214,MATCH(Коэффициенты!$B59,'Ведомость расчета мин. платы'!$B$10:$B$214,0),4),"")</f>
        <v>34</v>
      </c>
      <c r="F59" s="113">
        <f>IFERROR(INDEX('Ведомость расчета мин. платы'!$B$10:$AB$214,MATCH(Коэффициенты!$B59,'Ведомость расчета мин. платы'!$B$10:$B$214,0),5),"")</f>
        <v>2</v>
      </c>
      <c r="G59" s="210">
        <f>IFERROR(INDEX('Ведомость расчета мин. платы'!$B$10:$AB$214,MATCH(Коэффициенты!$B59,'Ведомость расчета мин. платы'!$B$10:$B$214,0),6),"")</f>
        <v>2.4</v>
      </c>
      <c r="H59" s="209">
        <f>SUMIFS('Ведомость расчета мин. платы'!S:S,'Ведомость расчета мин. платы'!J:J,"Итого",'Ведомость расчета мин. платы'!AC:AC,O59)</f>
        <v>9774.89</v>
      </c>
      <c r="I59" s="211">
        <f>(IFERROR(INDEX(ЛОТЫ!$I$5:$Y$2073,MATCH(B59,ЛОТЫ!$K$5:$K$2073,0),15),""))</f>
        <v>1.8499999999999996</v>
      </c>
      <c r="J59" s="183">
        <f>(IFERROR(INDEX(ЛОТЫ!$I$5:$Y$2073,MATCH(B59,ЛОТЫ!$K$5:$K$2073,0),16),""))</f>
        <v>18083.546499999997</v>
      </c>
      <c r="K59" s="219"/>
      <c r="L59" s="212">
        <f>SUMIFS('Ведомость расчета мин. платы'!Q:Q,'Ведомость расчета мин. платы'!J:J,"Итого",'Ведомость расчета мин. платы'!AC:AC,O59)</f>
        <v>271.8</v>
      </c>
      <c r="M59" s="219"/>
      <c r="N59" s="211" t="str">
        <f>IFERROR(INDEX('Ведомость расчета мин. платы'!$B$10:$AB$214,MATCH(Коэффициенты!B59,'Ведомость расчета мин. платы'!$B$10:$B$214,0),22),"")</f>
        <v>мл</v>
      </c>
      <c r="O59" s="205" t="str">
        <f t="shared" si="5"/>
        <v>Чулпановское/67/34/2</v>
      </c>
      <c r="P59" s="211">
        <f>(IFERROR(INDEX(ЛОТЫ!$I$5:$Y$2073,MATCH(B59,ЛОТЫ!$K$5:$K$2073,0),17),""))</f>
        <v>66.53254782928623</v>
      </c>
      <c r="Q59" s="213">
        <f t="shared" si="6"/>
        <v>8308.6564999999973</v>
      </c>
      <c r="R59" s="123">
        <f>IFERROR(INDEX('Ведомость расчета мин. платы'!$B$10:$AD$214,MATCH(B59,'Ведомость расчета мин. платы'!$B$10:$B$214,0),29),"")</f>
        <v>0.67</v>
      </c>
      <c r="S59" s="214">
        <f t="shared" si="7"/>
        <v>475.03199999999998</v>
      </c>
    </row>
    <row r="61" spans="2:19" x14ac:dyDescent="0.2">
      <c r="G61" s="220">
        <f>SUM(G4:G59)</f>
        <v>300.99999999999994</v>
      </c>
      <c r="H61" s="220">
        <f>SUM(H4:H59)</f>
        <v>1111209.8399999999</v>
      </c>
      <c r="I61" s="220">
        <f>AVERAGE(I4:I59)</f>
        <v>2.1508928571428569</v>
      </c>
      <c r="J61" s="220">
        <f>SUM(J4:J59)</f>
        <v>2146233.4062999994</v>
      </c>
      <c r="K61" s="220"/>
      <c r="L61" s="220">
        <f>SUM(L4:L59)</f>
        <v>55544.83</v>
      </c>
      <c r="M61" s="220">
        <f>SUM(M4:M59)</f>
        <v>0</v>
      </c>
      <c r="N61" s="220"/>
      <c r="O61" s="220"/>
      <c r="P61" s="220">
        <f>AVERAGE(P4:P59)</f>
        <v>40.265026092271476</v>
      </c>
      <c r="Q61" s="220">
        <f>SUM(Q4:Q59)</f>
        <v>1035023.5663000001</v>
      </c>
      <c r="R61" s="220">
        <f>SUM(R4:R59)</f>
        <v>69.420000000000016</v>
      </c>
      <c r="S61" s="220">
        <f>SUM(S4:S59)</f>
        <v>59576.930000000015</v>
      </c>
    </row>
  </sheetData>
  <sheetProtection sheet="1" objects="1" scenarios="1"/>
  <autoFilter ref="B2:O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50"/>
  <sheetViews>
    <sheetView zoomScale="70" zoomScaleNormal="70" workbookViewId="0">
      <selection activeCell="CD20" sqref="CD20"/>
    </sheetView>
  </sheetViews>
  <sheetFormatPr defaultRowHeight="12.75" outlineLevelCol="2" x14ac:dyDescent="0.2"/>
  <cols>
    <col min="1" max="1" width="18.85546875" style="6" customWidth="1"/>
    <col min="2" max="2" width="18" style="6" customWidth="1"/>
    <col min="3" max="3" width="22.7109375" style="36" customWidth="1"/>
    <col min="4" max="4" width="20.85546875" style="6" hidden="1" customWidth="1" outlineLevel="1"/>
    <col min="5" max="5" width="9.42578125" style="6" hidden="1" customWidth="1" outlineLevel="1"/>
    <col min="6" max="6" width="8.42578125" style="6" hidden="1" customWidth="1" outlineLevel="1"/>
    <col min="7" max="7" width="8.85546875" style="6" hidden="1" customWidth="1" outlineLevel="1"/>
    <col min="8" max="8" width="10.42578125" style="7" hidden="1" customWidth="1" outlineLevel="1"/>
    <col min="9" max="9" width="12.28515625" style="6" hidden="1" customWidth="1" outlineLevel="2"/>
    <col min="10" max="10" width="12.7109375" style="6" hidden="1" customWidth="1" outlineLevel="2"/>
    <col min="11" max="11" width="12" style="6" hidden="1" customWidth="1" outlineLevel="2"/>
    <col min="12" max="12" width="3.5703125" style="7" hidden="1" customWidth="1" outlineLevel="1" collapsed="1"/>
    <col min="13" max="13" width="19.85546875" style="6" hidden="1" customWidth="1" outlineLevel="2"/>
    <col min="14" max="14" width="10.42578125" style="7" hidden="1" customWidth="1" outlineLevel="1" collapsed="1"/>
    <col min="15" max="15" width="6.85546875" hidden="1" customWidth="1" outlineLevel="1"/>
    <col min="16" max="16" width="19.85546875" style="6" hidden="1" customWidth="1" outlineLevel="2"/>
    <col min="17" max="17" width="10.42578125" style="7" hidden="1" customWidth="1" outlineLevel="1" collapsed="1"/>
    <col min="18" max="18" width="3.28515625" style="7" hidden="1" customWidth="1" outlineLevel="1"/>
    <col min="19" max="19" width="9.140625" style="6" hidden="1" customWidth="1" outlineLevel="2"/>
    <col min="20" max="20" width="11.5703125" style="6" hidden="1" customWidth="1" outlineLevel="2"/>
    <col min="21" max="22" width="9.28515625" style="6" hidden="1" customWidth="1" outlineLevel="2"/>
    <col min="23" max="23" width="21.85546875" style="6" hidden="1" customWidth="1" outlineLevel="2"/>
    <col min="24" max="24" width="8.5703125" style="6" hidden="1" customWidth="1" outlineLevel="2"/>
    <col min="25" max="25" width="9.28515625" style="6" hidden="1" customWidth="1" outlineLevel="2"/>
    <col min="26" max="26" width="26" style="8" hidden="1" customWidth="1" outlineLevel="2"/>
    <col min="27" max="27" width="9.140625" style="6" hidden="1" customWidth="1" outlineLevel="2"/>
    <col min="28" max="29" width="7" style="6" hidden="1" customWidth="1" outlineLevel="2"/>
    <col min="30" max="30" width="8.85546875" style="6" hidden="1" customWidth="1" outlineLevel="2"/>
    <col min="31" max="31" width="26" style="6" hidden="1" customWidth="1" outlineLevel="2"/>
    <col min="32" max="32" width="16.7109375" style="6" hidden="1" customWidth="1" outlineLevel="2"/>
    <col min="33" max="33" width="9" style="6" hidden="1" customWidth="1" outlineLevel="2"/>
    <col min="34" max="34" width="7.85546875" style="6" hidden="1" customWidth="1" outlineLevel="2"/>
    <col min="35" max="35" width="9.5703125" style="6" hidden="1" customWidth="1" outlineLevel="2"/>
    <col min="36" max="36" width="11.140625" style="6" hidden="1" customWidth="1" outlineLevel="2"/>
    <col min="37" max="37" width="62.5703125" style="36" hidden="1" customWidth="1" outlineLevel="2"/>
    <col min="38" max="38" width="44" style="6" hidden="1" customWidth="1" outlineLevel="2"/>
    <col min="39" max="39" width="10.140625" style="6" hidden="1" customWidth="1" outlineLevel="1" collapsed="1"/>
    <col min="40" max="44" width="10.140625" style="6" hidden="1" customWidth="1" outlineLevel="1"/>
    <col min="45" max="45" width="8.85546875" style="6" hidden="1" customWidth="1" outlineLevel="1"/>
    <col min="46" max="46" width="8.28515625" style="6" hidden="1" customWidth="1" outlineLevel="1"/>
    <col min="47" max="47" width="20" style="6" hidden="1" customWidth="1" outlineLevel="1"/>
    <col min="48" max="48" width="10.42578125" style="6" hidden="1" customWidth="1" outlineLevel="1"/>
    <col min="49" max="49" width="7.85546875" style="6" hidden="1" customWidth="1" outlineLevel="1"/>
    <col min="50" max="50" width="8.5703125" style="6" hidden="1" customWidth="1" outlineLevel="1"/>
    <col min="51" max="51" width="7.7109375" style="6" hidden="1" customWidth="1" outlineLevel="1"/>
    <col min="52" max="56" width="3.7109375" style="6" hidden="1" customWidth="1" outlineLevel="1"/>
    <col min="57" max="57" width="4.42578125" style="6" hidden="1" customWidth="1" outlineLevel="1"/>
    <col min="58" max="75" width="3.7109375" style="6" hidden="1" customWidth="1" outlineLevel="1"/>
    <col min="76" max="76" width="9.140625" collapsed="1"/>
  </cols>
  <sheetData>
    <row r="1" spans="1:77" x14ac:dyDescent="0.2">
      <c r="A1" s="5">
        <v>1</v>
      </c>
      <c r="B1" s="6">
        <v>2</v>
      </c>
      <c r="C1" s="196">
        <v>3</v>
      </c>
      <c r="D1" s="6">
        <v>4</v>
      </c>
      <c r="E1" s="5">
        <v>5</v>
      </c>
      <c r="F1" s="6">
        <v>6</v>
      </c>
      <c r="G1" s="5">
        <v>7</v>
      </c>
      <c r="H1" s="6">
        <v>8</v>
      </c>
      <c r="I1" s="5">
        <v>9</v>
      </c>
      <c r="J1" s="6">
        <v>10</v>
      </c>
      <c r="K1" s="5">
        <v>11</v>
      </c>
      <c r="L1" s="6">
        <v>12</v>
      </c>
      <c r="M1" s="5">
        <v>13</v>
      </c>
      <c r="N1" s="6">
        <v>14</v>
      </c>
      <c r="O1" s="5">
        <v>15</v>
      </c>
      <c r="P1" s="6">
        <v>16</v>
      </c>
      <c r="Q1" s="5">
        <v>17</v>
      </c>
      <c r="R1" s="6">
        <v>18</v>
      </c>
      <c r="S1" s="5">
        <v>19</v>
      </c>
      <c r="T1" s="6">
        <v>20</v>
      </c>
      <c r="U1" s="5">
        <v>21</v>
      </c>
      <c r="V1" s="6">
        <v>22</v>
      </c>
      <c r="W1" s="5">
        <v>23</v>
      </c>
      <c r="X1" s="6">
        <v>24</v>
      </c>
      <c r="Y1" s="5">
        <v>25</v>
      </c>
      <c r="Z1" s="6">
        <v>26</v>
      </c>
      <c r="AA1" s="5">
        <v>27</v>
      </c>
      <c r="AB1" s="6">
        <v>28</v>
      </c>
      <c r="AC1" s="5">
        <v>29</v>
      </c>
      <c r="AD1" s="6">
        <v>30</v>
      </c>
      <c r="AE1" s="5">
        <v>31</v>
      </c>
      <c r="AF1" s="6">
        <v>32</v>
      </c>
      <c r="AG1" s="5">
        <v>33</v>
      </c>
      <c r="AH1" s="6">
        <v>34</v>
      </c>
      <c r="AI1" s="5">
        <v>35</v>
      </c>
      <c r="AJ1" s="6">
        <v>36</v>
      </c>
      <c r="AK1" s="5">
        <v>37</v>
      </c>
      <c r="AL1" s="6">
        <v>38</v>
      </c>
      <c r="AM1" s="5">
        <v>39</v>
      </c>
      <c r="AN1" s="6">
        <v>40</v>
      </c>
      <c r="AO1" s="5">
        <v>41</v>
      </c>
      <c r="AP1" s="6">
        <v>42</v>
      </c>
      <c r="AQ1" s="5">
        <v>43</v>
      </c>
      <c r="AR1" s="6">
        <v>44</v>
      </c>
      <c r="AS1" s="5">
        <v>45</v>
      </c>
      <c r="AT1" s="6">
        <v>46</v>
      </c>
      <c r="AU1" s="5">
        <v>47</v>
      </c>
      <c r="AV1" s="6">
        <v>48</v>
      </c>
      <c r="AW1" s="5">
        <v>49</v>
      </c>
      <c r="AX1" s="6">
        <v>50</v>
      </c>
      <c r="AY1" s="5">
        <v>51</v>
      </c>
      <c r="AZ1" s="6">
        <v>52</v>
      </c>
      <c r="BA1" s="5">
        <v>53</v>
      </c>
      <c r="BB1" s="6">
        <v>54</v>
      </c>
      <c r="BC1" s="5">
        <v>55</v>
      </c>
      <c r="BD1" s="6">
        <v>56</v>
      </c>
      <c r="BE1" s="5">
        <v>57</v>
      </c>
      <c r="BF1" s="6">
        <v>58</v>
      </c>
      <c r="BG1" s="5">
        <v>59</v>
      </c>
      <c r="BH1" s="6">
        <v>60</v>
      </c>
      <c r="BI1" s="5">
        <v>61</v>
      </c>
      <c r="BJ1" s="6">
        <v>62</v>
      </c>
      <c r="BK1" s="5">
        <v>63</v>
      </c>
      <c r="BL1" s="6">
        <v>64</v>
      </c>
      <c r="BM1" s="5">
        <v>65</v>
      </c>
      <c r="BN1" s="6">
        <v>66</v>
      </c>
      <c r="BO1" s="5">
        <v>67</v>
      </c>
      <c r="BP1" s="6">
        <v>68</v>
      </c>
      <c r="BQ1" s="5">
        <v>69</v>
      </c>
      <c r="BR1" s="6">
        <v>70</v>
      </c>
      <c r="BS1" s="5">
        <v>71</v>
      </c>
      <c r="BT1" s="6">
        <v>72</v>
      </c>
      <c r="BU1" s="5">
        <v>73</v>
      </c>
      <c r="BV1" s="6">
        <v>74</v>
      </c>
      <c r="BW1" s="5">
        <v>75</v>
      </c>
    </row>
    <row r="2" spans="1:77" ht="89.25" x14ac:dyDescent="0.2">
      <c r="A2" s="9" t="s">
        <v>103</v>
      </c>
      <c r="B2" s="9" t="s">
        <v>104</v>
      </c>
      <c r="C2" s="197" t="s">
        <v>105</v>
      </c>
      <c r="D2" s="9" t="s">
        <v>106</v>
      </c>
      <c r="E2" s="10" t="s">
        <v>107</v>
      </c>
      <c r="F2" s="11" t="s">
        <v>108</v>
      </c>
      <c r="G2" s="12" t="s">
        <v>109</v>
      </c>
      <c r="H2" s="13" t="s">
        <v>110</v>
      </c>
      <c r="I2" s="14" t="s">
        <v>111</v>
      </c>
      <c r="J2" s="14" t="s">
        <v>112</v>
      </c>
      <c r="K2" s="14" t="s">
        <v>113</v>
      </c>
      <c r="L2" s="108"/>
      <c r="M2" s="109" t="s">
        <v>114</v>
      </c>
      <c r="N2" s="109"/>
      <c r="O2" s="109"/>
      <c r="P2" s="109"/>
      <c r="Q2" s="109"/>
      <c r="R2" s="110"/>
      <c r="S2" s="15" t="s">
        <v>115</v>
      </c>
      <c r="T2" s="15" t="s">
        <v>116</v>
      </c>
      <c r="U2" s="15" t="s">
        <v>117</v>
      </c>
      <c r="V2" s="15" t="s">
        <v>118</v>
      </c>
      <c r="W2" s="15" t="s">
        <v>119</v>
      </c>
      <c r="X2" s="12"/>
      <c r="Y2" s="12" t="s">
        <v>120</v>
      </c>
      <c r="Z2" s="12" t="s">
        <v>121</v>
      </c>
      <c r="AA2" s="12" t="s">
        <v>122</v>
      </c>
      <c r="AB2" s="12" t="s">
        <v>123</v>
      </c>
      <c r="AC2" s="12" t="s">
        <v>124</v>
      </c>
      <c r="AD2" s="12" t="s">
        <v>7</v>
      </c>
      <c r="AE2" s="12" t="s">
        <v>7</v>
      </c>
      <c r="AF2" s="12"/>
      <c r="AG2" s="12" t="s">
        <v>125</v>
      </c>
      <c r="AH2" s="12" t="s">
        <v>126</v>
      </c>
      <c r="AI2" s="12" t="s">
        <v>127</v>
      </c>
      <c r="AJ2" s="12" t="s">
        <v>128</v>
      </c>
      <c r="AK2" s="12" t="s">
        <v>129</v>
      </c>
      <c r="AL2" s="12" t="s">
        <v>130</v>
      </c>
      <c r="AM2" s="9" t="s">
        <v>131</v>
      </c>
      <c r="AN2" s="9" t="s">
        <v>132</v>
      </c>
      <c r="AO2" s="9" t="s">
        <v>133</v>
      </c>
      <c r="AP2" s="9" t="s">
        <v>134</v>
      </c>
      <c r="AQ2" s="9" t="s">
        <v>135</v>
      </c>
      <c r="AR2" s="9" t="s">
        <v>136</v>
      </c>
      <c r="AS2" s="12"/>
      <c r="AT2" s="9" t="s">
        <v>137</v>
      </c>
      <c r="AU2" s="9" t="s">
        <v>118</v>
      </c>
      <c r="AV2" s="9" t="s">
        <v>138</v>
      </c>
      <c r="AW2" s="9" t="s">
        <v>139</v>
      </c>
      <c r="AX2" s="9" t="s">
        <v>140</v>
      </c>
      <c r="AY2" s="9" t="s">
        <v>141</v>
      </c>
      <c r="AZ2" s="9" t="s">
        <v>142</v>
      </c>
      <c r="BA2" s="9" t="s">
        <v>143</v>
      </c>
      <c r="BB2" s="9" t="s">
        <v>144</v>
      </c>
      <c r="BC2" s="9" t="s">
        <v>145</v>
      </c>
      <c r="BD2" s="9" t="s">
        <v>146</v>
      </c>
      <c r="BE2" s="9" t="s">
        <v>147</v>
      </c>
      <c r="BF2" s="9" t="s">
        <v>148</v>
      </c>
      <c r="BG2" s="9" t="s">
        <v>149</v>
      </c>
      <c r="BH2" s="9" t="s">
        <v>150</v>
      </c>
      <c r="BI2" s="9" t="s">
        <v>151</v>
      </c>
      <c r="BJ2" s="9" t="s">
        <v>152</v>
      </c>
      <c r="BK2" s="9" t="s">
        <v>153</v>
      </c>
      <c r="BL2" s="9" t="s">
        <v>154</v>
      </c>
      <c r="BM2" s="9" t="s">
        <v>155</v>
      </c>
      <c r="BN2" s="9" t="s">
        <v>156</v>
      </c>
      <c r="BO2" s="9" t="s">
        <v>157</v>
      </c>
      <c r="BP2" s="9" t="s">
        <v>158</v>
      </c>
      <c r="BQ2" s="9" t="s">
        <v>159</v>
      </c>
      <c r="BR2" s="9" t="s">
        <v>160</v>
      </c>
      <c r="BS2" s="9" t="s">
        <v>161</v>
      </c>
      <c r="BT2" s="9" t="s">
        <v>162</v>
      </c>
      <c r="BU2" s="9" t="s">
        <v>163</v>
      </c>
      <c r="BV2" s="9" t="s">
        <v>164</v>
      </c>
      <c r="BW2" s="9" t="s">
        <v>165</v>
      </c>
    </row>
    <row r="3" spans="1:77" x14ac:dyDescent="0.2">
      <c r="A3" s="16">
        <v>1</v>
      </c>
      <c r="B3" s="16">
        <v>2</v>
      </c>
      <c r="C3" s="198">
        <v>3</v>
      </c>
      <c r="D3" s="16">
        <v>4</v>
      </c>
      <c r="E3" s="16">
        <v>5</v>
      </c>
      <c r="F3" s="16">
        <v>6</v>
      </c>
      <c r="G3" s="16">
        <v>7</v>
      </c>
      <c r="H3" s="16">
        <v>8</v>
      </c>
      <c r="I3" s="16">
        <v>9</v>
      </c>
      <c r="J3" s="16">
        <v>10</v>
      </c>
      <c r="K3" s="16">
        <v>11</v>
      </c>
      <c r="L3" s="108"/>
      <c r="M3" s="17">
        <v>13</v>
      </c>
      <c r="N3" s="17">
        <v>14</v>
      </c>
      <c r="O3" s="17">
        <v>15</v>
      </c>
      <c r="P3" s="17">
        <v>16</v>
      </c>
      <c r="Q3" s="17">
        <v>17</v>
      </c>
      <c r="R3" s="111"/>
      <c r="S3" s="15">
        <v>19</v>
      </c>
      <c r="T3" s="15">
        <v>20</v>
      </c>
      <c r="U3" s="15">
        <v>21</v>
      </c>
      <c r="V3" s="15">
        <v>22</v>
      </c>
      <c r="W3" s="15">
        <v>23</v>
      </c>
      <c r="X3" s="15">
        <v>24</v>
      </c>
      <c r="Y3" s="15">
        <v>25</v>
      </c>
      <c r="Z3" s="15">
        <v>26</v>
      </c>
      <c r="AA3" s="15">
        <v>27</v>
      </c>
      <c r="AB3" s="15">
        <v>28</v>
      </c>
      <c r="AC3" s="15">
        <v>29</v>
      </c>
      <c r="AD3" s="15">
        <v>30</v>
      </c>
      <c r="AE3" s="15">
        <v>31</v>
      </c>
      <c r="AF3" s="15">
        <v>32</v>
      </c>
      <c r="AG3" s="15">
        <v>33</v>
      </c>
      <c r="AH3" s="15">
        <v>34</v>
      </c>
      <c r="AI3" s="15">
        <v>35</v>
      </c>
      <c r="AJ3" s="15">
        <v>36</v>
      </c>
      <c r="AK3" s="15">
        <v>37</v>
      </c>
      <c r="AL3" s="15">
        <v>38</v>
      </c>
      <c r="AM3" s="15">
        <v>39</v>
      </c>
      <c r="AN3" s="15">
        <v>40</v>
      </c>
      <c r="AO3" s="15">
        <v>41</v>
      </c>
      <c r="AP3" s="15">
        <v>42</v>
      </c>
      <c r="AQ3" s="15">
        <v>43</v>
      </c>
      <c r="AR3" s="15">
        <v>44</v>
      </c>
      <c r="AS3" s="15">
        <v>45</v>
      </c>
      <c r="AT3" s="15">
        <v>46</v>
      </c>
      <c r="AU3" s="15">
        <v>47</v>
      </c>
      <c r="AV3" s="15">
        <v>48</v>
      </c>
      <c r="AW3" s="15">
        <v>49</v>
      </c>
      <c r="AX3" s="15">
        <v>50</v>
      </c>
      <c r="AY3" s="15">
        <v>51</v>
      </c>
      <c r="AZ3" s="15">
        <v>52</v>
      </c>
      <c r="BA3" s="15">
        <v>53</v>
      </c>
      <c r="BB3" s="15">
        <v>54</v>
      </c>
      <c r="BC3" s="15">
        <v>55</v>
      </c>
      <c r="BD3" s="15">
        <v>56</v>
      </c>
      <c r="BE3" s="15">
        <v>57</v>
      </c>
      <c r="BF3" s="15">
        <v>58</v>
      </c>
      <c r="BG3" s="15">
        <v>59</v>
      </c>
      <c r="BH3" s="15">
        <v>60</v>
      </c>
      <c r="BI3" s="15">
        <v>61</v>
      </c>
      <c r="BJ3" s="15">
        <v>62</v>
      </c>
      <c r="BK3" s="15">
        <v>63</v>
      </c>
      <c r="BL3" s="15">
        <v>64</v>
      </c>
      <c r="BM3" s="15">
        <v>65</v>
      </c>
      <c r="BN3" s="15">
        <v>66</v>
      </c>
      <c r="BO3" s="15">
        <v>67</v>
      </c>
      <c r="BP3" s="15">
        <v>68</v>
      </c>
      <c r="BQ3" s="15">
        <v>69</v>
      </c>
      <c r="BR3" s="15">
        <v>70</v>
      </c>
      <c r="BS3" s="15">
        <v>71</v>
      </c>
      <c r="BT3" s="15">
        <v>72</v>
      </c>
      <c r="BU3" s="15">
        <v>73</v>
      </c>
      <c r="BV3" s="15">
        <v>74</v>
      </c>
      <c r="BW3" s="15">
        <v>75</v>
      </c>
    </row>
    <row r="4" spans="1:77" x14ac:dyDescent="0.2">
      <c r="A4" s="18"/>
      <c r="B4" s="9"/>
      <c r="C4" s="197"/>
      <c r="D4" s="9"/>
      <c r="E4" s="9"/>
      <c r="F4" s="12"/>
      <c r="G4" s="12"/>
      <c r="H4" s="13">
        <f>SUM(H5:H50)</f>
        <v>985.29999999999973</v>
      </c>
      <c r="I4" s="13">
        <f>SUM(I5:I50)</f>
        <v>0</v>
      </c>
      <c r="J4" s="13">
        <f>SUM(J5:J50)</f>
        <v>0</v>
      </c>
      <c r="K4" s="12"/>
      <c r="L4" s="108"/>
      <c r="M4" s="19"/>
      <c r="N4" s="20">
        <f>SUM(N5:N50)</f>
        <v>985.29999999999973</v>
      </c>
      <c r="O4" s="20">
        <f>SUM(O5:O50)</f>
        <v>0</v>
      </c>
      <c r="P4" s="20"/>
      <c r="Q4" s="20"/>
      <c r="R4" s="111"/>
      <c r="S4" s="12"/>
      <c r="T4" s="12"/>
      <c r="U4" s="12"/>
      <c r="V4" s="12"/>
      <c r="W4" s="12"/>
      <c r="X4" s="12"/>
      <c r="Y4" s="12"/>
      <c r="Z4" s="21"/>
      <c r="AA4" s="12"/>
      <c r="AB4" s="12"/>
      <c r="AC4" s="12"/>
      <c r="AD4" s="12"/>
      <c r="AE4" s="12"/>
      <c r="AF4" s="12" t="s">
        <v>166</v>
      </c>
      <c r="AG4" s="12"/>
      <c r="AH4" s="12"/>
      <c r="AI4" s="12"/>
      <c r="AJ4" s="12"/>
      <c r="AK4" s="22"/>
      <c r="AL4" s="12"/>
      <c r="AM4" s="9"/>
      <c r="AN4" s="9"/>
      <c r="AO4" s="9"/>
      <c r="AP4" s="9"/>
      <c r="AQ4" s="9"/>
      <c r="AR4" s="9"/>
      <c r="AS4" s="12"/>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row>
    <row r="5" spans="1:77" x14ac:dyDescent="0.2">
      <c r="A5" s="23" t="s">
        <v>167</v>
      </c>
      <c r="B5" s="23" t="s">
        <v>168</v>
      </c>
      <c r="C5" s="199" t="s">
        <v>240</v>
      </c>
      <c r="D5" s="23" t="s">
        <v>26</v>
      </c>
      <c r="E5" s="23"/>
      <c r="F5" s="24">
        <v>8</v>
      </c>
      <c r="G5" s="24">
        <v>15</v>
      </c>
      <c r="H5" s="25">
        <v>34.799999999999997</v>
      </c>
      <c r="I5" s="24"/>
      <c r="J5" s="24"/>
      <c r="K5" s="24"/>
      <c r="L5" s="108"/>
      <c r="M5" s="24" t="s">
        <v>169</v>
      </c>
      <c r="N5" s="25">
        <f t="shared" ref="N5" si="0">H5-I5</f>
        <v>34.799999999999997</v>
      </c>
      <c r="O5" s="112"/>
      <c r="P5" s="24"/>
      <c r="Q5" s="25"/>
      <c r="R5" s="111"/>
      <c r="S5" s="24" t="s">
        <v>166</v>
      </c>
      <c r="T5" s="24" t="s">
        <v>166</v>
      </c>
      <c r="U5" s="24"/>
      <c r="V5" s="24"/>
      <c r="W5" s="24" t="s">
        <v>166</v>
      </c>
      <c r="X5" s="24" t="s">
        <v>170</v>
      </c>
      <c r="Y5" s="26" t="s">
        <v>171</v>
      </c>
      <c r="Z5" s="27" t="s">
        <v>195</v>
      </c>
      <c r="AA5" s="24">
        <v>0.8</v>
      </c>
      <c r="AB5" s="24">
        <v>280</v>
      </c>
      <c r="AC5" s="24"/>
      <c r="AD5" s="24" t="s">
        <v>166</v>
      </c>
      <c r="AE5" s="24" t="s">
        <v>190</v>
      </c>
      <c r="AF5" s="12"/>
      <c r="AG5" s="24">
        <v>2</v>
      </c>
      <c r="AH5" s="24" t="s">
        <v>188</v>
      </c>
      <c r="AI5" s="24" t="s">
        <v>185</v>
      </c>
      <c r="AJ5" s="24">
        <v>4</v>
      </c>
      <c r="AK5" s="28"/>
      <c r="AL5" s="24" t="s">
        <v>172</v>
      </c>
      <c r="AM5" s="23">
        <v>6</v>
      </c>
      <c r="AN5" s="23" t="s">
        <v>166</v>
      </c>
      <c r="AO5" s="23" t="s">
        <v>166</v>
      </c>
      <c r="AP5" s="23" t="s">
        <v>166</v>
      </c>
      <c r="AQ5" s="23">
        <v>4</v>
      </c>
      <c r="AR5" s="23"/>
      <c r="AS5" s="29">
        <v>4</v>
      </c>
      <c r="AT5" s="23" t="s">
        <v>175</v>
      </c>
      <c r="AU5" s="23" t="s">
        <v>18</v>
      </c>
      <c r="AV5" s="23" t="s">
        <v>181</v>
      </c>
      <c r="AW5" s="23">
        <v>60</v>
      </c>
      <c r="AX5" s="23">
        <v>23</v>
      </c>
      <c r="AY5" s="23">
        <v>26</v>
      </c>
      <c r="AZ5" s="23" t="s">
        <v>184</v>
      </c>
      <c r="BA5" s="23"/>
      <c r="BB5" s="23">
        <v>23</v>
      </c>
      <c r="BC5" s="23">
        <v>26</v>
      </c>
      <c r="BD5" s="23" t="s">
        <v>176</v>
      </c>
      <c r="BE5" s="23"/>
      <c r="BF5" s="23">
        <v>21</v>
      </c>
      <c r="BG5" s="23">
        <v>18</v>
      </c>
      <c r="BH5" s="23"/>
      <c r="BI5" s="23"/>
      <c r="BJ5" s="23"/>
      <c r="BK5" s="23"/>
      <c r="BL5" s="23"/>
      <c r="BM5" s="23"/>
      <c r="BN5" s="23"/>
      <c r="BO5" s="23"/>
      <c r="BP5" s="23"/>
      <c r="BQ5" s="23"/>
      <c r="BR5" s="23"/>
      <c r="BS5" s="23"/>
      <c r="BT5" s="23"/>
      <c r="BU5" s="23"/>
      <c r="BV5" s="23"/>
      <c r="BW5" s="23"/>
      <c r="BY5">
        <f>INDEX('Ведомость расчета мин. платы'!$AK$10:$AL$210,MATCH('Такс. опис.'!C5,'Ведомость расчета мин. платы'!$AK$10:$AK$210,0),2)</f>
        <v>1</v>
      </c>
    </row>
    <row r="6" spans="1:77" x14ac:dyDescent="0.2">
      <c r="A6" s="23" t="s">
        <v>167</v>
      </c>
      <c r="B6" s="23" t="s">
        <v>168</v>
      </c>
      <c r="C6" s="199" t="s">
        <v>257</v>
      </c>
      <c r="D6" s="23" t="s">
        <v>26</v>
      </c>
      <c r="E6" s="23"/>
      <c r="F6" s="24">
        <v>15</v>
      </c>
      <c r="G6" s="24">
        <v>22</v>
      </c>
      <c r="H6" s="25">
        <v>11.7</v>
      </c>
      <c r="I6" s="24"/>
      <c r="J6" s="24"/>
      <c r="K6" s="24"/>
      <c r="L6" s="108"/>
      <c r="M6" s="24" t="s">
        <v>169</v>
      </c>
      <c r="N6" s="25">
        <f>H6-I6</f>
        <v>11.7</v>
      </c>
      <c r="O6" s="112"/>
      <c r="P6" s="24"/>
      <c r="Q6" s="25"/>
      <c r="R6" s="111"/>
      <c r="S6" s="24" t="s">
        <v>166</v>
      </c>
      <c r="T6" s="24" t="s">
        <v>166</v>
      </c>
      <c r="U6" s="24"/>
      <c r="V6" s="24"/>
      <c r="W6" s="24" t="s">
        <v>166</v>
      </c>
      <c r="X6" s="24" t="s">
        <v>170</v>
      </c>
      <c r="Y6" s="26" t="s">
        <v>171</v>
      </c>
      <c r="Z6" s="27" t="s">
        <v>192</v>
      </c>
      <c r="AA6" s="24">
        <v>0.8</v>
      </c>
      <c r="AB6" s="24">
        <v>220</v>
      </c>
      <c r="AC6" s="24"/>
      <c r="AD6" s="24" t="s">
        <v>166</v>
      </c>
      <c r="AE6" s="24" t="s">
        <v>190</v>
      </c>
      <c r="AF6" s="12"/>
      <c r="AG6" s="24">
        <v>2</v>
      </c>
      <c r="AH6" s="24" t="s">
        <v>188</v>
      </c>
      <c r="AI6" s="24" t="s">
        <v>185</v>
      </c>
      <c r="AJ6" s="24">
        <v>4</v>
      </c>
      <c r="AK6" s="28"/>
      <c r="AL6" s="24" t="s">
        <v>172</v>
      </c>
      <c r="AM6" s="23">
        <v>5</v>
      </c>
      <c r="AN6" s="23" t="s">
        <v>166</v>
      </c>
      <c r="AO6" s="23" t="s">
        <v>166</v>
      </c>
      <c r="AP6" s="23" t="s">
        <v>166</v>
      </c>
      <c r="AQ6" s="23">
        <v>4</v>
      </c>
      <c r="AR6" s="23"/>
      <c r="AS6" s="29">
        <v>4</v>
      </c>
      <c r="AT6" s="23" t="s">
        <v>175</v>
      </c>
      <c r="AU6" s="23" t="s">
        <v>18</v>
      </c>
      <c r="AV6" s="23" t="s">
        <v>181</v>
      </c>
      <c r="AW6" s="23">
        <v>45</v>
      </c>
      <c r="AX6" s="23">
        <v>19</v>
      </c>
      <c r="AY6" s="23">
        <v>18</v>
      </c>
      <c r="AZ6" s="23" t="s">
        <v>184</v>
      </c>
      <c r="BA6" s="23"/>
      <c r="BB6" s="23">
        <v>21</v>
      </c>
      <c r="BC6" s="23">
        <v>20</v>
      </c>
      <c r="BD6" s="23"/>
      <c r="BE6" s="23"/>
      <c r="BF6" s="23"/>
      <c r="BG6" s="23"/>
      <c r="BH6" s="23"/>
      <c r="BI6" s="23"/>
      <c r="BJ6" s="23"/>
      <c r="BK6" s="23"/>
      <c r="BL6" s="23"/>
      <c r="BM6" s="23"/>
      <c r="BN6" s="23"/>
      <c r="BO6" s="23"/>
      <c r="BP6" s="23"/>
      <c r="BQ6" s="23"/>
      <c r="BR6" s="23"/>
      <c r="BS6" s="23"/>
      <c r="BT6" s="23"/>
      <c r="BU6" s="23"/>
      <c r="BV6" s="23"/>
      <c r="BW6" s="23"/>
      <c r="BY6">
        <f>INDEX('Ведомость расчета мин. платы'!$AK$10:$AL$210,MATCH('Такс. опис.'!C6,'Ведомость расчета мин. платы'!$AK$10:$AK$210,0),2)</f>
        <v>1</v>
      </c>
    </row>
    <row r="7" spans="1:77" x14ac:dyDescent="0.2">
      <c r="A7" s="23" t="s">
        <v>167</v>
      </c>
      <c r="B7" s="23" t="s">
        <v>168</v>
      </c>
      <c r="C7" s="199" t="s">
        <v>262</v>
      </c>
      <c r="D7" s="23" t="s">
        <v>26</v>
      </c>
      <c r="E7" s="23"/>
      <c r="F7" s="24">
        <v>19</v>
      </c>
      <c r="G7" s="24">
        <v>5</v>
      </c>
      <c r="H7" s="25">
        <v>17.100000000000001</v>
      </c>
      <c r="I7" s="24"/>
      <c r="J7" s="24"/>
      <c r="K7" s="24"/>
      <c r="L7" s="108"/>
      <c r="M7" s="24" t="s">
        <v>169</v>
      </c>
      <c r="N7" s="25">
        <f t="shared" ref="N7" si="1">H7-I7</f>
        <v>17.100000000000001</v>
      </c>
      <c r="O7" s="112"/>
      <c r="P7" s="24"/>
      <c r="Q7" s="25"/>
      <c r="R7" s="111"/>
      <c r="S7" s="24" t="s">
        <v>166</v>
      </c>
      <c r="T7" s="24" t="s">
        <v>166</v>
      </c>
      <c r="U7" s="24"/>
      <c r="V7" s="24"/>
      <c r="W7" s="24" t="s">
        <v>166</v>
      </c>
      <c r="X7" s="24" t="s">
        <v>170</v>
      </c>
      <c r="Y7" s="26" t="s">
        <v>171</v>
      </c>
      <c r="Z7" s="27" t="s">
        <v>263</v>
      </c>
      <c r="AA7" s="24">
        <v>0.8</v>
      </c>
      <c r="AB7" s="24">
        <v>210</v>
      </c>
      <c r="AC7" s="24"/>
      <c r="AD7" s="24" t="s">
        <v>166</v>
      </c>
      <c r="AE7" s="24" t="s">
        <v>190</v>
      </c>
      <c r="AF7" s="12"/>
      <c r="AG7" s="24">
        <v>1</v>
      </c>
      <c r="AH7" s="24" t="s">
        <v>188</v>
      </c>
      <c r="AI7" s="24" t="s">
        <v>185</v>
      </c>
      <c r="AJ7" s="24">
        <v>4</v>
      </c>
      <c r="AK7" s="28"/>
      <c r="AL7" s="24" t="s">
        <v>172</v>
      </c>
      <c r="AM7" s="23">
        <v>5</v>
      </c>
      <c r="AN7" s="23" t="s">
        <v>166</v>
      </c>
      <c r="AO7" s="23" t="s">
        <v>166</v>
      </c>
      <c r="AP7" s="23" t="s">
        <v>166</v>
      </c>
      <c r="AQ7" s="23">
        <v>4</v>
      </c>
      <c r="AR7" s="23"/>
      <c r="AS7" s="29">
        <v>4</v>
      </c>
      <c r="AT7" s="23" t="s">
        <v>175</v>
      </c>
      <c r="AU7" s="23" t="s">
        <v>18</v>
      </c>
      <c r="AV7" s="23" t="s">
        <v>181</v>
      </c>
      <c r="AW7" s="23">
        <v>45</v>
      </c>
      <c r="AX7" s="23">
        <v>20</v>
      </c>
      <c r="AY7" s="23">
        <v>20</v>
      </c>
      <c r="AZ7" s="23" t="s">
        <v>184</v>
      </c>
      <c r="BA7" s="23"/>
      <c r="BB7" s="23">
        <v>20</v>
      </c>
      <c r="BC7" s="23">
        <v>22</v>
      </c>
      <c r="BD7" s="23" t="s">
        <v>176</v>
      </c>
      <c r="BE7" s="23"/>
      <c r="BF7" s="23">
        <v>15</v>
      </c>
      <c r="BG7" s="23">
        <v>16</v>
      </c>
      <c r="BH7" s="23"/>
      <c r="BI7" s="23"/>
      <c r="BJ7" s="23"/>
      <c r="BK7" s="23"/>
      <c r="BL7" s="23"/>
      <c r="BM7" s="23"/>
      <c r="BN7" s="23"/>
      <c r="BO7" s="23"/>
      <c r="BP7" s="23"/>
      <c r="BQ7" s="23"/>
      <c r="BR7" s="23"/>
      <c r="BS7" s="23"/>
      <c r="BT7" s="23"/>
      <c r="BU7" s="23"/>
      <c r="BV7" s="23"/>
      <c r="BW7" s="23"/>
      <c r="BY7">
        <f>INDEX('Ведомость расчета мин. платы'!$AK$10:$AL$210,MATCH('Такс. опис.'!C7,'Ведомость расчета мин. платы'!$AK$10:$AK$210,0),2)</f>
        <v>1</v>
      </c>
    </row>
    <row r="8" spans="1:77" x14ac:dyDescent="0.2">
      <c r="A8" s="23" t="s">
        <v>167</v>
      </c>
      <c r="B8" s="23" t="s">
        <v>168</v>
      </c>
      <c r="C8" s="199" t="s">
        <v>275</v>
      </c>
      <c r="D8" s="23" t="s">
        <v>26</v>
      </c>
      <c r="E8" s="23"/>
      <c r="F8" s="24">
        <v>32</v>
      </c>
      <c r="G8" s="24">
        <v>7</v>
      </c>
      <c r="H8" s="25">
        <v>20.6</v>
      </c>
      <c r="I8" s="24"/>
      <c r="J8" s="24"/>
      <c r="K8" s="24"/>
      <c r="L8" s="108"/>
      <c r="M8" s="24" t="s">
        <v>169</v>
      </c>
      <c r="N8" s="25">
        <f t="shared" ref="N8" si="2">H8-I8</f>
        <v>20.6</v>
      </c>
      <c r="O8" s="112"/>
      <c r="P8" s="24"/>
      <c r="Q8" s="25"/>
      <c r="R8" s="111"/>
      <c r="S8" s="24" t="s">
        <v>166</v>
      </c>
      <c r="T8" s="24" t="s">
        <v>166</v>
      </c>
      <c r="U8" s="24"/>
      <c r="V8" s="24"/>
      <c r="W8" s="24" t="s">
        <v>166</v>
      </c>
      <c r="X8" s="24" t="s">
        <v>170</v>
      </c>
      <c r="Y8" s="26" t="s">
        <v>171</v>
      </c>
      <c r="Z8" s="27" t="s">
        <v>264</v>
      </c>
      <c r="AA8" s="24">
        <v>0.6</v>
      </c>
      <c r="AB8" s="24">
        <v>190</v>
      </c>
      <c r="AC8" s="24"/>
      <c r="AD8" s="24" t="s">
        <v>166</v>
      </c>
      <c r="AE8" s="24" t="s">
        <v>190</v>
      </c>
      <c r="AF8" s="12"/>
      <c r="AG8" s="24">
        <v>1</v>
      </c>
      <c r="AH8" s="24" t="s">
        <v>188</v>
      </c>
      <c r="AI8" s="24" t="s">
        <v>185</v>
      </c>
      <c r="AJ8" s="24">
        <v>4</v>
      </c>
      <c r="AK8" s="28"/>
      <c r="AL8" s="24" t="s">
        <v>172</v>
      </c>
      <c r="AM8" s="23">
        <v>6</v>
      </c>
      <c r="AN8" s="23" t="s">
        <v>166</v>
      </c>
      <c r="AO8" s="23" t="s">
        <v>166</v>
      </c>
      <c r="AP8" s="23" t="s">
        <v>166</v>
      </c>
      <c r="AQ8" s="23">
        <v>4</v>
      </c>
      <c r="AR8" s="23"/>
      <c r="AS8" s="29">
        <v>4</v>
      </c>
      <c r="AT8" s="23" t="s">
        <v>175</v>
      </c>
      <c r="AU8" s="23" t="s">
        <v>18</v>
      </c>
      <c r="AV8" s="23" t="s">
        <v>181</v>
      </c>
      <c r="AW8" s="23">
        <v>55</v>
      </c>
      <c r="AX8" s="23">
        <v>23</v>
      </c>
      <c r="AY8" s="23">
        <v>26</v>
      </c>
      <c r="AZ8" s="23" t="s">
        <v>184</v>
      </c>
      <c r="BA8" s="23"/>
      <c r="BB8" s="23">
        <v>23</v>
      </c>
      <c r="BC8" s="23">
        <v>24</v>
      </c>
      <c r="BD8" s="23" t="s">
        <v>176</v>
      </c>
      <c r="BE8" s="23"/>
      <c r="BF8" s="23">
        <v>18</v>
      </c>
      <c r="BG8" s="23">
        <v>20</v>
      </c>
      <c r="BH8" s="23"/>
      <c r="BI8" s="23"/>
      <c r="BJ8" s="23"/>
      <c r="BK8" s="23"/>
      <c r="BL8" s="23"/>
      <c r="BM8" s="23"/>
      <c r="BN8" s="23"/>
      <c r="BO8" s="23"/>
      <c r="BP8" s="23"/>
      <c r="BQ8" s="23"/>
      <c r="BR8" s="23"/>
      <c r="BS8" s="23"/>
      <c r="BT8" s="23"/>
      <c r="BU8" s="23"/>
      <c r="BV8" s="23"/>
      <c r="BW8" s="23"/>
      <c r="BY8">
        <f>INDEX('Ведомость расчета мин. платы'!$AK$10:$AL$210,MATCH('Такс. опис.'!C8,'Ведомость расчета мин. платы'!$AK$10:$AK$210,0),2)</f>
        <v>1</v>
      </c>
    </row>
    <row r="9" spans="1:77" x14ac:dyDescent="0.2">
      <c r="A9" s="23" t="s">
        <v>167</v>
      </c>
      <c r="B9" s="23" t="s">
        <v>168</v>
      </c>
      <c r="C9" s="199" t="s">
        <v>277</v>
      </c>
      <c r="D9" s="23" t="s">
        <v>26</v>
      </c>
      <c r="E9" s="23"/>
      <c r="F9" s="24">
        <v>33</v>
      </c>
      <c r="G9" s="24">
        <v>4</v>
      </c>
      <c r="H9" s="25">
        <v>22.2</v>
      </c>
      <c r="I9" s="24"/>
      <c r="J9" s="24"/>
      <c r="K9" s="24"/>
      <c r="L9" s="108"/>
      <c r="M9" s="24" t="s">
        <v>169</v>
      </c>
      <c r="N9" s="25">
        <f t="shared" ref="N9" si="3">H9-I9</f>
        <v>22.2</v>
      </c>
      <c r="O9" s="112"/>
      <c r="P9" s="24"/>
      <c r="Q9" s="25"/>
      <c r="R9" s="111"/>
      <c r="S9" s="24" t="s">
        <v>166</v>
      </c>
      <c r="T9" s="24" t="s">
        <v>166</v>
      </c>
      <c r="U9" s="24"/>
      <c r="V9" s="24"/>
      <c r="W9" s="24" t="s">
        <v>166</v>
      </c>
      <c r="X9" s="24" t="s">
        <v>170</v>
      </c>
      <c r="Y9" s="26" t="s">
        <v>171</v>
      </c>
      <c r="Z9" s="27" t="s">
        <v>264</v>
      </c>
      <c r="AA9" s="24">
        <v>0.7</v>
      </c>
      <c r="AB9" s="24">
        <v>200</v>
      </c>
      <c r="AC9" s="24"/>
      <c r="AD9" s="24" t="s">
        <v>166</v>
      </c>
      <c r="AE9" s="24" t="s">
        <v>190</v>
      </c>
      <c r="AF9" s="12"/>
      <c r="AG9" s="24">
        <v>1</v>
      </c>
      <c r="AH9" s="24" t="s">
        <v>188</v>
      </c>
      <c r="AI9" s="24" t="s">
        <v>185</v>
      </c>
      <c r="AJ9" s="24">
        <v>4</v>
      </c>
      <c r="AK9" s="28"/>
      <c r="AL9" s="24" t="s">
        <v>172</v>
      </c>
      <c r="AM9" s="23">
        <v>5</v>
      </c>
      <c r="AN9" s="23" t="s">
        <v>166</v>
      </c>
      <c r="AO9" s="23" t="s">
        <v>166</v>
      </c>
      <c r="AP9" s="23" t="s">
        <v>166</v>
      </c>
      <c r="AQ9" s="23">
        <v>4</v>
      </c>
      <c r="AR9" s="23"/>
      <c r="AS9" s="29">
        <v>4</v>
      </c>
      <c r="AT9" s="23" t="s">
        <v>175</v>
      </c>
      <c r="AU9" s="23" t="s">
        <v>18</v>
      </c>
      <c r="AV9" s="23" t="s">
        <v>181</v>
      </c>
      <c r="AW9" s="23">
        <v>50</v>
      </c>
      <c r="AX9" s="23">
        <v>21</v>
      </c>
      <c r="AY9" s="23">
        <v>26</v>
      </c>
      <c r="AZ9" s="23" t="s">
        <v>184</v>
      </c>
      <c r="BA9" s="23"/>
      <c r="BB9" s="23">
        <v>21</v>
      </c>
      <c r="BC9" s="23">
        <v>24</v>
      </c>
      <c r="BD9" s="23" t="s">
        <v>176</v>
      </c>
      <c r="BE9" s="23"/>
      <c r="BF9" s="23">
        <v>17</v>
      </c>
      <c r="BG9" s="23">
        <v>18</v>
      </c>
      <c r="BH9" s="23"/>
      <c r="BI9" s="23"/>
      <c r="BJ9" s="23"/>
      <c r="BK9" s="23"/>
      <c r="BL9" s="23"/>
      <c r="BM9" s="23"/>
      <c r="BN9" s="23"/>
      <c r="BO9" s="23"/>
      <c r="BP9" s="23"/>
      <c r="BQ9" s="23"/>
      <c r="BR9" s="23"/>
      <c r="BS9" s="23"/>
      <c r="BT9" s="23"/>
      <c r="BU9" s="23"/>
      <c r="BV9" s="23"/>
      <c r="BW9" s="23"/>
      <c r="BY9">
        <f>INDEX('Ведомость расчета мин. платы'!$AK$10:$AL$210,MATCH('Такс. опис.'!C9,'Ведомость расчета мин. платы'!$AK$10:$AK$210,0),2)</f>
        <v>1</v>
      </c>
    </row>
    <row r="10" spans="1:77" x14ac:dyDescent="0.2">
      <c r="A10" s="23" t="s">
        <v>167</v>
      </c>
      <c r="B10" s="23" t="s">
        <v>168</v>
      </c>
      <c r="C10" s="199" t="s">
        <v>301</v>
      </c>
      <c r="D10" s="23" t="s">
        <v>26</v>
      </c>
      <c r="E10" s="23"/>
      <c r="F10" s="24">
        <v>90</v>
      </c>
      <c r="G10" s="24">
        <v>1</v>
      </c>
      <c r="H10" s="25">
        <v>20.6</v>
      </c>
      <c r="I10" s="24"/>
      <c r="J10" s="24"/>
      <c r="K10" s="24"/>
      <c r="L10" s="108"/>
      <c r="M10" s="24" t="s">
        <v>169</v>
      </c>
      <c r="N10" s="25">
        <f>H10-I10</f>
        <v>20.6</v>
      </c>
      <c r="O10" s="112"/>
      <c r="P10" s="24"/>
      <c r="Q10" s="25"/>
      <c r="R10" s="111"/>
      <c r="S10" s="24" t="s">
        <v>166</v>
      </c>
      <c r="T10" s="24" t="s">
        <v>166</v>
      </c>
      <c r="U10" s="24"/>
      <c r="V10" s="24"/>
      <c r="W10" s="24" t="s">
        <v>166</v>
      </c>
      <c r="X10" s="24" t="s">
        <v>170</v>
      </c>
      <c r="Y10" s="26" t="s">
        <v>171</v>
      </c>
      <c r="Z10" s="27" t="s">
        <v>252</v>
      </c>
      <c r="AA10" s="24">
        <v>0.7</v>
      </c>
      <c r="AB10" s="24">
        <v>170</v>
      </c>
      <c r="AC10" s="24"/>
      <c r="AD10" s="24" t="s">
        <v>166</v>
      </c>
      <c r="AE10" s="24" t="s">
        <v>190</v>
      </c>
      <c r="AF10" s="12"/>
      <c r="AG10" s="24">
        <v>1</v>
      </c>
      <c r="AH10" s="24" t="s">
        <v>188</v>
      </c>
      <c r="AI10" s="24" t="s">
        <v>185</v>
      </c>
      <c r="AJ10" s="24">
        <v>4</v>
      </c>
      <c r="AK10" s="28"/>
      <c r="AL10" s="24" t="s">
        <v>172</v>
      </c>
      <c r="AM10" s="23">
        <v>5</v>
      </c>
      <c r="AN10" s="23" t="s">
        <v>166</v>
      </c>
      <c r="AO10" s="23" t="s">
        <v>166</v>
      </c>
      <c r="AP10" s="23" t="s">
        <v>166</v>
      </c>
      <c r="AQ10" s="23">
        <v>4</v>
      </c>
      <c r="AR10" s="23"/>
      <c r="AS10" s="24" t="s">
        <v>234</v>
      </c>
      <c r="AT10" s="23" t="s">
        <v>175</v>
      </c>
      <c r="AU10" s="23" t="s">
        <v>18</v>
      </c>
      <c r="AV10" s="23" t="s">
        <v>181</v>
      </c>
      <c r="AW10" s="23">
        <v>45</v>
      </c>
      <c r="AX10" s="23">
        <v>20</v>
      </c>
      <c r="AY10" s="23">
        <v>20</v>
      </c>
      <c r="AZ10" s="23" t="s">
        <v>176</v>
      </c>
      <c r="BA10" s="23"/>
      <c r="BB10" s="23">
        <v>16</v>
      </c>
      <c r="BC10" s="23">
        <v>14</v>
      </c>
      <c r="BD10" s="23" t="s">
        <v>177</v>
      </c>
      <c r="BE10" s="23"/>
      <c r="BF10" s="23">
        <v>16</v>
      </c>
      <c r="BG10" s="23">
        <v>14</v>
      </c>
      <c r="BH10" s="23"/>
      <c r="BI10" s="23"/>
      <c r="BJ10" s="23"/>
      <c r="BK10" s="23"/>
      <c r="BL10" s="23"/>
      <c r="BM10" s="23"/>
      <c r="BN10" s="23"/>
      <c r="BO10" s="23"/>
      <c r="BP10" s="23"/>
      <c r="BQ10" s="23"/>
      <c r="BR10" s="23"/>
      <c r="BS10" s="23"/>
      <c r="BT10" s="23"/>
      <c r="BU10" s="23"/>
      <c r="BV10" s="23"/>
      <c r="BW10" s="23"/>
      <c r="BY10">
        <f>INDEX('Ведомость расчета мин. платы'!$AK$10:$AL$210,MATCH('Такс. опис.'!C10,'Ведомость расчета мин. платы'!$AK$10:$AK$210,0),2)</f>
        <v>1</v>
      </c>
    </row>
    <row r="11" spans="1:77" x14ac:dyDescent="0.2">
      <c r="A11" s="23" t="s">
        <v>167</v>
      </c>
      <c r="B11" s="23" t="s">
        <v>168</v>
      </c>
      <c r="C11" s="199" t="s">
        <v>302</v>
      </c>
      <c r="D11" s="23" t="s">
        <v>26</v>
      </c>
      <c r="E11" s="23"/>
      <c r="F11" s="24">
        <v>90</v>
      </c>
      <c r="G11" s="24">
        <v>18</v>
      </c>
      <c r="H11" s="25">
        <v>4.9000000000000004</v>
      </c>
      <c r="I11" s="24"/>
      <c r="J11" s="24"/>
      <c r="K11" s="24"/>
      <c r="L11" s="108"/>
      <c r="M11" s="24" t="s">
        <v>169</v>
      </c>
      <c r="N11" s="25">
        <f t="shared" ref="N11" si="4">H11-I11</f>
        <v>4.9000000000000004</v>
      </c>
      <c r="O11" s="112"/>
      <c r="P11" s="24"/>
      <c r="Q11" s="25"/>
      <c r="R11" s="111"/>
      <c r="S11" s="24" t="s">
        <v>166</v>
      </c>
      <c r="T11" s="24" t="s">
        <v>166</v>
      </c>
      <c r="U11" s="24"/>
      <c r="V11" s="24"/>
      <c r="W11" s="24" t="s">
        <v>166</v>
      </c>
      <c r="X11" s="24" t="s">
        <v>170</v>
      </c>
      <c r="Y11" s="26" t="s">
        <v>171</v>
      </c>
      <c r="Z11" s="27" t="s">
        <v>303</v>
      </c>
      <c r="AA11" s="24">
        <v>0.6</v>
      </c>
      <c r="AB11" s="24">
        <v>190</v>
      </c>
      <c r="AC11" s="24"/>
      <c r="AD11" s="24" t="s">
        <v>166</v>
      </c>
      <c r="AE11" s="24" t="s">
        <v>190</v>
      </c>
      <c r="AF11" s="12"/>
      <c r="AG11" s="24">
        <v>1</v>
      </c>
      <c r="AH11" s="24" t="s">
        <v>188</v>
      </c>
      <c r="AI11" s="24" t="s">
        <v>185</v>
      </c>
      <c r="AJ11" s="24">
        <v>4</v>
      </c>
      <c r="AK11" s="28"/>
      <c r="AL11" s="24" t="s">
        <v>172</v>
      </c>
      <c r="AM11" s="23">
        <v>6</v>
      </c>
      <c r="AN11" s="23" t="s">
        <v>166</v>
      </c>
      <c r="AO11" s="23" t="s">
        <v>166</v>
      </c>
      <c r="AP11" s="23" t="s">
        <v>166</v>
      </c>
      <c r="AQ11" s="23">
        <v>4</v>
      </c>
      <c r="AR11" s="23"/>
      <c r="AS11" s="24" t="s">
        <v>234</v>
      </c>
      <c r="AT11" s="23" t="s">
        <v>175</v>
      </c>
      <c r="AU11" s="23" t="s">
        <v>18</v>
      </c>
      <c r="AV11" s="23" t="s">
        <v>181</v>
      </c>
      <c r="AW11" s="23">
        <v>60</v>
      </c>
      <c r="AX11" s="23">
        <v>24</v>
      </c>
      <c r="AY11" s="23">
        <v>20</v>
      </c>
      <c r="AZ11" s="23" t="s">
        <v>176</v>
      </c>
      <c r="BA11" s="23"/>
      <c r="BB11" s="23">
        <v>20</v>
      </c>
      <c r="BC11" s="23">
        <v>18</v>
      </c>
      <c r="BD11" s="23" t="s">
        <v>177</v>
      </c>
      <c r="BE11" s="23"/>
      <c r="BF11" s="23">
        <v>20</v>
      </c>
      <c r="BG11" s="23">
        <v>20</v>
      </c>
      <c r="BH11" s="23"/>
      <c r="BI11" s="23"/>
      <c r="BJ11" s="23"/>
      <c r="BK11" s="23"/>
      <c r="BL11" s="23"/>
      <c r="BM11" s="23"/>
      <c r="BN11" s="23"/>
      <c r="BO11" s="23"/>
      <c r="BP11" s="23"/>
      <c r="BQ11" s="23"/>
      <c r="BR11" s="23"/>
      <c r="BS11" s="23"/>
      <c r="BT11" s="23"/>
      <c r="BU11" s="23"/>
      <c r="BV11" s="23"/>
      <c r="BW11" s="23"/>
      <c r="BY11">
        <f>INDEX('Ведомость расчета мин. платы'!$AK$10:$AL$210,MATCH('Такс. опис.'!C11,'Ведомость расчета мин. платы'!$AK$10:$AK$210,0),2)</f>
        <v>1</v>
      </c>
    </row>
    <row r="12" spans="1:77" x14ac:dyDescent="0.2">
      <c r="A12" s="23" t="s">
        <v>167</v>
      </c>
      <c r="B12" s="23" t="s">
        <v>168</v>
      </c>
      <c r="C12" s="199" t="s">
        <v>311</v>
      </c>
      <c r="D12" s="23" t="s">
        <v>310</v>
      </c>
      <c r="E12" s="23"/>
      <c r="F12" s="24">
        <v>9</v>
      </c>
      <c r="G12" s="24">
        <v>19</v>
      </c>
      <c r="H12" s="25">
        <v>16.3</v>
      </c>
      <c r="I12" s="24"/>
      <c r="J12" s="24"/>
      <c r="K12" s="24"/>
      <c r="L12" s="108"/>
      <c r="M12" s="24" t="s">
        <v>169</v>
      </c>
      <c r="N12" s="25">
        <f t="shared" ref="N12" si="5">H12-I12</f>
        <v>16.3</v>
      </c>
      <c r="O12" s="112"/>
      <c r="P12" s="24"/>
      <c r="Q12" s="25"/>
      <c r="R12" s="111"/>
      <c r="S12" s="24" t="s">
        <v>166</v>
      </c>
      <c r="T12" s="24" t="s">
        <v>166</v>
      </c>
      <c r="U12" s="24"/>
      <c r="V12" s="24"/>
      <c r="W12" s="24" t="s">
        <v>166</v>
      </c>
      <c r="X12" s="24" t="s">
        <v>170</v>
      </c>
      <c r="Y12" s="26" t="s">
        <v>171</v>
      </c>
      <c r="Z12" s="27" t="s">
        <v>207</v>
      </c>
      <c r="AA12" s="24">
        <v>0.7</v>
      </c>
      <c r="AB12" s="24">
        <v>260</v>
      </c>
      <c r="AC12" s="24"/>
      <c r="AD12" s="24" t="s">
        <v>166</v>
      </c>
      <c r="AE12" s="24" t="s">
        <v>190</v>
      </c>
      <c r="AF12" s="12"/>
      <c r="AG12" s="24">
        <v>1</v>
      </c>
      <c r="AH12" s="24" t="s">
        <v>188</v>
      </c>
      <c r="AI12" s="24" t="s">
        <v>185</v>
      </c>
      <c r="AJ12" s="24">
        <v>4</v>
      </c>
      <c r="AK12" s="28"/>
      <c r="AL12" s="24" t="s">
        <v>172</v>
      </c>
      <c r="AM12" s="23">
        <v>6</v>
      </c>
      <c r="AN12" s="23" t="s">
        <v>166</v>
      </c>
      <c r="AO12" s="23" t="s">
        <v>166</v>
      </c>
      <c r="AP12" s="23" t="s">
        <v>166</v>
      </c>
      <c r="AQ12" s="23">
        <v>4</v>
      </c>
      <c r="AR12" s="23"/>
      <c r="AS12" s="24" t="s">
        <v>234</v>
      </c>
      <c r="AT12" s="23" t="s">
        <v>175</v>
      </c>
      <c r="AU12" s="23" t="s">
        <v>18</v>
      </c>
      <c r="AV12" s="23" t="s">
        <v>181</v>
      </c>
      <c r="AW12" s="23">
        <v>60</v>
      </c>
      <c r="AX12" s="23">
        <v>24</v>
      </c>
      <c r="AY12" s="23">
        <v>24</v>
      </c>
      <c r="AZ12" s="23" t="s">
        <v>184</v>
      </c>
      <c r="BA12" s="23"/>
      <c r="BB12" s="23">
        <v>24</v>
      </c>
      <c r="BC12" s="23">
        <v>26</v>
      </c>
      <c r="BD12" s="23"/>
      <c r="BE12" s="23"/>
      <c r="BF12" s="23"/>
      <c r="BG12" s="23"/>
      <c r="BH12" s="23"/>
      <c r="BI12" s="23"/>
      <c r="BJ12" s="23"/>
      <c r="BK12" s="23"/>
      <c r="BL12" s="23"/>
      <c r="BM12" s="23"/>
      <c r="BN12" s="23"/>
      <c r="BO12" s="23"/>
      <c r="BP12" s="23"/>
      <c r="BQ12" s="23"/>
      <c r="BR12" s="23"/>
      <c r="BS12" s="23"/>
      <c r="BT12" s="23"/>
      <c r="BU12" s="23"/>
      <c r="BV12" s="23"/>
      <c r="BW12" s="23"/>
      <c r="BY12">
        <f>INDEX('Ведомость расчета мин. платы'!$AK$10:$AL$210,MATCH('Такс. опис.'!C12,'Ведомость расчета мин. платы'!$AK$10:$AK$210,0),2)</f>
        <v>1</v>
      </c>
    </row>
    <row r="13" spans="1:77" x14ac:dyDescent="0.2">
      <c r="A13" s="23" t="s">
        <v>167</v>
      </c>
      <c r="B13" s="23" t="s">
        <v>168</v>
      </c>
      <c r="C13" s="199" t="s">
        <v>313</v>
      </c>
      <c r="D13" s="23" t="s">
        <v>310</v>
      </c>
      <c r="E13" s="23"/>
      <c r="F13" s="24">
        <v>24</v>
      </c>
      <c r="G13" s="24">
        <v>1</v>
      </c>
      <c r="H13" s="25">
        <v>18</v>
      </c>
      <c r="I13" s="24"/>
      <c r="J13" s="24"/>
      <c r="K13" s="24"/>
      <c r="L13" s="108"/>
      <c r="M13" s="24" t="s">
        <v>169</v>
      </c>
      <c r="N13" s="25">
        <f>H13-I13</f>
        <v>18</v>
      </c>
      <c r="O13" s="112"/>
      <c r="P13" s="24"/>
      <c r="Q13" s="25"/>
      <c r="R13" s="111"/>
      <c r="S13" s="24" t="s">
        <v>166</v>
      </c>
      <c r="T13" s="24" t="s">
        <v>166</v>
      </c>
      <c r="U13" s="24"/>
      <c r="V13" s="24"/>
      <c r="W13" s="24" t="s">
        <v>166</v>
      </c>
      <c r="X13" s="24" t="s">
        <v>170</v>
      </c>
      <c r="Y13" s="26" t="s">
        <v>171</v>
      </c>
      <c r="Z13" s="27" t="s">
        <v>189</v>
      </c>
      <c r="AA13" s="24">
        <v>0.8</v>
      </c>
      <c r="AB13" s="24">
        <v>260</v>
      </c>
      <c r="AC13" s="24"/>
      <c r="AD13" s="24" t="s">
        <v>166</v>
      </c>
      <c r="AE13" s="24" t="s">
        <v>190</v>
      </c>
      <c r="AF13" s="12"/>
      <c r="AG13" s="24">
        <v>1</v>
      </c>
      <c r="AH13" s="24" t="s">
        <v>188</v>
      </c>
      <c r="AI13" s="24" t="s">
        <v>185</v>
      </c>
      <c r="AJ13" s="24">
        <v>4</v>
      </c>
      <c r="AK13" s="28"/>
      <c r="AL13" s="24" t="s">
        <v>172</v>
      </c>
      <c r="AM13" s="23">
        <v>5</v>
      </c>
      <c r="AN13" s="23" t="s">
        <v>166</v>
      </c>
      <c r="AO13" s="23" t="s">
        <v>166</v>
      </c>
      <c r="AP13" s="23" t="s">
        <v>166</v>
      </c>
      <c r="AQ13" s="23">
        <v>4</v>
      </c>
      <c r="AR13" s="23"/>
      <c r="AS13" s="24" t="s">
        <v>234</v>
      </c>
      <c r="AT13" s="23" t="s">
        <v>175</v>
      </c>
      <c r="AU13" s="23" t="s">
        <v>18</v>
      </c>
      <c r="AV13" s="23" t="s">
        <v>181</v>
      </c>
      <c r="AW13" s="23">
        <v>45</v>
      </c>
      <c r="AX13" s="23">
        <v>22</v>
      </c>
      <c r="AY13" s="23">
        <v>22</v>
      </c>
      <c r="AZ13" s="23" t="s">
        <v>184</v>
      </c>
      <c r="BA13" s="23"/>
      <c r="BB13" s="23">
        <v>23</v>
      </c>
      <c r="BC13" s="23">
        <v>20</v>
      </c>
      <c r="BD13" s="23"/>
      <c r="BE13" s="23"/>
      <c r="BF13" s="23"/>
      <c r="BG13" s="23"/>
      <c r="BH13" s="23"/>
      <c r="BI13" s="23"/>
      <c r="BJ13" s="23"/>
      <c r="BK13" s="23"/>
      <c r="BL13" s="23"/>
      <c r="BM13" s="23"/>
      <c r="BN13" s="23"/>
      <c r="BO13" s="23"/>
      <c r="BP13" s="23"/>
      <c r="BQ13" s="23"/>
      <c r="BR13" s="23"/>
      <c r="BS13" s="23"/>
      <c r="BT13" s="23"/>
      <c r="BU13" s="23"/>
      <c r="BV13" s="23"/>
      <c r="BW13" s="23"/>
      <c r="BY13">
        <f>INDEX('Ведомость расчета мин. платы'!$AK$10:$AL$210,MATCH('Такс. опис.'!C13,'Ведомость расчета мин. платы'!$AK$10:$AK$210,0),2)</f>
        <v>1</v>
      </c>
    </row>
    <row r="14" spans="1:77" x14ac:dyDescent="0.2">
      <c r="A14" s="23" t="s">
        <v>167</v>
      </c>
      <c r="B14" s="23" t="s">
        <v>168</v>
      </c>
      <c r="C14" s="199" t="s">
        <v>314</v>
      </c>
      <c r="D14" s="23" t="s">
        <v>310</v>
      </c>
      <c r="E14" s="23"/>
      <c r="F14" s="24">
        <v>36</v>
      </c>
      <c r="G14" s="24">
        <v>10</v>
      </c>
      <c r="H14" s="25">
        <v>76.099999999999994</v>
      </c>
      <c r="I14" s="24"/>
      <c r="J14" s="24"/>
      <c r="K14" s="24"/>
      <c r="L14" s="108"/>
      <c r="M14" s="24" t="s">
        <v>169</v>
      </c>
      <c r="N14" s="25">
        <f t="shared" ref="N14" si="6">H14-I14</f>
        <v>76.099999999999994</v>
      </c>
      <c r="O14" s="112"/>
      <c r="P14" s="24"/>
      <c r="Q14" s="25"/>
      <c r="R14" s="111"/>
      <c r="S14" s="24" t="s">
        <v>166</v>
      </c>
      <c r="T14" s="24" t="s">
        <v>166</v>
      </c>
      <c r="U14" s="24"/>
      <c r="V14" s="24"/>
      <c r="W14" s="24" t="s">
        <v>166</v>
      </c>
      <c r="X14" s="24" t="s">
        <v>170</v>
      </c>
      <c r="Y14" s="26" t="s">
        <v>171</v>
      </c>
      <c r="Z14" s="27" t="s">
        <v>207</v>
      </c>
      <c r="AA14" s="24">
        <v>0.7</v>
      </c>
      <c r="AB14" s="24">
        <v>260</v>
      </c>
      <c r="AC14" s="24"/>
      <c r="AD14" s="24" t="s">
        <v>166</v>
      </c>
      <c r="AE14" s="24" t="s">
        <v>190</v>
      </c>
      <c r="AF14" s="12"/>
      <c r="AG14" s="24">
        <v>1</v>
      </c>
      <c r="AH14" s="24" t="s">
        <v>188</v>
      </c>
      <c r="AI14" s="24" t="s">
        <v>185</v>
      </c>
      <c r="AJ14" s="24">
        <v>4</v>
      </c>
      <c r="AK14" s="28"/>
      <c r="AL14" s="24" t="s">
        <v>172</v>
      </c>
      <c r="AM14" s="23">
        <v>6</v>
      </c>
      <c r="AN14" s="23" t="s">
        <v>166</v>
      </c>
      <c r="AO14" s="23" t="s">
        <v>166</v>
      </c>
      <c r="AP14" s="23" t="s">
        <v>166</v>
      </c>
      <c r="AQ14" s="23">
        <v>4</v>
      </c>
      <c r="AR14" s="23"/>
      <c r="AS14" s="24" t="s">
        <v>234</v>
      </c>
      <c r="AT14" s="23" t="s">
        <v>175</v>
      </c>
      <c r="AU14" s="23" t="s">
        <v>18</v>
      </c>
      <c r="AV14" s="23" t="s">
        <v>181</v>
      </c>
      <c r="AW14" s="23">
        <v>55</v>
      </c>
      <c r="AX14" s="23">
        <v>24</v>
      </c>
      <c r="AY14" s="23">
        <v>24</v>
      </c>
      <c r="AZ14" s="23" t="s">
        <v>184</v>
      </c>
      <c r="BA14" s="23"/>
      <c r="BB14" s="23">
        <v>24</v>
      </c>
      <c r="BC14" s="23">
        <v>26</v>
      </c>
      <c r="BD14" s="23"/>
      <c r="BE14" s="23"/>
      <c r="BF14" s="23"/>
      <c r="BG14" s="23"/>
      <c r="BH14" s="23"/>
      <c r="BI14" s="23"/>
      <c r="BJ14" s="23"/>
      <c r="BK14" s="23"/>
      <c r="BL14" s="23"/>
      <c r="BM14" s="23"/>
      <c r="BN14" s="23"/>
      <c r="BO14" s="23"/>
      <c r="BP14" s="23"/>
      <c r="BQ14" s="23"/>
      <c r="BR14" s="23"/>
      <c r="BS14" s="23"/>
      <c r="BT14" s="23"/>
      <c r="BU14" s="23"/>
      <c r="BV14" s="23"/>
      <c r="BW14" s="23"/>
      <c r="BY14">
        <f>INDEX('Ведомость расчета мин. платы'!$AK$10:$AL$210,MATCH('Такс. опис.'!C14,'Ведомость расчета мин. платы'!$AK$10:$AK$210,0),2)</f>
        <v>1</v>
      </c>
    </row>
    <row r="15" spans="1:77" x14ac:dyDescent="0.2">
      <c r="A15" s="23" t="s">
        <v>167</v>
      </c>
      <c r="B15" s="23" t="s">
        <v>168</v>
      </c>
      <c r="C15" s="199" t="s">
        <v>315</v>
      </c>
      <c r="D15" s="23" t="s">
        <v>310</v>
      </c>
      <c r="E15" s="23"/>
      <c r="F15" s="24">
        <v>40</v>
      </c>
      <c r="G15" s="24">
        <v>7</v>
      </c>
      <c r="H15" s="25">
        <v>32.9</v>
      </c>
      <c r="I15" s="24"/>
      <c r="J15" s="24"/>
      <c r="K15" s="24"/>
      <c r="L15" s="108"/>
      <c r="M15" s="24" t="s">
        <v>169</v>
      </c>
      <c r="N15" s="25">
        <f t="shared" ref="N15" si="7">H15-I15</f>
        <v>32.9</v>
      </c>
      <c r="O15" s="112"/>
      <c r="P15" s="24"/>
      <c r="Q15" s="25"/>
      <c r="R15" s="111"/>
      <c r="S15" s="24" t="s">
        <v>166</v>
      </c>
      <c r="T15" s="24" t="s">
        <v>166</v>
      </c>
      <c r="U15" s="24"/>
      <c r="V15" s="24"/>
      <c r="W15" s="24" t="s">
        <v>166</v>
      </c>
      <c r="X15" s="24" t="s">
        <v>170</v>
      </c>
      <c r="Y15" s="26" t="s">
        <v>171</v>
      </c>
      <c r="Z15" s="27" t="s">
        <v>226</v>
      </c>
      <c r="AA15" s="24">
        <v>0.7</v>
      </c>
      <c r="AB15" s="24">
        <v>260</v>
      </c>
      <c r="AC15" s="24"/>
      <c r="AD15" s="24" t="s">
        <v>166</v>
      </c>
      <c r="AE15" s="24" t="s">
        <v>190</v>
      </c>
      <c r="AF15" s="12"/>
      <c r="AG15" s="24">
        <v>1</v>
      </c>
      <c r="AH15" s="24" t="s">
        <v>188</v>
      </c>
      <c r="AI15" s="24" t="s">
        <v>185</v>
      </c>
      <c r="AJ15" s="24">
        <v>4</v>
      </c>
      <c r="AK15" s="28"/>
      <c r="AL15" s="24" t="s">
        <v>172</v>
      </c>
      <c r="AM15" s="23">
        <v>6</v>
      </c>
      <c r="AN15" s="23" t="s">
        <v>166</v>
      </c>
      <c r="AO15" s="23" t="s">
        <v>166</v>
      </c>
      <c r="AP15" s="23" t="s">
        <v>166</v>
      </c>
      <c r="AQ15" s="23">
        <v>4</v>
      </c>
      <c r="AR15" s="23"/>
      <c r="AS15" s="24" t="s">
        <v>234</v>
      </c>
      <c r="AT15" s="23" t="s">
        <v>175</v>
      </c>
      <c r="AU15" s="23" t="s">
        <v>18</v>
      </c>
      <c r="AV15" s="23" t="s">
        <v>181</v>
      </c>
      <c r="AW15" s="23">
        <v>55</v>
      </c>
      <c r="AX15" s="23">
        <v>24</v>
      </c>
      <c r="AY15" s="23">
        <v>24</v>
      </c>
      <c r="AZ15" s="23" t="s">
        <v>184</v>
      </c>
      <c r="BA15" s="23"/>
      <c r="BB15" s="23">
        <v>25</v>
      </c>
      <c r="BC15" s="23">
        <v>26</v>
      </c>
      <c r="BD15" s="23"/>
      <c r="BE15" s="23"/>
      <c r="BF15" s="23"/>
      <c r="BG15" s="23"/>
      <c r="BH15" s="23"/>
      <c r="BI15" s="23"/>
      <c r="BJ15" s="23"/>
      <c r="BK15" s="23"/>
      <c r="BL15" s="23"/>
      <c r="BM15" s="23"/>
      <c r="BN15" s="23"/>
      <c r="BO15" s="23"/>
      <c r="BP15" s="23"/>
      <c r="BQ15" s="23"/>
      <c r="BR15" s="23"/>
      <c r="BS15" s="23"/>
      <c r="BT15" s="23"/>
      <c r="BU15" s="23"/>
      <c r="BV15" s="23"/>
      <c r="BW15" s="23"/>
      <c r="BY15">
        <f>INDEX('Ведомость расчета мин. платы'!$AK$10:$AL$210,MATCH('Такс. опис.'!C15,'Ведомость расчета мин. платы'!$AK$10:$AK$210,0),2)</f>
        <v>1</v>
      </c>
    </row>
    <row r="16" spans="1:77" x14ac:dyDescent="0.2">
      <c r="A16" s="23" t="s">
        <v>167</v>
      </c>
      <c r="B16" s="23" t="s">
        <v>168</v>
      </c>
      <c r="C16" s="199" t="s">
        <v>316</v>
      </c>
      <c r="D16" s="23" t="s">
        <v>310</v>
      </c>
      <c r="E16" s="23"/>
      <c r="F16" s="24">
        <v>41</v>
      </c>
      <c r="G16" s="24">
        <v>7</v>
      </c>
      <c r="H16" s="25">
        <v>29.6</v>
      </c>
      <c r="I16" s="24"/>
      <c r="J16" s="24"/>
      <c r="K16" s="24"/>
      <c r="L16" s="108"/>
      <c r="M16" s="24" t="s">
        <v>169</v>
      </c>
      <c r="N16" s="25">
        <f t="shared" ref="N16" si="8">H16-I16</f>
        <v>29.6</v>
      </c>
      <c r="O16" s="112"/>
      <c r="P16" s="24"/>
      <c r="Q16" s="25"/>
      <c r="R16" s="111"/>
      <c r="S16" s="24" t="s">
        <v>166</v>
      </c>
      <c r="T16" s="24" t="s">
        <v>166</v>
      </c>
      <c r="U16" s="24"/>
      <c r="V16" s="24"/>
      <c r="W16" s="24" t="s">
        <v>166</v>
      </c>
      <c r="X16" s="24" t="s">
        <v>170</v>
      </c>
      <c r="Y16" s="26" t="s">
        <v>171</v>
      </c>
      <c r="Z16" s="27" t="s">
        <v>221</v>
      </c>
      <c r="AA16" s="24">
        <v>0.7</v>
      </c>
      <c r="AB16" s="24">
        <v>230</v>
      </c>
      <c r="AC16" s="24"/>
      <c r="AD16" s="24" t="s">
        <v>166</v>
      </c>
      <c r="AE16" s="24" t="s">
        <v>190</v>
      </c>
      <c r="AF16" s="12"/>
      <c r="AG16" s="24">
        <v>1</v>
      </c>
      <c r="AH16" s="24" t="s">
        <v>188</v>
      </c>
      <c r="AI16" s="24" t="s">
        <v>185</v>
      </c>
      <c r="AJ16" s="24">
        <v>4</v>
      </c>
      <c r="AK16" s="28"/>
      <c r="AL16" s="24" t="s">
        <v>172</v>
      </c>
      <c r="AM16" s="23">
        <v>5</v>
      </c>
      <c r="AN16" s="23" t="s">
        <v>166</v>
      </c>
      <c r="AO16" s="23" t="s">
        <v>166</v>
      </c>
      <c r="AP16" s="23" t="s">
        <v>166</v>
      </c>
      <c r="AQ16" s="23">
        <v>4</v>
      </c>
      <c r="AR16" s="23"/>
      <c r="AS16" s="24" t="s">
        <v>234</v>
      </c>
      <c r="AT16" s="23" t="s">
        <v>175</v>
      </c>
      <c r="AU16" s="23" t="s">
        <v>18</v>
      </c>
      <c r="AV16" s="23" t="s">
        <v>181</v>
      </c>
      <c r="AW16" s="23">
        <v>50</v>
      </c>
      <c r="AX16" s="23">
        <v>22</v>
      </c>
      <c r="AY16" s="23">
        <v>22</v>
      </c>
      <c r="AZ16" s="23" t="s">
        <v>184</v>
      </c>
      <c r="BA16" s="23"/>
      <c r="BB16" s="23">
        <v>24</v>
      </c>
      <c r="BC16" s="23">
        <v>24</v>
      </c>
      <c r="BD16" s="23"/>
      <c r="BE16" s="23"/>
      <c r="BF16" s="23"/>
      <c r="BG16" s="23"/>
      <c r="BH16" s="23"/>
      <c r="BI16" s="23"/>
      <c r="BJ16" s="23"/>
      <c r="BK16" s="23"/>
      <c r="BL16" s="23"/>
      <c r="BM16" s="23"/>
      <c r="BN16" s="23"/>
      <c r="BO16" s="23"/>
      <c r="BP16" s="23"/>
      <c r="BQ16" s="23"/>
      <c r="BR16" s="23"/>
      <c r="BS16" s="23"/>
      <c r="BT16" s="23"/>
      <c r="BU16" s="23"/>
      <c r="BV16" s="23"/>
      <c r="BW16" s="23"/>
      <c r="BY16">
        <f>INDEX('Ведомость расчета мин. платы'!$AK$10:$AL$210,MATCH('Такс. опис.'!C16,'Ведомость расчета мин. платы'!$AK$10:$AK$210,0),2)</f>
        <v>1</v>
      </c>
    </row>
    <row r="17" spans="1:77" x14ac:dyDescent="0.2">
      <c r="A17" s="23" t="s">
        <v>167</v>
      </c>
      <c r="B17" s="23" t="s">
        <v>168</v>
      </c>
      <c r="C17" s="199" t="s">
        <v>317</v>
      </c>
      <c r="D17" s="23" t="s">
        <v>310</v>
      </c>
      <c r="E17" s="23"/>
      <c r="F17" s="24">
        <v>42</v>
      </c>
      <c r="G17" s="24">
        <v>10</v>
      </c>
      <c r="H17" s="25">
        <v>8.8000000000000007</v>
      </c>
      <c r="I17" s="24"/>
      <c r="J17" s="24"/>
      <c r="K17" s="24"/>
      <c r="L17" s="108"/>
      <c r="M17" s="24" t="s">
        <v>169</v>
      </c>
      <c r="N17" s="25">
        <f t="shared" ref="N17:N18" si="9">H17-I17</f>
        <v>8.8000000000000007</v>
      </c>
      <c r="O17" s="112"/>
      <c r="P17" s="24"/>
      <c r="Q17" s="25"/>
      <c r="R17" s="111"/>
      <c r="S17" s="24" t="s">
        <v>166</v>
      </c>
      <c r="T17" s="24" t="s">
        <v>166</v>
      </c>
      <c r="U17" s="24"/>
      <c r="V17" s="24"/>
      <c r="W17" s="24" t="s">
        <v>166</v>
      </c>
      <c r="X17" s="24" t="s">
        <v>170</v>
      </c>
      <c r="Y17" s="26" t="s">
        <v>171</v>
      </c>
      <c r="Z17" s="27" t="s">
        <v>221</v>
      </c>
      <c r="AA17" s="24">
        <v>0.7</v>
      </c>
      <c r="AB17" s="24">
        <v>230</v>
      </c>
      <c r="AC17" s="24"/>
      <c r="AD17" s="24" t="s">
        <v>166</v>
      </c>
      <c r="AE17" s="24" t="s">
        <v>190</v>
      </c>
      <c r="AF17" s="12"/>
      <c r="AG17" s="24">
        <v>1</v>
      </c>
      <c r="AH17" s="24" t="s">
        <v>188</v>
      </c>
      <c r="AI17" s="24" t="s">
        <v>185</v>
      </c>
      <c r="AJ17" s="24">
        <v>4</v>
      </c>
      <c r="AK17" s="28"/>
      <c r="AL17" s="24" t="s">
        <v>172</v>
      </c>
      <c r="AM17" s="23">
        <v>5</v>
      </c>
      <c r="AN17" s="23" t="s">
        <v>166</v>
      </c>
      <c r="AO17" s="23" t="s">
        <v>166</v>
      </c>
      <c r="AP17" s="23" t="s">
        <v>166</v>
      </c>
      <c r="AQ17" s="23">
        <v>4</v>
      </c>
      <c r="AR17" s="23"/>
      <c r="AS17" s="24" t="s">
        <v>234</v>
      </c>
      <c r="AT17" s="23" t="s">
        <v>175</v>
      </c>
      <c r="AU17" s="23" t="s">
        <v>18</v>
      </c>
      <c r="AV17" s="23" t="s">
        <v>181</v>
      </c>
      <c r="AW17" s="23">
        <v>50</v>
      </c>
      <c r="AX17" s="23">
        <v>22</v>
      </c>
      <c r="AY17" s="23">
        <v>22</v>
      </c>
      <c r="AZ17" s="23" t="s">
        <v>184</v>
      </c>
      <c r="BA17" s="23"/>
      <c r="BB17" s="23">
        <v>24</v>
      </c>
      <c r="BC17" s="23">
        <v>24</v>
      </c>
      <c r="BD17" s="23"/>
      <c r="BE17" s="23"/>
      <c r="BF17" s="23"/>
      <c r="BG17" s="23"/>
      <c r="BH17" s="23"/>
      <c r="BI17" s="23"/>
      <c r="BJ17" s="23"/>
      <c r="BK17" s="23"/>
      <c r="BL17" s="23"/>
      <c r="BM17" s="23"/>
      <c r="BN17" s="23"/>
      <c r="BO17" s="23"/>
      <c r="BP17" s="23"/>
      <c r="BQ17" s="23"/>
      <c r="BR17" s="23"/>
      <c r="BS17" s="23"/>
      <c r="BT17" s="23"/>
      <c r="BU17" s="23"/>
      <c r="BV17" s="23"/>
      <c r="BW17" s="23"/>
      <c r="BY17">
        <f>INDEX('Ведомость расчета мин. платы'!$AK$10:$AL$210,MATCH('Такс. опис.'!C17,'Ведомость расчета мин. платы'!$AK$10:$AK$210,0),2)</f>
        <v>1</v>
      </c>
    </row>
    <row r="18" spans="1:77" x14ac:dyDescent="0.2">
      <c r="A18" s="23" t="s">
        <v>167</v>
      </c>
      <c r="B18" s="23" t="s">
        <v>168</v>
      </c>
      <c r="C18" s="199" t="s">
        <v>318</v>
      </c>
      <c r="D18" s="23" t="s">
        <v>310</v>
      </c>
      <c r="E18" s="23"/>
      <c r="F18" s="24">
        <v>42</v>
      </c>
      <c r="G18" s="24">
        <v>12</v>
      </c>
      <c r="H18" s="25">
        <v>12</v>
      </c>
      <c r="I18" s="24"/>
      <c r="J18" s="24"/>
      <c r="K18" s="24"/>
      <c r="L18" s="108"/>
      <c r="M18" s="24" t="s">
        <v>169</v>
      </c>
      <c r="N18" s="25">
        <f t="shared" si="9"/>
        <v>12</v>
      </c>
      <c r="O18" s="112"/>
      <c r="P18" s="24"/>
      <c r="Q18" s="25"/>
      <c r="R18" s="111"/>
      <c r="S18" s="24" t="s">
        <v>166</v>
      </c>
      <c r="T18" s="24" t="s">
        <v>166</v>
      </c>
      <c r="U18" s="24"/>
      <c r="V18" s="24"/>
      <c r="W18" s="24" t="s">
        <v>166</v>
      </c>
      <c r="X18" s="24" t="s">
        <v>170</v>
      </c>
      <c r="Y18" s="26" t="s">
        <v>171</v>
      </c>
      <c r="Z18" s="27" t="s">
        <v>207</v>
      </c>
      <c r="AA18" s="24">
        <v>0.7</v>
      </c>
      <c r="AB18" s="24">
        <v>260</v>
      </c>
      <c r="AC18" s="24"/>
      <c r="AD18" s="24" t="s">
        <v>166</v>
      </c>
      <c r="AE18" s="24" t="s">
        <v>190</v>
      </c>
      <c r="AF18" s="12"/>
      <c r="AG18" s="24">
        <v>1</v>
      </c>
      <c r="AH18" s="24" t="s">
        <v>188</v>
      </c>
      <c r="AI18" s="24" t="s">
        <v>185</v>
      </c>
      <c r="AJ18" s="24">
        <v>4</v>
      </c>
      <c r="AK18" s="28"/>
      <c r="AL18" s="24" t="s">
        <v>172</v>
      </c>
      <c r="AM18" s="23">
        <v>6</v>
      </c>
      <c r="AN18" s="23" t="s">
        <v>166</v>
      </c>
      <c r="AO18" s="23" t="s">
        <v>166</v>
      </c>
      <c r="AP18" s="23" t="s">
        <v>166</v>
      </c>
      <c r="AQ18" s="23">
        <v>4</v>
      </c>
      <c r="AR18" s="23"/>
      <c r="AS18" s="24" t="s">
        <v>234</v>
      </c>
      <c r="AT18" s="23" t="s">
        <v>175</v>
      </c>
      <c r="AU18" s="23" t="s">
        <v>18</v>
      </c>
      <c r="AV18" s="23" t="s">
        <v>181</v>
      </c>
      <c r="AW18" s="23">
        <v>55</v>
      </c>
      <c r="AX18" s="23">
        <v>24</v>
      </c>
      <c r="AY18" s="23">
        <v>24</v>
      </c>
      <c r="AZ18" s="23" t="s">
        <v>184</v>
      </c>
      <c r="BA18" s="23"/>
      <c r="BB18" s="23">
        <v>24</v>
      </c>
      <c r="BC18" s="23">
        <v>26</v>
      </c>
      <c r="BD18" s="23"/>
      <c r="BE18" s="23"/>
      <c r="BF18" s="23"/>
      <c r="BG18" s="23"/>
      <c r="BH18" s="23"/>
      <c r="BI18" s="23"/>
      <c r="BJ18" s="23"/>
      <c r="BK18" s="23"/>
      <c r="BL18" s="23"/>
      <c r="BM18" s="23"/>
      <c r="BN18" s="23"/>
      <c r="BO18" s="23"/>
      <c r="BP18" s="23"/>
      <c r="BQ18" s="23"/>
      <c r="BR18" s="23"/>
      <c r="BS18" s="23"/>
      <c r="BT18" s="23"/>
      <c r="BU18" s="23"/>
      <c r="BV18" s="23"/>
      <c r="BW18" s="23"/>
      <c r="BY18">
        <f>INDEX('Ведомость расчета мин. платы'!$AK$10:$AL$210,MATCH('Такс. опис.'!C18,'Ведомость расчета мин. платы'!$AK$10:$AK$210,0),2)</f>
        <v>1</v>
      </c>
    </row>
    <row r="19" spans="1:77" x14ac:dyDescent="0.2">
      <c r="A19" s="23" t="s">
        <v>167</v>
      </c>
      <c r="B19" s="23" t="s">
        <v>168</v>
      </c>
      <c r="C19" s="199" t="s">
        <v>319</v>
      </c>
      <c r="D19" s="23" t="s">
        <v>310</v>
      </c>
      <c r="E19" s="23"/>
      <c r="F19" s="24">
        <v>45</v>
      </c>
      <c r="G19" s="24">
        <v>8</v>
      </c>
      <c r="H19" s="25">
        <v>78</v>
      </c>
      <c r="I19" s="24"/>
      <c r="J19" s="24"/>
      <c r="K19" s="24"/>
      <c r="L19" s="108"/>
      <c r="M19" s="24" t="s">
        <v>169</v>
      </c>
      <c r="N19" s="25">
        <f t="shared" ref="N19" si="10">H19-I19</f>
        <v>78</v>
      </c>
      <c r="O19" s="112"/>
      <c r="P19" s="24"/>
      <c r="Q19" s="25"/>
      <c r="R19" s="111"/>
      <c r="S19" s="24" t="s">
        <v>166</v>
      </c>
      <c r="T19" s="24" t="s">
        <v>166</v>
      </c>
      <c r="U19" s="24"/>
      <c r="V19" s="24"/>
      <c r="W19" s="24" t="s">
        <v>166</v>
      </c>
      <c r="X19" s="24" t="s">
        <v>170</v>
      </c>
      <c r="Y19" s="26" t="s">
        <v>171</v>
      </c>
      <c r="Z19" s="27" t="s">
        <v>198</v>
      </c>
      <c r="AA19" s="24">
        <v>0.7</v>
      </c>
      <c r="AB19" s="24">
        <v>270</v>
      </c>
      <c r="AC19" s="24"/>
      <c r="AD19" s="24" t="s">
        <v>166</v>
      </c>
      <c r="AE19" s="24" t="s">
        <v>190</v>
      </c>
      <c r="AF19" s="12"/>
      <c r="AG19" s="24">
        <v>1</v>
      </c>
      <c r="AH19" s="24" t="s">
        <v>188</v>
      </c>
      <c r="AI19" s="24" t="s">
        <v>185</v>
      </c>
      <c r="AJ19" s="24">
        <v>4</v>
      </c>
      <c r="AK19" s="28"/>
      <c r="AL19" s="24" t="s">
        <v>172</v>
      </c>
      <c r="AM19" s="23">
        <v>6</v>
      </c>
      <c r="AN19" s="23" t="s">
        <v>166</v>
      </c>
      <c r="AO19" s="23" t="s">
        <v>166</v>
      </c>
      <c r="AP19" s="23" t="s">
        <v>166</v>
      </c>
      <c r="AQ19" s="23">
        <v>4</v>
      </c>
      <c r="AR19" s="23"/>
      <c r="AS19" s="24" t="s">
        <v>234</v>
      </c>
      <c r="AT19" s="23" t="s">
        <v>175</v>
      </c>
      <c r="AU19" s="23" t="s">
        <v>18</v>
      </c>
      <c r="AV19" s="23" t="s">
        <v>181</v>
      </c>
      <c r="AW19" s="23">
        <v>55</v>
      </c>
      <c r="AX19" s="23">
        <v>24</v>
      </c>
      <c r="AY19" s="23">
        <v>24</v>
      </c>
      <c r="AZ19" s="23" t="s">
        <v>184</v>
      </c>
      <c r="BA19" s="23"/>
      <c r="BB19" s="23">
        <v>25</v>
      </c>
      <c r="BC19" s="23">
        <v>26</v>
      </c>
      <c r="BD19" s="23"/>
      <c r="BE19" s="23"/>
      <c r="BF19" s="23"/>
      <c r="BG19" s="23"/>
      <c r="BH19" s="23"/>
      <c r="BI19" s="23"/>
      <c r="BJ19" s="23"/>
      <c r="BK19" s="23"/>
      <c r="BL19" s="23"/>
      <c r="BM19" s="23"/>
      <c r="BN19" s="23"/>
      <c r="BO19" s="23"/>
      <c r="BP19" s="23"/>
      <c r="BQ19" s="23"/>
      <c r="BR19" s="23"/>
      <c r="BS19" s="23"/>
      <c r="BT19" s="23"/>
      <c r="BU19" s="23"/>
      <c r="BV19" s="23"/>
      <c r="BW19" s="23"/>
      <c r="BY19">
        <f>INDEX('Ведомость расчета мин. платы'!$AK$10:$AL$210,MATCH('Такс. опис.'!C19,'Ведомость расчета мин. платы'!$AK$10:$AK$210,0),2)</f>
        <v>1</v>
      </c>
    </row>
    <row r="20" spans="1:77" x14ac:dyDescent="0.2">
      <c r="A20" s="23" t="s">
        <v>306</v>
      </c>
      <c r="B20" s="23" t="s">
        <v>168</v>
      </c>
      <c r="C20" s="199" t="s">
        <v>342</v>
      </c>
      <c r="D20" s="23" t="s">
        <v>24</v>
      </c>
      <c r="E20" s="23"/>
      <c r="F20" s="24">
        <v>8</v>
      </c>
      <c r="G20" s="24">
        <v>5</v>
      </c>
      <c r="H20" s="25">
        <v>12.1</v>
      </c>
      <c r="I20" s="24"/>
      <c r="J20" s="24"/>
      <c r="K20" s="24"/>
      <c r="L20" s="108"/>
      <c r="M20" s="24" t="s">
        <v>169</v>
      </c>
      <c r="N20" s="25">
        <f t="shared" ref="N20" si="11">H20-I20</f>
        <v>12.1</v>
      </c>
      <c r="O20" s="112"/>
      <c r="P20" s="24"/>
      <c r="Q20" s="25"/>
      <c r="R20" s="111"/>
      <c r="S20" s="24" t="s">
        <v>166</v>
      </c>
      <c r="T20" s="24" t="s">
        <v>166</v>
      </c>
      <c r="U20" s="24"/>
      <c r="V20" s="24"/>
      <c r="W20" s="24" t="s">
        <v>166</v>
      </c>
      <c r="X20" s="24" t="s">
        <v>170</v>
      </c>
      <c r="Y20" s="26" t="s">
        <v>171</v>
      </c>
      <c r="Z20" s="27" t="s">
        <v>341</v>
      </c>
      <c r="AA20" s="24">
        <v>0.7</v>
      </c>
      <c r="AB20" s="24">
        <v>190</v>
      </c>
      <c r="AC20" s="24"/>
      <c r="AD20" s="24" t="s">
        <v>166</v>
      </c>
      <c r="AE20" s="24" t="s">
        <v>190</v>
      </c>
      <c r="AF20" s="12"/>
      <c r="AG20" s="24">
        <v>1</v>
      </c>
      <c r="AH20" s="24" t="s">
        <v>188</v>
      </c>
      <c r="AI20" s="24" t="s">
        <v>185</v>
      </c>
      <c r="AJ20" s="24">
        <v>4</v>
      </c>
      <c r="AK20" s="28"/>
      <c r="AL20" s="24" t="s">
        <v>172</v>
      </c>
      <c r="AM20" s="23">
        <v>5</v>
      </c>
      <c r="AN20" s="23" t="s">
        <v>166</v>
      </c>
      <c r="AO20" s="23" t="s">
        <v>166</v>
      </c>
      <c r="AP20" s="23" t="s">
        <v>166</v>
      </c>
      <c r="AQ20" s="23">
        <v>4</v>
      </c>
      <c r="AR20" s="23"/>
      <c r="AS20" s="24" t="s">
        <v>234</v>
      </c>
      <c r="AT20" s="23" t="s">
        <v>175</v>
      </c>
      <c r="AU20" s="23" t="s">
        <v>18</v>
      </c>
      <c r="AV20" s="23" t="s">
        <v>181</v>
      </c>
      <c r="AW20" s="23">
        <v>50</v>
      </c>
      <c r="AX20" s="23">
        <v>22</v>
      </c>
      <c r="AY20" s="23">
        <v>22</v>
      </c>
      <c r="AZ20" s="23" t="s">
        <v>176</v>
      </c>
      <c r="BA20" s="23">
        <v>60</v>
      </c>
      <c r="BB20" s="23">
        <v>17</v>
      </c>
      <c r="BC20" s="23">
        <v>18</v>
      </c>
      <c r="BD20" s="23" t="s">
        <v>173</v>
      </c>
      <c r="BE20" s="23"/>
      <c r="BF20" s="23">
        <v>17</v>
      </c>
      <c r="BG20" s="23">
        <v>20</v>
      </c>
      <c r="BH20" s="23"/>
      <c r="BI20" s="23"/>
      <c r="BJ20" s="23"/>
      <c r="BK20" s="23"/>
      <c r="BL20" s="23"/>
      <c r="BM20" s="23"/>
      <c r="BN20" s="23"/>
      <c r="BO20" s="23"/>
      <c r="BP20" s="23"/>
      <c r="BQ20" s="23"/>
      <c r="BR20" s="23"/>
      <c r="BS20" s="23"/>
      <c r="BT20" s="23"/>
      <c r="BU20" s="23"/>
      <c r="BV20" s="23"/>
      <c r="BW20" s="23"/>
      <c r="BY20">
        <f>INDEX('Ведомость расчета мин. платы'!$AK$10:$AL$210,MATCH('Такс. опис.'!C20,'Ведомость расчета мин. платы'!$AK$10:$AK$210,0),2)</f>
        <v>1</v>
      </c>
    </row>
    <row r="21" spans="1:77" x14ac:dyDescent="0.2">
      <c r="A21" s="23" t="s">
        <v>167</v>
      </c>
      <c r="B21" s="23" t="s">
        <v>168</v>
      </c>
      <c r="C21" s="199" t="s">
        <v>349</v>
      </c>
      <c r="D21" s="23" t="s">
        <v>24</v>
      </c>
      <c r="E21" s="23"/>
      <c r="F21" s="24">
        <v>25</v>
      </c>
      <c r="G21" s="24">
        <v>2</v>
      </c>
      <c r="H21" s="25">
        <v>9.1</v>
      </c>
      <c r="I21" s="24"/>
      <c r="J21" s="24"/>
      <c r="K21" s="24"/>
      <c r="L21" s="108"/>
      <c r="M21" s="24" t="s">
        <v>169</v>
      </c>
      <c r="N21" s="25">
        <f t="shared" ref="N21" si="12">H21-I21</f>
        <v>9.1</v>
      </c>
      <c r="O21" s="112"/>
      <c r="P21" s="24"/>
      <c r="Q21" s="25"/>
      <c r="R21" s="111"/>
      <c r="S21" s="24" t="s">
        <v>166</v>
      </c>
      <c r="T21" s="24" t="s">
        <v>166</v>
      </c>
      <c r="U21" s="24"/>
      <c r="V21" s="24"/>
      <c r="W21" s="24" t="s">
        <v>166</v>
      </c>
      <c r="X21" s="24" t="s">
        <v>170</v>
      </c>
      <c r="Y21" s="26" t="s">
        <v>171</v>
      </c>
      <c r="Z21" s="27" t="s">
        <v>211</v>
      </c>
      <c r="AA21" s="24">
        <v>0.7</v>
      </c>
      <c r="AB21" s="24">
        <v>240</v>
      </c>
      <c r="AC21" s="24"/>
      <c r="AD21" s="24" t="s">
        <v>166</v>
      </c>
      <c r="AE21" s="24" t="s">
        <v>190</v>
      </c>
      <c r="AF21" s="12"/>
      <c r="AG21" s="24">
        <v>1</v>
      </c>
      <c r="AH21" s="24" t="s">
        <v>188</v>
      </c>
      <c r="AI21" s="24" t="s">
        <v>185</v>
      </c>
      <c r="AJ21" s="24">
        <v>4</v>
      </c>
      <c r="AK21" s="28"/>
      <c r="AL21" s="24" t="s">
        <v>172</v>
      </c>
      <c r="AM21" s="23">
        <v>5</v>
      </c>
      <c r="AN21" s="23" t="s">
        <v>166</v>
      </c>
      <c r="AO21" s="23" t="s">
        <v>166</v>
      </c>
      <c r="AP21" s="23" t="s">
        <v>166</v>
      </c>
      <c r="AQ21" s="23">
        <v>4</v>
      </c>
      <c r="AR21" s="23"/>
      <c r="AS21" s="24" t="s">
        <v>234</v>
      </c>
      <c r="AT21" s="23" t="s">
        <v>175</v>
      </c>
      <c r="AU21" s="23" t="s">
        <v>18</v>
      </c>
      <c r="AV21" s="23" t="s">
        <v>181</v>
      </c>
      <c r="AW21" s="23">
        <v>50</v>
      </c>
      <c r="AX21" s="23">
        <v>23</v>
      </c>
      <c r="AY21" s="23">
        <v>26</v>
      </c>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Y21">
        <f>INDEX('Ведомость расчета мин. платы'!$AK$10:$AL$210,MATCH('Такс. опис.'!C21,'Ведомость расчета мин. платы'!$AK$10:$AK$210,0),2)</f>
        <v>1</v>
      </c>
    </row>
    <row r="22" spans="1:77" x14ac:dyDescent="0.2">
      <c r="A22" s="23" t="s">
        <v>167</v>
      </c>
      <c r="B22" s="23" t="s">
        <v>168</v>
      </c>
      <c r="C22" s="199" t="s">
        <v>354</v>
      </c>
      <c r="D22" s="23" t="s">
        <v>24</v>
      </c>
      <c r="E22" s="23"/>
      <c r="F22" s="24">
        <v>52</v>
      </c>
      <c r="G22" s="24">
        <v>4</v>
      </c>
      <c r="H22" s="25">
        <v>3.9</v>
      </c>
      <c r="I22" s="24"/>
      <c r="J22" s="24"/>
      <c r="K22" s="24"/>
      <c r="L22" s="108"/>
      <c r="M22" s="24" t="s">
        <v>169</v>
      </c>
      <c r="N22" s="25">
        <f t="shared" ref="N22" si="13">H22-I22</f>
        <v>3.9</v>
      </c>
      <c r="O22" s="112"/>
      <c r="P22" s="24"/>
      <c r="Q22" s="25"/>
      <c r="R22" s="111"/>
      <c r="S22" s="24" t="s">
        <v>166</v>
      </c>
      <c r="T22" s="24" t="s">
        <v>166</v>
      </c>
      <c r="U22" s="24"/>
      <c r="V22" s="24"/>
      <c r="W22" s="24" t="s">
        <v>166</v>
      </c>
      <c r="X22" s="24" t="s">
        <v>170</v>
      </c>
      <c r="Y22" s="26" t="s">
        <v>171</v>
      </c>
      <c r="Z22" s="27" t="s">
        <v>195</v>
      </c>
      <c r="AA22" s="24">
        <v>0.6</v>
      </c>
      <c r="AB22" s="24">
        <v>200</v>
      </c>
      <c r="AC22" s="24"/>
      <c r="AD22" s="24" t="s">
        <v>166</v>
      </c>
      <c r="AE22" s="24" t="s">
        <v>190</v>
      </c>
      <c r="AF22" s="12"/>
      <c r="AG22" s="24">
        <v>1</v>
      </c>
      <c r="AH22" s="24" t="s">
        <v>188</v>
      </c>
      <c r="AI22" s="24" t="s">
        <v>185</v>
      </c>
      <c r="AJ22" s="24">
        <v>4</v>
      </c>
      <c r="AK22" s="28"/>
      <c r="AL22" s="24" t="s">
        <v>172</v>
      </c>
      <c r="AM22" s="23">
        <v>6</v>
      </c>
      <c r="AN22" s="23" t="s">
        <v>166</v>
      </c>
      <c r="AO22" s="23" t="s">
        <v>166</v>
      </c>
      <c r="AP22" s="23" t="s">
        <v>166</v>
      </c>
      <c r="AQ22" s="23">
        <v>4</v>
      </c>
      <c r="AR22" s="23"/>
      <c r="AS22" s="24" t="s">
        <v>234</v>
      </c>
      <c r="AT22" s="23" t="s">
        <v>175</v>
      </c>
      <c r="AU22" s="23" t="s">
        <v>18</v>
      </c>
      <c r="AV22" s="23" t="s">
        <v>181</v>
      </c>
      <c r="AW22" s="23">
        <v>55</v>
      </c>
      <c r="AX22" s="23">
        <v>23</v>
      </c>
      <c r="AY22" s="23">
        <v>22</v>
      </c>
      <c r="AZ22" s="23" t="s">
        <v>184</v>
      </c>
      <c r="BA22" s="23"/>
      <c r="BB22" s="23">
        <v>24</v>
      </c>
      <c r="BC22" s="23">
        <v>24</v>
      </c>
      <c r="BD22" s="23" t="s">
        <v>176</v>
      </c>
      <c r="BE22" s="23"/>
      <c r="BF22" s="23">
        <v>19</v>
      </c>
      <c r="BG22" s="23">
        <v>20</v>
      </c>
      <c r="BH22" s="23"/>
      <c r="BI22" s="23"/>
      <c r="BJ22" s="23"/>
      <c r="BK22" s="23"/>
      <c r="BL22" s="23"/>
      <c r="BM22" s="23"/>
      <c r="BN22" s="23"/>
      <c r="BO22" s="23"/>
      <c r="BP22" s="23"/>
      <c r="BQ22" s="23"/>
      <c r="BR22" s="23"/>
      <c r="BS22" s="23"/>
      <c r="BT22" s="23"/>
      <c r="BU22" s="23"/>
      <c r="BV22" s="23"/>
      <c r="BW22" s="23"/>
      <c r="BY22">
        <f>INDEX('Ведомость расчета мин. платы'!$AK$10:$AL$210,MATCH('Такс. опис.'!C22,'Ведомость расчета мин. платы'!$AK$10:$AK$210,0),2)</f>
        <v>1</v>
      </c>
    </row>
    <row r="23" spans="1:77" x14ac:dyDescent="0.2">
      <c r="A23" s="23" t="s">
        <v>167</v>
      </c>
      <c r="B23" s="23" t="s">
        <v>168</v>
      </c>
      <c r="C23" s="199" t="s">
        <v>355</v>
      </c>
      <c r="D23" s="23" t="s">
        <v>24</v>
      </c>
      <c r="E23" s="23"/>
      <c r="F23" s="24">
        <v>52</v>
      </c>
      <c r="G23" s="24">
        <v>22</v>
      </c>
      <c r="H23" s="25">
        <v>47.2</v>
      </c>
      <c r="I23" s="24"/>
      <c r="J23" s="24"/>
      <c r="K23" s="24"/>
      <c r="L23" s="108"/>
      <c r="M23" s="24" t="s">
        <v>169</v>
      </c>
      <c r="N23" s="25">
        <f t="shared" ref="N23" si="14">H23-I23</f>
        <v>47.2</v>
      </c>
      <c r="O23" s="112"/>
      <c r="P23" s="24"/>
      <c r="Q23" s="25"/>
      <c r="R23" s="111"/>
      <c r="S23" s="24" t="s">
        <v>166</v>
      </c>
      <c r="T23" s="24" t="s">
        <v>166</v>
      </c>
      <c r="U23" s="24"/>
      <c r="V23" s="24"/>
      <c r="W23" s="24" t="s">
        <v>166</v>
      </c>
      <c r="X23" s="24" t="s">
        <v>170</v>
      </c>
      <c r="Y23" s="26" t="s">
        <v>171</v>
      </c>
      <c r="Z23" s="27" t="s">
        <v>195</v>
      </c>
      <c r="AA23" s="24">
        <v>0.6</v>
      </c>
      <c r="AB23" s="24">
        <v>210</v>
      </c>
      <c r="AC23" s="24"/>
      <c r="AD23" s="24" t="s">
        <v>166</v>
      </c>
      <c r="AE23" s="24" t="s">
        <v>190</v>
      </c>
      <c r="AF23" s="12"/>
      <c r="AG23" s="24">
        <v>1</v>
      </c>
      <c r="AH23" s="24" t="s">
        <v>188</v>
      </c>
      <c r="AI23" s="24" t="s">
        <v>185</v>
      </c>
      <c r="AJ23" s="24">
        <v>4</v>
      </c>
      <c r="AK23" s="28"/>
      <c r="AL23" s="24" t="s">
        <v>172</v>
      </c>
      <c r="AM23" s="23">
        <v>6</v>
      </c>
      <c r="AN23" s="23" t="s">
        <v>166</v>
      </c>
      <c r="AO23" s="23" t="s">
        <v>166</v>
      </c>
      <c r="AP23" s="23" t="s">
        <v>166</v>
      </c>
      <c r="AQ23" s="23">
        <v>4</v>
      </c>
      <c r="AR23" s="23"/>
      <c r="AS23" s="24" t="s">
        <v>234</v>
      </c>
      <c r="AT23" s="23" t="s">
        <v>175</v>
      </c>
      <c r="AU23" s="23" t="s">
        <v>18</v>
      </c>
      <c r="AV23" s="23" t="s">
        <v>181</v>
      </c>
      <c r="AW23" s="23">
        <v>55</v>
      </c>
      <c r="AX23" s="23">
        <v>23</v>
      </c>
      <c r="AY23" s="23">
        <v>22</v>
      </c>
      <c r="AZ23" s="23" t="s">
        <v>184</v>
      </c>
      <c r="BA23" s="23"/>
      <c r="BB23" s="23">
        <v>24</v>
      </c>
      <c r="BC23" s="23">
        <v>24</v>
      </c>
      <c r="BD23" s="23" t="s">
        <v>176</v>
      </c>
      <c r="BE23" s="23"/>
      <c r="BF23" s="23">
        <v>20</v>
      </c>
      <c r="BG23" s="23">
        <v>18</v>
      </c>
      <c r="BH23" s="23"/>
      <c r="BI23" s="23"/>
      <c r="BJ23" s="23"/>
      <c r="BK23" s="23"/>
      <c r="BL23" s="23"/>
      <c r="BM23" s="23"/>
      <c r="BN23" s="23"/>
      <c r="BO23" s="23"/>
      <c r="BP23" s="23"/>
      <c r="BQ23" s="23"/>
      <c r="BR23" s="23"/>
      <c r="BS23" s="23"/>
      <c r="BT23" s="23"/>
      <c r="BU23" s="23"/>
      <c r="BV23" s="23"/>
      <c r="BW23" s="23"/>
      <c r="BY23">
        <f>INDEX('Ведомость расчета мин. платы'!$AK$10:$AL$210,MATCH('Такс. опис.'!C23,'Ведомость расчета мин. платы'!$AK$10:$AK$210,0),2)</f>
        <v>1</v>
      </c>
    </row>
    <row r="24" spans="1:77" x14ac:dyDescent="0.2">
      <c r="A24" s="23" t="s">
        <v>167</v>
      </c>
      <c r="B24" s="23" t="s">
        <v>168</v>
      </c>
      <c r="C24" s="199" t="s">
        <v>356</v>
      </c>
      <c r="D24" s="23" t="s">
        <v>24</v>
      </c>
      <c r="E24" s="23"/>
      <c r="F24" s="24">
        <v>52</v>
      </c>
      <c r="G24" s="24">
        <v>35</v>
      </c>
      <c r="H24" s="25">
        <v>12.6</v>
      </c>
      <c r="I24" s="24"/>
      <c r="J24" s="24"/>
      <c r="K24" s="24"/>
      <c r="L24" s="108"/>
      <c r="M24" s="24" t="s">
        <v>169</v>
      </c>
      <c r="N24" s="25">
        <f t="shared" ref="N24" si="15">H24-I24</f>
        <v>12.6</v>
      </c>
      <c r="O24" s="112"/>
      <c r="P24" s="24"/>
      <c r="Q24" s="25"/>
      <c r="R24" s="111"/>
      <c r="S24" s="24" t="s">
        <v>166</v>
      </c>
      <c r="T24" s="24" t="s">
        <v>166</v>
      </c>
      <c r="U24" s="24"/>
      <c r="V24" s="24"/>
      <c r="W24" s="24" t="s">
        <v>166</v>
      </c>
      <c r="X24" s="24" t="s">
        <v>170</v>
      </c>
      <c r="Y24" s="26" t="s">
        <v>171</v>
      </c>
      <c r="Z24" s="27" t="s">
        <v>225</v>
      </c>
      <c r="AA24" s="24">
        <v>0.5</v>
      </c>
      <c r="AB24" s="24">
        <v>180</v>
      </c>
      <c r="AC24" s="24"/>
      <c r="AD24" s="24" t="s">
        <v>166</v>
      </c>
      <c r="AE24" s="24" t="s">
        <v>190</v>
      </c>
      <c r="AF24" s="12"/>
      <c r="AG24" s="24">
        <v>1</v>
      </c>
      <c r="AH24" s="24" t="s">
        <v>188</v>
      </c>
      <c r="AI24" s="24" t="s">
        <v>185</v>
      </c>
      <c r="AJ24" s="24">
        <v>4</v>
      </c>
      <c r="AK24" s="28"/>
      <c r="AL24" s="24" t="s">
        <v>172</v>
      </c>
      <c r="AM24" s="23">
        <v>6</v>
      </c>
      <c r="AN24" s="23" t="s">
        <v>166</v>
      </c>
      <c r="AO24" s="23" t="s">
        <v>166</v>
      </c>
      <c r="AP24" s="23" t="s">
        <v>166</v>
      </c>
      <c r="AQ24" s="23">
        <v>4</v>
      </c>
      <c r="AR24" s="23"/>
      <c r="AS24" s="24" t="s">
        <v>234</v>
      </c>
      <c r="AT24" s="23" t="s">
        <v>175</v>
      </c>
      <c r="AU24" s="23" t="s">
        <v>18</v>
      </c>
      <c r="AV24" s="23" t="s">
        <v>181</v>
      </c>
      <c r="AW24" s="23">
        <v>55</v>
      </c>
      <c r="AX24" s="23">
        <v>24</v>
      </c>
      <c r="AY24" s="23">
        <v>22</v>
      </c>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Y24">
        <f>INDEX('Ведомость расчета мин. платы'!$AK$10:$AL$210,MATCH('Такс. опис.'!C24,'Ведомость расчета мин. платы'!$AK$10:$AK$210,0),2)</f>
        <v>1</v>
      </c>
    </row>
    <row r="25" spans="1:77" x14ac:dyDescent="0.2">
      <c r="A25" s="23" t="s">
        <v>167</v>
      </c>
      <c r="B25" s="23" t="s">
        <v>168</v>
      </c>
      <c r="C25" s="199" t="s">
        <v>357</v>
      </c>
      <c r="D25" s="23" t="s">
        <v>24</v>
      </c>
      <c r="E25" s="23"/>
      <c r="F25" s="24">
        <v>53</v>
      </c>
      <c r="G25" s="24">
        <v>10</v>
      </c>
      <c r="H25" s="25">
        <v>20.5</v>
      </c>
      <c r="I25" s="24"/>
      <c r="J25" s="24"/>
      <c r="K25" s="24"/>
      <c r="L25" s="108"/>
      <c r="M25" s="24" t="s">
        <v>169</v>
      </c>
      <c r="N25" s="25">
        <f t="shared" ref="N25" si="16">H25-I25</f>
        <v>20.5</v>
      </c>
      <c r="O25" s="112"/>
      <c r="P25" s="24"/>
      <c r="Q25" s="25"/>
      <c r="R25" s="111"/>
      <c r="S25" s="24" t="s">
        <v>166</v>
      </c>
      <c r="T25" s="24" t="s">
        <v>166</v>
      </c>
      <c r="U25" s="24"/>
      <c r="V25" s="24"/>
      <c r="W25" s="24" t="s">
        <v>166</v>
      </c>
      <c r="X25" s="24" t="s">
        <v>170</v>
      </c>
      <c r="Y25" s="26" t="s">
        <v>171</v>
      </c>
      <c r="Z25" s="27" t="s">
        <v>217</v>
      </c>
      <c r="AA25" s="24">
        <v>0.5</v>
      </c>
      <c r="AB25" s="24">
        <v>180</v>
      </c>
      <c r="AC25" s="24"/>
      <c r="AD25" s="24" t="s">
        <v>166</v>
      </c>
      <c r="AE25" s="24" t="s">
        <v>190</v>
      </c>
      <c r="AF25" s="12"/>
      <c r="AG25" s="24">
        <v>1</v>
      </c>
      <c r="AH25" s="24" t="s">
        <v>188</v>
      </c>
      <c r="AI25" s="24" t="s">
        <v>185</v>
      </c>
      <c r="AJ25" s="24">
        <v>4</v>
      </c>
      <c r="AK25" s="28"/>
      <c r="AL25" s="24" t="s">
        <v>172</v>
      </c>
      <c r="AM25" s="23">
        <v>6</v>
      </c>
      <c r="AN25" s="23" t="s">
        <v>166</v>
      </c>
      <c r="AO25" s="23" t="s">
        <v>166</v>
      </c>
      <c r="AP25" s="23" t="s">
        <v>166</v>
      </c>
      <c r="AQ25" s="23">
        <v>4</v>
      </c>
      <c r="AR25" s="23"/>
      <c r="AS25" s="24" t="s">
        <v>234</v>
      </c>
      <c r="AT25" s="23" t="s">
        <v>175</v>
      </c>
      <c r="AU25" s="23" t="s">
        <v>18</v>
      </c>
      <c r="AV25" s="23" t="s">
        <v>181</v>
      </c>
      <c r="AW25" s="23">
        <v>55</v>
      </c>
      <c r="AX25" s="23">
        <v>24</v>
      </c>
      <c r="AY25" s="23">
        <v>24</v>
      </c>
      <c r="AZ25" s="23" t="s">
        <v>176</v>
      </c>
      <c r="BA25" s="23"/>
      <c r="BB25" s="23">
        <v>20</v>
      </c>
      <c r="BC25" s="23">
        <v>20</v>
      </c>
      <c r="BD25" s="23"/>
      <c r="BE25" s="23"/>
      <c r="BF25" s="23"/>
      <c r="BG25" s="23"/>
      <c r="BH25" s="23"/>
      <c r="BI25" s="23"/>
      <c r="BJ25" s="23"/>
      <c r="BK25" s="23"/>
      <c r="BL25" s="23"/>
      <c r="BM25" s="23"/>
      <c r="BN25" s="23"/>
      <c r="BO25" s="23"/>
      <c r="BP25" s="23"/>
      <c r="BQ25" s="23"/>
      <c r="BR25" s="23"/>
      <c r="BS25" s="23"/>
      <c r="BT25" s="23"/>
      <c r="BU25" s="23"/>
      <c r="BV25" s="23"/>
      <c r="BW25" s="23"/>
      <c r="BY25">
        <f>INDEX('Ведомость расчета мин. платы'!$AK$10:$AL$210,MATCH('Такс. опис.'!C25,'Ведомость расчета мин. платы'!$AK$10:$AK$210,0),2)</f>
        <v>1</v>
      </c>
    </row>
    <row r="26" spans="1:77" x14ac:dyDescent="0.2">
      <c r="A26" s="23" t="s">
        <v>167</v>
      </c>
      <c r="B26" s="23" t="s">
        <v>168</v>
      </c>
      <c r="C26" s="199" t="s">
        <v>365</v>
      </c>
      <c r="D26" s="23" t="s">
        <v>24</v>
      </c>
      <c r="E26" s="23"/>
      <c r="F26" s="24">
        <v>90</v>
      </c>
      <c r="G26" s="24">
        <v>5</v>
      </c>
      <c r="H26" s="25">
        <v>15</v>
      </c>
      <c r="I26" s="24"/>
      <c r="J26" s="24"/>
      <c r="K26" s="24"/>
      <c r="L26" s="108"/>
      <c r="M26" s="24" t="s">
        <v>169</v>
      </c>
      <c r="N26" s="25">
        <f>H26-I26</f>
        <v>15</v>
      </c>
      <c r="O26" s="112"/>
      <c r="P26" s="24"/>
      <c r="Q26" s="25"/>
      <c r="R26" s="111"/>
      <c r="S26" s="24" t="s">
        <v>166</v>
      </c>
      <c r="T26" s="24" t="s">
        <v>166</v>
      </c>
      <c r="U26" s="24"/>
      <c r="V26" s="24"/>
      <c r="W26" s="24" t="s">
        <v>166</v>
      </c>
      <c r="X26" s="24" t="s">
        <v>170</v>
      </c>
      <c r="Y26" s="26" t="s">
        <v>171</v>
      </c>
      <c r="Z26" s="27" t="s">
        <v>195</v>
      </c>
      <c r="AA26" s="24">
        <v>0.8</v>
      </c>
      <c r="AB26" s="24">
        <v>290</v>
      </c>
      <c r="AC26" s="24"/>
      <c r="AD26" s="24" t="s">
        <v>166</v>
      </c>
      <c r="AE26" s="24" t="s">
        <v>190</v>
      </c>
      <c r="AF26" s="12"/>
      <c r="AG26" s="24">
        <v>1</v>
      </c>
      <c r="AH26" s="24" t="s">
        <v>188</v>
      </c>
      <c r="AI26" s="24" t="s">
        <v>185</v>
      </c>
      <c r="AJ26" s="24">
        <v>4</v>
      </c>
      <c r="AK26" s="28"/>
      <c r="AL26" s="24" t="s">
        <v>172</v>
      </c>
      <c r="AM26" s="23">
        <v>6</v>
      </c>
      <c r="AN26" s="23" t="s">
        <v>166</v>
      </c>
      <c r="AO26" s="23" t="s">
        <v>166</v>
      </c>
      <c r="AP26" s="23" t="s">
        <v>166</v>
      </c>
      <c r="AQ26" s="23">
        <v>4</v>
      </c>
      <c r="AR26" s="23"/>
      <c r="AS26" s="24" t="s">
        <v>234</v>
      </c>
      <c r="AT26" s="23" t="s">
        <v>175</v>
      </c>
      <c r="AU26" s="23" t="s">
        <v>18</v>
      </c>
      <c r="AV26" s="23" t="s">
        <v>181</v>
      </c>
      <c r="AW26" s="23">
        <v>55</v>
      </c>
      <c r="AX26" s="23">
        <v>24</v>
      </c>
      <c r="AY26" s="23">
        <v>22</v>
      </c>
      <c r="AZ26" s="23" t="s">
        <v>184</v>
      </c>
      <c r="BA26" s="23"/>
      <c r="BB26" s="23">
        <v>25</v>
      </c>
      <c r="BC26" s="23">
        <v>24</v>
      </c>
      <c r="BD26" s="23" t="s">
        <v>176</v>
      </c>
      <c r="BE26" s="23"/>
      <c r="BF26" s="23">
        <v>20</v>
      </c>
      <c r="BG26" s="23">
        <v>18</v>
      </c>
      <c r="BH26" s="23"/>
      <c r="BI26" s="23"/>
      <c r="BJ26" s="23"/>
      <c r="BK26" s="23"/>
      <c r="BL26" s="23"/>
      <c r="BM26" s="23"/>
      <c r="BN26" s="23"/>
      <c r="BO26" s="23"/>
      <c r="BP26" s="23"/>
      <c r="BQ26" s="23"/>
      <c r="BR26" s="23"/>
      <c r="BS26" s="23"/>
      <c r="BT26" s="23"/>
      <c r="BU26" s="23"/>
      <c r="BV26" s="23"/>
      <c r="BW26" s="23"/>
      <c r="BY26">
        <f>INDEX('Ведомость расчета мин. платы'!$AK$10:$AL$210,MATCH('Такс. опис.'!C26,'Ведомость расчета мин. платы'!$AK$10:$AK$210,0),2)</f>
        <v>1</v>
      </c>
    </row>
    <row r="27" spans="1:77" x14ac:dyDescent="0.2">
      <c r="A27" s="23" t="s">
        <v>167</v>
      </c>
      <c r="B27" s="23" t="s">
        <v>168</v>
      </c>
      <c r="C27" s="199" t="s">
        <v>366</v>
      </c>
      <c r="D27" s="23" t="s">
        <v>24</v>
      </c>
      <c r="E27" s="23"/>
      <c r="F27" s="24">
        <v>90</v>
      </c>
      <c r="G27" s="24">
        <v>8</v>
      </c>
      <c r="H27" s="25">
        <v>11.9</v>
      </c>
      <c r="I27" s="24"/>
      <c r="J27" s="24"/>
      <c r="K27" s="24"/>
      <c r="L27" s="108"/>
      <c r="M27" s="24" t="s">
        <v>169</v>
      </c>
      <c r="N27" s="25">
        <f>H27-I27</f>
        <v>11.9</v>
      </c>
      <c r="O27" s="112"/>
      <c r="P27" s="24"/>
      <c r="Q27" s="25"/>
      <c r="R27" s="111"/>
      <c r="S27" s="24" t="s">
        <v>166</v>
      </c>
      <c r="T27" s="24" t="s">
        <v>166</v>
      </c>
      <c r="U27" s="24"/>
      <c r="V27" s="24"/>
      <c r="W27" s="24" t="s">
        <v>166</v>
      </c>
      <c r="X27" s="24" t="s">
        <v>170</v>
      </c>
      <c r="Y27" s="26" t="s">
        <v>171</v>
      </c>
      <c r="Z27" s="27" t="s">
        <v>227</v>
      </c>
      <c r="AA27" s="24">
        <v>0.7</v>
      </c>
      <c r="AB27" s="24">
        <v>260</v>
      </c>
      <c r="AC27" s="24"/>
      <c r="AD27" s="24" t="s">
        <v>166</v>
      </c>
      <c r="AE27" s="24" t="s">
        <v>190</v>
      </c>
      <c r="AF27" s="12"/>
      <c r="AG27" s="24">
        <v>1</v>
      </c>
      <c r="AH27" s="24" t="s">
        <v>188</v>
      </c>
      <c r="AI27" s="24" t="s">
        <v>185</v>
      </c>
      <c r="AJ27" s="24">
        <v>4</v>
      </c>
      <c r="AK27" s="28"/>
      <c r="AL27" s="24" t="s">
        <v>172</v>
      </c>
      <c r="AM27" s="23">
        <v>6</v>
      </c>
      <c r="AN27" s="23" t="s">
        <v>166</v>
      </c>
      <c r="AO27" s="23" t="s">
        <v>166</v>
      </c>
      <c r="AP27" s="23" t="s">
        <v>166</v>
      </c>
      <c r="AQ27" s="23">
        <v>4</v>
      </c>
      <c r="AR27" s="23"/>
      <c r="AS27" s="24" t="s">
        <v>234</v>
      </c>
      <c r="AT27" s="23" t="s">
        <v>175</v>
      </c>
      <c r="AU27" s="23" t="s">
        <v>18</v>
      </c>
      <c r="AV27" s="23" t="s">
        <v>181</v>
      </c>
      <c r="AW27" s="23">
        <v>55</v>
      </c>
      <c r="AX27" s="23">
        <v>24</v>
      </c>
      <c r="AY27" s="23">
        <v>22</v>
      </c>
      <c r="AZ27" s="23" t="s">
        <v>184</v>
      </c>
      <c r="BA27" s="23"/>
      <c r="BB27" s="23">
        <v>25</v>
      </c>
      <c r="BC27" s="23">
        <v>24</v>
      </c>
      <c r="BD27" s="23"/>
      <c r="BE27" s="23"/>
      <c r="BF27" s="23"/>
      <c r="BG27" s="23"/>
      <c r="BH27" s="23"/>
      <c r="BI27" s="23"/>
      <c r="BJ27" s="23"/>
      <c r="BK27" s="23"/>
      <c r="BL27" s="23"/>
      <c r="BM27" s="23"/>
      <c r="BN27" s="23"/>
      <c r="BO27" s="23"/>
      <c r="BP27" s="23"/>
      <c r="BQ27" s="23"/>
      <c r="BR27" s="23"/>
      <c r="BS27" s="23"/>
      <c r="BT27" s="23"/>
      <c r="BU27" s="23"/>
      <c r="BV27" s="23"/>
      <c r="BW27" s="23"/>
      <c r="BY27">
        <f>INDEX('Ведомость расчета мин. платы'!$AK$10:$AL$210,MATCH('Такс. опис.'!C27,'Ведомость расчета мин. платы'!$AK$10:$AK$210,0),2)</f>
        <v>1</v>
      </c>
    </row>
    <row r="28" spans="1:77" x14ac:dyDescent="0.2">
      <c r="A28" s="23" t="s">
        <v>167</v>
      </c>
      <c r="B28" s="23" t="s">
        <v>168</v>
      </c>
      <c r="C28" s="199" t="s">
        <v>367</v>
      </c>
      <c r="D28" s="23" t="s">
        <v>24</v>
      </c>
      <c r="E28" s="23"/>
      <c r="F28" s="24">
        <v>90</v>
      </c>
      <c r="G28" s="24">
        <v>12</v>
      </c>
      <c r="H28" s="25">
        <v>8.4</v>
      </c>
      <c r="I28" s="24"/>
      <c r="J28" s="24"/>
      <c r="K28" s="24"/>
      <c r="L28" s="108"/>
      <c r="M28" s="24" t="s">
        <v>169</v>
      </c>
      <c r="N28" s="25">
        <f>H28-I28</f>
        <v>8.4</v>
      </c>
      <c r="O28" s="112"/>
      <c r="P28" s="24"/>
      <c r="Q28" s="25"/>
      <c r="R28" s="111"/>
      <c r="S28" s="24" t="s">
        <v>166</v>
      </c>
      <c r="T28" s="24" t="s">
        <v>166</v>
      </c>
      <c r="U28" s="24"/>
      <c r="V28" s="24"/>
      <c r="W28" s="24" t="s">
        <v>166</v>
      </c>
      <c r="X28" s="24" t="s">
        <v>170</v>
      </c>
      <c r="Y28" s="26" t="s">
        <v>171</v>
      </c>
      <c r="Z28" s="27" t="s">
        <v>340</v>
      </c>
      <c r="AA28" s="24">
        <v>0.7</v>
      </c>
      <c r="AB28" s="24">
        <v>200</v>
      </c>
      <c r="AC28" s="24"/>
      <c r="AD28" s="24" t="s">
        <v>166</v>
      </c>
      <c r="AE28" s="24" t="s">
        <v>190</v>
      </c>
      <c r="AF28" s="12"/>
      <c r="AG28" s="24">
        <v>1</v>
      </c>
      <c r="AH28" s="24" t="s">
        <v>188</v>
      </c>
      <c r="AI28" s="24" t="s">
        <v>185</v>
      </c>
      <c r="AJ28" s="24">
        <v>4</v>
      </c>
      <c r="AK28" s="28"/>
      <c r="AL28" s="24" t="s">
        <v>172</v>
      </c>
      <c r="AM28" s="23">
        <v>5</v>
      </c>
      <c r="AN28" s="23" t="s">
        <v>166</v>
      </c>
      <c r="AO28" s="23" t="s">
        <v>166</v>
      </c>
      <c r="AP28" s="23" t="s">
        <v>166</v>
      </c>
      <c r="AQ28" s="23">
        <v>4</v>
      </c>
      <c r="AR28" s="23"/>
      <c r="AS28" s="24" t="s">
        <v>234</v>
      </c>
      <c r="AT28" s="23" t="s">
        <v>175</v>
      </c>
      <c r="AU28" s="23" t="s">
        <v>18</v>
      </c>
      <c r="AV28" s="23" t="s">
        <v>181</v>
      </c>
      <c r="AW28" s="23">
        <v>45</v>
      </c>
      <c r="AX28" s="23">
        <v>21</v>
      </c>
      <c r="AY28" s="23">
        <v>18</v>
      </c>
      <c r="AZ28" s="23" t="s">
        <v>176</v>
      </c>
      <c r="BA28" s="23">
        <v>55</v>
      </c>
      <c r="BB28" s="23">
        <v>18</v>
      </c>
      <c r="BC28" s="23">
        <v>16</v>
      </c>
      <c r="BD28" s="23" t="s">
        <v>184</v>
      </c>
      <c r="BE28" s="23"/>
      <c r="BF28" s="23">
        <v>24</v>
      </c>
      <c r="BG28" s="23">
        <v>24</v>
      </c>
      <c r="BH28" s="23" t="s">
        <v>173</v>
      </c>
      <c r="BI28" s="23"/>
      <c r="BJ28" s="23">
        <v>17</v>
      </c>
      <c r="BK28" s="23">
        <v>18</v>
      </c>
      <c r="BL28" s="23"/>
      <c r="BM28" s="23"/>
      <c r="BN28" s="23"/>
      <c r="BO28" s="23"/>
      <c r="BP28" s="23"/>
      <c r="BQ28" s="23"/>
      <c r="BR28" s="23"/>
      <c r="BS28" s="23"/>
      <c r="BT28" s="23"/>
      <c r="BU28" s="23"/>
      <c r="BV28" s="23"/>
      <c r="BW28" s="23"/>
      <c r="BY28">
        <f>INDEX('Ведомость расчета мин. платы'!$AK$10:$AL$210,MATCH('Такс. опис.'!C28,'Ведомость расчета мин. платы'!$AK$10:$AK$210,0),2)</f>
        <v>1</v>
      </c>
    </row>
    <row r="29" spans="1:77" x14ac:dyDescent="0.2">
      <c r="A29" s="23" t="s">
        <v>167</v>
      </c>
      <c r="B29" s="23" t="s">
        <v>168</v>
      </c>
      <c r="C29" s="199" t="s">
        <v>368</v>
      </c>
      <c r="D29" s="23" t="s">
        <v>24</v>
      </c>
      <c r="E29" s="23"/>
      <c r="F29" s="24">
        <v>91</v>
      </c>
      <c r="G29" s="24">
        <v>9</v>
      </c>
      <c r="H29" s="25">
        <v>11.9</v>
      </c>
      <c r="I29" s="24"/>
      <c r="J29" s="24"/>
      <c r="K29" s="24"/>
      <c r="L29" s="108"/>
      <c r="M29" s="24" t="s">
        <v>169</v>
      </c>
      <c r="N29" s="25">
        <f t="shared" ref="N29" si="17">H29-I29</f>
        <v>11.9</v>
      </c>
      <c r="O29" s="112"/>
      <c r="P29" s="24"/>
      <c r="Q29" s="25"/>
      <c r="R29" s="111"/>
      <c r="S29" s="24" t="s">
        <v>166</v>
      </c>
      <c r="T29" s="24" t="s">
        <v>166</v>
      </c>
      <c r="U29" s="24"/>
      <c r="V29" s="24"/>
      <c r="W29" s="24" t="s">
        <v>166</v>
      </c>
      <c r="X29" s="24" t="s">
        <v>170</v>
      </c>
      <c r="Y29" s="26" t="s">
        <v>171</v>
      </c>
      <c r="Z29" s="27" t="s">
        <v>230</v>
      </c>
      <c r="AA29" s="24">
        <v>0.7</v>
      </c>
      <c r="AB29" s="24">
        <v>250</v>
      </c>
      <c r="AC29" s="24"/>
      <c r="AD29" s="24" t="s">
        <v>166</v>
      </c>
      <c r="AE29" s="24" t="s">
        <v>190</v>
      </c>
      <c r="AF29" s="12"/>
      <c r="AG29" s="24">
        <v>1</v>
      </c>
      <c r="AH29" s="24" t="s">
        <v>188</v>
      </c>
      <c r="AI29" s="24" t="s">
        <v>185</v>
      </c>
      <c r="AJ29" s="24">
        <v>4</v>
      </c>
      <c r="AK29" s="28"/>
      <c r="AL29" s="24" t="s">
        <v>172</v>
      </c>
      <c r="AM29" s="23">
        <v>6</v>
      </c>
      <c r="AN29" s="23" t="s">
        <v>166</v>
      </c>
      <c r="AO29" s="23" t="s">
        <v>166</v>
      </c>
      <c r="AP29" s="23" t="s">
        <v>166</v>
      </c>
      <c r="AQ29" s="23">
        <v>4</v>
      </c>
      <c r="AR29" s="23"/>
      <c r="AS29" s="24" t="s">
        <v>234</v>
      </c>
      <c r="AT29" s="23" t="s">
        <v>175</v>
      </c>
      <c r="AU29" s="23" t="s">
        <v>18</v>
      </c>
      <c r="AV29" s="23" t="s">
        <v>181</v>
      </c>
      <c r="AW29" s="23">
        <v>55</v>
      </c>
      <c r="AX29" s="23">
        <v>24</v>
      </c>
      <c r="AY29" s="23">
        <v>22</v>
      </c>
      <c r="AZ29" s="23" t="s">
        <v>184</v>
      </c>
      <c r="BA29" s="23"/>
      <c r="BB29" s="23">
        <v>25</v>
      </c>
      <c r="BC29" s="23">
        <v>24</v>
      </c>
      <c r="BD29" s="23" t="s">
        <v>176</v>
      </c>
      <c r="BE29" s="23"/>
      <c r="BF29" s="23">
        <v>19</v>
      </c>
      <c r="BG29" s="23">
        <v>18</v>
      </c>
      <c r="BH29" s="23" t="s">
        <v>173</v>
      </c>
      <c r="BI29" s="23"/>
      <c r="BJ29" s="23">
        <v>18</v>
      </c>
      <c r="BK29" s="23">
        <v>18</v>
      </c>
      <c r="BL29" s="23"/>
      <c r="BM29" s="23"/>
      <c r="BN29" s="23"/>
      <c r="BO29" s="23"/>
      <c r="BP29" s="23"/>
      <c r="BQ29" s="23"/>
      <c r="BR29" s="23"/>
      <c r="BS29" s="23"/>
      <c r="BT29" s="23"/>
      <c r="BU29" s="23"/>
      <c r="BV29" s="23"/>
      <c r="BW29" s="23"/>
      <c r="BY29">
        <f>INDEX('Ведомость расчета мин. платы'!$AK$10:$AL$210,MATCH('Такс. опис.'!C29,'Ведомость расчета мин. платы'!$AK$10:$AK$210,0),2)</f>
        <v>1</v>
      </c>
    </row>
    <row r="30" spans="1:77" x14ac:dyDescent="0.2">
      <c r="A30" s="23" t="s">
        <v>167</v>
      </c>
      <c r="B30" s="23" t="s">
        <v>168</v>
      </c>
      <c r="C30" s="199" t="s">
        <v>369</v>
      </c>
      <c r="D30" s="23" t="s">
        <v>24</v>
      </c>
      <c r="E30" s="23"/>
      <c r="F30" s="24">
        <v>96</v>
      </c>
      <c r="G30" s="24">
        <v>5</v>
      </c>
      <c r="H30" s="25">
        <v>38.299999999999997</v>
      </c>
      <c r="I30" s="24"/>
      <c r="J30" s="24"/>
      <c r="K30" s="24"/>
      <c r="L30" s="108"/>
      <c r="M30" s="24" t="s">
        <v>169</v>
      </c>
      <c r="N30" s="25">
        <f t="shared" ref="N30" si="18">H30-I30</f>
        <v>38.299999999999997</v>
      </c>
      <c r="O30" s="112"/>
      <c r="P30" s="24"/>
      <c r="Q30" s="25"/>
      <c r="R30" s="111"/>
      <c r="S30" s="24" t="s">
        <v>166</v>
      </c>
      <c r="T30" s="24" t="s">
        <v>166</v>
      </c>
      <c r="U30" s="24"/>
      <c r="V30" s="24"/>
      <c r="W30" s="24" t="s">
        <v>166</v>
      </c>
      <c r="X30" s="24" t="s">
        <v>170</v>
      </c>
      <c r="Y30" s="26" t="s">
        <v>171</v>
      </c>
      <c r="Z30" s="27" t="s">
        <v>332</v>
      </c>
      <c r="AA30" s="24">
        <v>0.7</v>
      </c>
      <c r="AB30" s="24">
        <v>220</v>
      </c>
      <c r="AC30" s="24"/>
      <c r="AD30" s="24" t="s">
        <v>166</v>
      </c>
      <c r="AE30" s="24" t="s">
        <v>190</v>
      </c>
      <c r="AF30" s="12"/>
      <c r="AG30" s="24">
        <v>1</v>
      </c>
      <c r="AH30" s="24" t="s">
        <v>188</v>
      </c>
      <c r="AI30" s="24" t="s">
        <v>185</v>
      </c>
      <c r="AJ30" s="24">
        <v>4</v>
      </c>
      <c r="AK30" s="28"/>
      <c r="AL30" s="24" t="s">
        <v>172</v>
      </c>
      <c r="AM30" s="23">
        <v>6</v>
      </c>
      <c r="AN30" s="23" t="s">
        <v>166</v>
      </c>
      <c r="AO30" s="23" t="s">
        <v>166</v>
      </c>
      <c r="AP30" s="23" t="s">
        <v>166</v>
      </c>
      <c r="AQ30" s="23">
        <v>4</v>
      </c>
      <c r="AR30" s="23"/>
      <c r="AS30" s="24" t="s">
        <v>234</v>
      </c>
      <c r="AT30" s="23" t="s">
        <v>175</v>
      </c>
      <c r="AU30" s="23" t="s">
        <v>18</v>
      </c>
      <c r="AV30" s="23" t="s">
        <v>181</v>
      </c>
      <c r="AW30" s="23">
        <v>55</v>
      </c>
      <c r="AX30" s="23">
        <v>23</v>
      </c>
      <c r="AY30" s="23">
        <v>22</v>
      </c>
      <c r="AZ30" s="23" t="s">
        <v>176</v>
      </c>
      <c r="BA30" s="23"/>
      <c r="BB30" s="23">
        <v>18</v>
      </c>
      <c r="BC30" s="23">
        <v>18</v>
      </c>
      <c r="BD30" s="23" t="s">
        <v>184</v>
      </c>
      <c r="BE30" s="23"/>
      <c r="BF30" s="23">
        <v>24</v>
      </c>
      <c r="BG30" s="23">
        <v>28</v>
      </c>
      <c r="BH30" s="23" t="s">
        <v>173</v>
      </c>
      <c r="BI30" s="23"/>
      <c r="BJ30" s="23">
        <v>17</v>
      </c>
      <c r="BK30" s="23">
        <v>20</v>
      </c>
      <c r="BL30" s="23"/>
      <c r="BM30" s="23"/>
      <c r="BN30" s="23"/>
      <c r="BO30" s="23"/>
      <c r="BP30" s="23"/>
      <c r="BQ30" s="23"/>
      <c r="BR30" s="23"/>
      <c r="BS30" s="23"/>
      <c r="BT30" s="23"/>
      <c r="BU30" s="23"/>
      <c r="BV30" s="23"/>
      <c r="BW30" s="23"/>
      <c r="BY30">
        <f>INDEX('Ведомость расчета мин. платы'!$AK$10:$AL$210,MATCH('Такс. опис.'!C30,'Ведомость расчета мин. платы'!$AK$10:$AK$210,0),2)</f>
        <v>1</v>
      </c>
    </row>
    <row r="31" spans="1:77" ht="15" x14ac:dyDescent="0.2">
      <c r="A31" s="23" t="s">
        <v>167</v>
      </c>
      <c r="B31" s="23" t="s">
        <v>168</v>
      </c>
      <c r="C31" s="199" t="s">
        <v>377</v>
      </c>
      <c r="D31" s="23" t="s">
        <v>22</v>
      </c>
      <c r="E31" s="23"/>
      <c r="F31" s="30">
        <v>11</v>
      </c>
      <c r="G31" s="30">
        <v>3</v>
      </c>
      <c r="H31" s="32">
        <v>12.7</v>
      </c>
      <c r="I31" s="24"/>
      <c r="J31" s="24"/>
      <c r="K31" s="24"/>
      <c r="L31" s="108"/>
      <c r="M31" s="24" t="s">
        <v>169</v>
      </c>
      <c r="N31" s="25">
        <f t="shared" ref="N31:N35" si="19">H31-I31</f>
        <v>12.7</v>
      </c>
      <c r="O31" s="112"/>
      <c r="P31" s="24"/>
      <c r="Q31" s="25"/>
      <c r="R31" s="111"/>
      <c r="S31" s="24" t="s">
        <v>166</v>
      </c>
      <c r="T31" s="24" t="s">
        <v>166</v>
      </c>
      <c r="U31" s="24"/>
      <c r="V31" s="24"/>
      <c r="W31" s="24" t="s">
        <v>166</v>
      </c>
      <c r="X31" s="24" t="s">
        <v>170</v>
      </c>
      <c r="Y31" s="26" t="s">
        <v>171</v>
      </c>
      <c r="Z31" s="33" t="s">
        <v>226</v>
      </c>
      <c r="AA31" s="30">
        <v>0.7</v>
      </c>
      <c r="AB31" s="30">
        <v>220</v>
      </c>
      <c r="AC31" s="30"/>
      <c r="AD31" s="30" t="s">
        <v>166</v>
      </c>
      <c r="AE31" s="30" t="s">
        <v>190</v>
      </c>
      <c r="AF31" s="12"/>
      <c r="AG31" s="24">
        <v>2</v>
      </c>
      <c r="AH31" s="24" t="s">
        <v>188</v>
      </c>
      <c r="AI31" s="24" t="s">
        <v>185</v>
      </c>
      <c r="AJ31" s="24">
        <v>4</v>
      </c>
      <c r="AK31" s="34"/>
      <c r="AL31" s="24" t="s">
        <v>172</v>
      </c>
      <c r="AM31" s="35">
        <v>6</v>
      </c>
      <c r="AN31" s="35" t="s">
        <v>166</v>
      </c>
      <c r="AO31" s="23" t="s">
        <v>166</v>
      </c>
      <c r="AP31" s="23" t="s">
        <v>166</v>
      </c>
      <c r="AQ31" s="23">
        <v>4</v>
      </c>
      <c r="AR31" s="23"/>
      <c r="AS31" s="24" t="s">
        <v>234</v>
      </c>
      <c r="AT31" s="35" t="s">
        <v>175</v>
      </c>
      <c r="AU31" s="23" t="s">
        <v>18</v>
      </c>
      <c r="AV31" s="23" t="s">
        <v>181</v>
      </c>
      <c r="AW31" s="35">
        <v>55</v>
      </c>
      <c r="AX31" s="35">
        <v>22</v>
      </c>
      <c r="AY31" s="35">
        <v>24</v>
      </c>
      <c r="AZ31" s="35" t="s">
        <v>184</v>
      </c>
      <c r="BA31" s="35"/>
      <c r="BB31" s="35">
        <v>22</v>
      </c>
      <c r="BC31" s="35">
        <v>22</v>
      </c>
      <c r="BD31" s="35"/>
      <c r="BE31" s="35"/>
      <c r="BF31" s="35"/>
      <c r="BG31" s="35"/>
      <c r="BH31" s="35"/>
      <c r="BI31" s="35"/>
      <c r="BJ31" s="35"/>
      <c r="BK31" s="35"/>
      <c r="BL31" s="35"/>
      <c r="BM31" s="35"/>
      <c r="BN31" s="35"/>
      <c r="BO31" s="35"/>
      <c r="BP31" s="35"/>
      <c r="BQ31" s="35"/>
      <c r="BR31" s="35"/>
      <c r="BS31" s="35"/>
      <c r="BT31" s="35"/>
      <c r="BU31" s="35"/>
      <c r="BV31" s="35"/>
      <c r="BW31" s="35"/>
      <c r="BY31">
        <f>INDEX('Ведомость расчета мин. платы'!$AK$10:$AL$210,MATCH('Такс. опис.'!C31,'Ведомость расчета мин. платы'!$AK$10:$AK$210,0),2)</f>
        <v>1</v>
      </c>
    </row>
    <row r="32" spans="1:77" ht="15" x14ac:dyDescent="0.2">
      <c r="A32" s="23" t="s">
        <v>167</v>
      </c>
      <c r="B32" s="23" t="s">
        <v>168</v>
      </c>
      <c r="C32" s="199" t="s">
        <v>378</v>
      </c>
      <c r="D32" s="23" t="s">
        <v>22</v>
      </c>
      <c r="E32" s="23"/>
      <c r="F32" s="30">
        <v>11</v>
      </c>
      <c r="G32" s="30">
        <v>5</v>
      </c>
      <c r="H32" s="32">
        <v>9</v>
      </c>
      <c r="I32" s="24"/>
      <c r="J32" s="24"/>
      <c r="K32" s="24"/>
      <c r="L32" s="108"/>
      <c r="M32" s="24" t="s">
        <v>169</v>
      </c>
      <c r="N32" s="25">
        <f t="shared" si="19"/>
        <v>9</v>
      </c>
      <c r="O32" s="112"/>
      <c r="P32" s="24"/>
      <c r="Q32" s="25"/>
      <c r="R32" s="111"/>
      <c r="S32" s="24" t="s">
        <v>166</v>
      </c>
      <c r="T32" s="24" t="s">
        <v>166</v>
      </c>
      <c r="U32" s="24"/>
      <c r="V32" s="24"/>
      <c r="W32" s="24" t="s">
        <v>166</v>
      </c>
      <c r="X32" s="24" t="s">
        <v>170</v>
      </c>
      <c r="Y32" s="26" t="s">
        <v>171</v>
      </c>
      <c r="Z32" s="33" t="s">
        <v>210</v>
      </c>
      <c r="AA32" s="30">
        <v>0.5</v>
      </c>
      <c r="AB32" s="30">
        <v>200</v>
      </c>
      <c r="AC32" s="30"/>
      <c r="AD32" s="30" t="s">
        <v>166</v>
      </c>
      <c r="AE32" s="30" t="s">
        <v>190</v>
      </c>
      <c r="AF32" s="12"/>
      <c r="AG32" s="24">
        <v>1</v>
      </c>
      <c r="AH32" s="24" t="s">
        <v>188</v>
      </c>
      <c r="AI32" s="24" t="s">
        <v>185</v>
      </c>
      <c r="AJ32" s="24">
        <v>4</v>
      </c>
      <c r="AK32" s="34"/>
      <c r="AL32" s="24" t="s">
        <v>172</v>
      </c>
      <c r="AM32" s="35">
        <v>7</v>
      </c>
      <c r="AN32" s="35" t="s">
        <v>166</v>
      </c>
      <c r="AO32" s="23"/>
      <c r="AP32" s="23" t="s">
        <v>166</v>
      </c>
      <c r="AQ32" s="23"/>
      <c r="AR32" s="23">
        <v>5</v>
      </c>
      <c r="AS32" s="24" t="s">
        <v>300</v>
      </c>
      <c r="AT32" s="35" t="s">
        <v>175</v>
      </c>
      <c r="AU32" s="23" t="s">
        <v>18</v>
      </c>
      <c r="AV32" s="23" t="s">
        <v>181</v>
      </c>
      <c r="AW32" s="35">
        <v>65</v>
      </c>
      <c r="AX32" s="35">
        <v>25</v>
      </c>
      <c r="AY32" s="35">
        <v>28</v>
      </c>
      <c r="AZ32" s="35" t="s">
        <v>184</v>
      </c>
      <c r="BA32" s="35"/>
      <c r="BB32" s="35">
        <v>25</v>
      </c>
      <c r="BC32" s="35">
        <v>26</v>
      </c>
      <c r="BD32" s="35" t="s">
        <v>176</v>
      </c>
      <c r="BE32" s="35"/>
      <c r="BF32" s="35">
        <v>25</v>
      </c>
      <c r="BG32" s="35">
        <v>26</v>
      </c>
      <c r="BH32" s="35"/>
      <c r="BI32" s="35"/>
      <c r="BJ32" s="35"/>
      <c r="BK32" s="35"/>
      <c r="BL32" s="35"/>
      <c r="BM32" s="35"/>
      <c r="BN32" s="35"/>
      <c r="BO32" s="35"/>
      <c r="BP32" s="35"/>
      <c r="BQ32" s="35"/>
      <c r="BR32" s="35"/>
      <c r="BS32" s="35"/>
      <c r="BT32" s="35"/>
      <c r="BU32" s="35"/>
      <c r="BV32" s="35"/>
      <c r="BW32" s="35"/>
      <c r="BY32">
        <f>INDEX('Ведомость расчета мин. платы'!$AK$10:$AL$210,MATCH('Такс. опис.'!C32,'Ведомость расчета мин. платы'!$AK$10:$AK$210,0),2)</f>
        <v>1</v>
      </c>
    </row>
    <row r="33" spans="1:77" ht="15" x14ac:dyDescent="0.2">
      <c r="A33" s="23" t="s">
        <v>167</v>
      </c>
      <c r="B33" s="23" t="s">
        <v>168</v>
      </c>
      <c r="C33" s="199" t="s">
        <v>379</v>
      </c>
      <c r="D33" s="23" t="s">
        <v>22</v>
      </c>
      <c r="E33" s="23"/>
      <c r="F33" s="30">
        <v>11</v>
      </c>
      <c r="G33" s="30">
        <v>8</v>
      </c>
      <c r="H33" s="32">
        <v>10.7</v>
      </c>
      <c r="I33" s="24"/>
      <c r="J33" s="24"/>
      <c r="K33" s="24"/>
      <c r="L33" s="108"/>
      <c r="M33" s="24" t="s">
        <v>169</v>
      </c>
      <c r="N33" s="25">
        <f t="shared" si="19"/>
        <v>10.7</v>
      </c>
      <c r="O33" s="112"/>
      <c r="P33" s="24"/>
      <c r="Q33" s="25"/>
      <c r="R33" s="111"/>
      <c r="S33" s="24" t="s">
        <v>166</v>
      </c>
      <c r="T33" s="24" t="s">
        <v>166</v>
      </c>
      <c r="U33" s="24"/>
      <c r="V33" s="24"/>
      <c r="W33" s="24" t="s">
        <v>166</v>
      </c>
      <c r="X33" s="24" t="s">
        <v>170</v>
      </c>
      <c r="Y33" s="26" t="s">
        <v>171</v>
      </c>
      <c r="Z33" s="33" t="s">
        <v>198</v>
      </c>
      <c r="AA33" s="30">
        <v>0.8</v>
      </c>
      <c r="AB33" s="30">
        <v>280</v>
      </c>
      <c r="AC33" s="30"/>
      <c r="AD33" s="30" t="s">
        <v>166</v>
      </c>
      <c r="AE33" s="30" t="s">
        <v>190</v>
      </c>
      <c r="AF33" s="12"/>
      <c r="AG33" s="24">
        <v>1</v>
      </c>
      <c r="AH33" s="24" t="s">
        <v>188</v>
      </c>
      <c r="AI33" s="24" t="s">
        <v>185</v>
      </c>
      <c r="AJ33" s="24">
        <v>4</v>
      </c>
      <c r="AK33" s="34"/>
      <c r="AL33" s="24" t="s">
        <v>172</v>
      </c>
      <c r="AM33" s="35">
        <v>6</v>
      </c>
      <c r="AN33" s="35" t="s">
        <v>166</v>
      </c>
      <c r="AO33" s="23" t="s">
        <v>166</v>
      </c>
      <c r="AP33" s="23" t="s">
        <v>166</v>
      </c>
      <c r="AQ33" s="23">
        <v>4</v>
      </c>
      <c r="AR33" s="23"/>
      <c r="AS33" s="24" t="s">
        <v>234</v>
      </c>
      <c r="AT33" s="35" t="s">
        <v>175</v>
      </c>
      <c r="AU33" s="23" t="s">
        <v>18</v>
      </c>
      <c r="AV33" s="23" t="s">
        <v>181</v>
      </c>
      <c r="AW33" s="35">
        <v>55</v>
      </c>
      <c r="AX33" s="35">
        <v>23</v>
      </c>
      <c r="AY33" s="35">
        <v>28</v>
      </c>
      <c r="AZ33" s="35" t="s">
        <v>184</v>
      </c>
      <c r="BA33" s="35"/>
      <c r="BB33" s="35">
        <v>23</v>
      </c>
      <c r="BC33" s="35">
        <v>24</v>
      </c>
      <c r="BD33" s="35"/>
      <c r="BE33" s="35"/>
      <c r="BF33" s="35"/>
      <c r="BG33" s="35"/>
      <c r="BH33" s="35"/>
      <c r="BI33" s="35"/>
      <c r="BJ33" s="35"/>
      <c r="BK33" s="35"/>
      <c r="BL33" s="35"/>
      <c r="BM33" s="35"/>
      <c r="BN33" s="35"/>
      <c r="BO33" s="35"/>
      <c r="BP33" s="35"/>
      <c r="BQ33" s="35"/>
      <c r="BR33" s="35"/>
      <c r="BS33" s="35"/>
      <c r="BT33" s="35"/>
      <c r="BU33" s="35"/>
      <c r="BV33" s="35"/>
      <c r="BW33" s="35"/>
      <c r="BY33">
        <f>INDEX('Ведомость расчета мин. платы'!$AK$10:$AL$210,MATCH('Такс. опис.'!C33,'Ведомость расчета мин. платы'!$AK$10:$AK$210,0),2)</f>
        <v>1</v>
      </c>
    </row>
    <row r="34" spans="1:77" ht="15" x14ac:dyDescent="0.2">
      <c r="A34" s="23" t="s">
        <v>167</v>
      </c>
      <c r="B34" s="23" t="s">
        <v>168</v>
      </c>
      <c r="C34" s="199" t="s">
        <v>380</v>
      </c>
      <c r="D34" s="23" t="s">
        <v>22</v>
      </c>
      <c r="E34" s="23"/>
      <c r="F34" s="30">
        <v>11</v>
      </c>
      <c r="G34" s="30">
        <v>17</v>
      </c>
      <c r="H34" s="32">
        <v>14.7</v>
      </c>
      <c r="I34" s="24"/>
      <c r="J34" s="24"/>
      <c r="K34" s="24"/>
      <c r="L34" s="108"/>
      <c r="M34" s="24" t="s">
        <v>169</v>
      </c>
      <c r="N34" s="25">
        <f t="shared" si="19"/>
        <v>14.7</v>
      </c>
      <c r="O34" s="112"/>
      <c r="P34" s="24"/>
      <c r="Q34" s="25"/>
      <c r="R34" s="111"/>
      <c r="S34" s="24" t="s">
        <v>166</v>
      </c>
      <c r="T34" s="24" t="s">
        <v>166</v>
      </c>
      <c r="U34" s="24"/>
      <c r="V34" s="24"/>
      <c r="W34" s="24" t="s">
        <v>166</v>
      </c>
      <c r="X34" s="24" t="s">
        <v>170</v>
      </c>
      <c r="Y34" s="26" t="s">
        <v>171</v>
      </c>
      <c r="Z34" s="33" t="s">
        <v>363</v>
      </c>
      <c r="AA34" s="30">
        <v>0.8</v>
      </c>
      <c r="AB34" s="30">
        <v>240</v>
      </c>
      <c r="AC34" s="30"/>
      <c r="AD34" s="30" t="s">
        <v>166</v>
      </c>
      <c r="AE34" s="30" t="s">
        <v>190</v>
      </c>
      <c r="AF34" s="12"/>
      <c r="AG34" s="24">
        <v>1</v>
      </c>
      <c r="AH34" s="24" t="s">
        <v>188</v>
      </c>
      <c r="AI34" s="24" t="s">
        <v>185</v>
      </c>
      <c r="AJ34" s="24">
        <v>4</v>
      </c>
      <c r="AK34" s="34"/>
      <c r="AL34" s="24" t="s">
        <v>172</v>
      </c>
      <c r="AM34" s="35">
        <v>5</v>
      </c>
      <c r="AN34" s="35" t="s">
        <v>166</v>
      </c>
      <c r="AO34" s="23" t="s">
        <v>166</v>
      </c>
      <c r="AP34" s="23" t="s">
        <v>166</v>
      </c>
      <c r="AQ34" s="23">
        <v>4</v>
      </c>
      <c r="AR34" s="23"/>
      <c r="AS34" s="24" t="s">
        <v>234</v>
      </c>
      <c r="AT34" s="35" t="s">
        <v>175</v>
      </c>
      <c r="AU34" s="23" t="s">
        <v>18</v>
      </c>
      <c r="AV34" s="23" t="s">
        <v>181</v>
      </c>
      <c r="AW34" s="35">
        <v>50</v>
      </c>
      <c r="AX34" s="35">
        <v>21</v>
      </c>
      <c r="AY34" s="35">
        <v>24</v>
      </c>
      <c r="AZ34" s="35" t="s">
        <v>176</v>
      </c>
      <c r="BA34" s="35"/>
      <c r="BB34" s="35">
        <v>21</v>
      </c>
      <c r="BC34" s="35">
        <v>20</v>
      </c>
      <c r="BD34" s="35" t="s">
        <v>184</v>
      </c>
      <c r="BE34" s="35"/>
      <c r="BF34" s="35">
        <v>21</v>
      </c>
      <c r="BG34" s="35">
        <v>22</v>
      </c>
      <c r="BH34" s="35"/>
      <c r="BI34" s="35"/>
      <c r="BJ34" s="35"/>
      <c r="BK34" s="35"/>
      <c r="BL34" s="35"/>
      <c r="BM34" s="35"/>
      <c r="BN34" s="35"/>
      <c r="BO34" s="35"/>
      <c r="BP34" s="35"/>
      <c r="BQ34" s="35"/>
      <c r="BR34" s="35"/>
      <c r="BS34" s="35"/>
      <c r="BT34" s="35"/>
      <c r="BU34" s="35"/>
      <c r="BV34" s="35"/>
      <c r="BW34" s="35"/>
      <c r="BY34">
        <f>INDEX('Ведомость расчета мин. платы'!$AK$10:$AL$210,MATCH('Такс. опис.'!C34,'Ведомость расчета мин. платы'!$AK$10:$AK$210,0),2)</f>
        <v>1</v>
      </c>
    </row>
    <row r="35" spans="1:77" ht="15" x14ac:dyDescent="0.2">
      <c r="A35" s="23" t="s">
        <v>167</v>
      </c>
      <c r="B35" s="23" t="s">
        <v>168</v>
      </c>
      <c r="C35" s="199" t="s">
        <v>382</v>
      </c>
      <c r="D35" s="23" t="s">
        <v>22</v>
      </c>
      <c r="E35" s="23"/>
      <c r="F35" s="30">
        <v>11</v>
      </c>
      <c r="G35" s="30">
        <v>27</v>
      </c>
      <c r="H35" s="32">
        <v>7.6</v>
      </c>
      <c r="I35" s="24"/>
      <c r="J35" s="24"/>
      <c r="K35" s="24"/>
      <c r="L35" s="108"/>
      <c r="M35" s="24" t="s">
        <v>169</v>
      </c>
      <c r="N35" s="25">
        <f t="shared" si="19"/>
        <v>7.6</v>
      </c>
      <c r="O35" s="112"/>
      <c r="P35" s="24"/>
      <c r="Q35" s="25"/>
      <c r="R35" s="111"/>
      <c r="S35" s="24" t="s">
        <v>166</v>
      </c>
      <c r="T35" s="24" t="s">
        <v>166</v>
      </c>
      <c r="U35" s="24"/>
      <c r="V35" s="24"/>
      <c r="W35" s="24" t="s">
        <v>166</v>
      </c>
      <c r="X35" s="24" t="s">
        <v>170</v>
      </c>
      <c r="Y35" s="26" t="s">
        <v>171</v>
      </c>
      <c r="Z35" s="33" t="s">
        <v>207</v>
      </c>
      <c r="AA35" s="30">
        <v>0.7</v>
      </c>
      <c r="AB35" s="30">
        <v>260</v>
      </c>
      <c r="AC35" s="30"/>
      <c r="AD35" s="30" t="s">
        <v>166</v>
      </c>
      <c r="AE35" s="30" t="s">
        <v>190</v>
      </c>
      <c r="AF35" s="12"/>
      <c r="AG35" s="24">
        <v>1</v>
      </c>
      <c r="AH35" s="24" t="s">
        <v>188</v>
      </c>
      <c r="AI35" s="24" t="s">
        <v>185</v>
      </c>
      <c r="AJ35" s="24">
        <v>4</v>
      </c>
      <c r="AK35" s="34"/>
      <c r="AL35" s="24" t="s">
        <v>172</v>
      </c>
      <c r="AM35" s="35">
        <v>6</v>
      </c>
      <c r="AN35" s="35" t="s">
        <v>166</v>
      </c>
      <c r="AO35" s="23" t="s">
        <v>166</v>
      </c>
      <c r="AP35" s="23" t="s">
        <v>166</v>
      </c>
      <c r="AQ35" s="23">
        <v>4</v>
      </c>
      <c r="AR35" s="23"/>
      <c r="AS35" s="24" t="s">
        <v>234</v>
      </c>
      <c r="AT35" s="35" t="s">
        <v>175</v>
      </c>
      <c r="AU35" s="23" t="s">
        <v>18</v>
      </c>
      <c r="AV35" s="23" t="s">
        <v>181</v>
      </c>
      <c r="AW35" s="35">
        <v>55</v>
      </c>
      <c r="AX35" s="35">
        <v>23</v>
      </c>
      <c r="AY35" s="35">
        <v>26</v>
      </c>
      <c r="AZ35" s="35" t="s">
        <v>184</v>
      </c>
      <c r="BA35" s="35"/>
      <c r="BB35" s="35">
        <v>28</v>
      </c>
      <c r="BC35" s="35">
        <v>28</v>
      </c>
      <c r="BD35" s="35"/>
      <c r="BE35" s="35"/>
      <c r="BF35" s="35"/>
      <c r="BG35" s="35"/>
      <c r="BH35" s="35"/>
      <c r="BI35" s="35"/>
      <c r="BJ35" s="35"/>
      <c r="BK35" s="35"/>
      <c r="BL35" s="35"/>
      <c r="BM35" s="35"/>
      <c r="BN35" s="35"/>
      <c r="BO35" s="35"/>
      <c r="BP35" s="35"/>
      <c r="BQ35" s="35"/>
      <c r="BR35" s="35"/>
      <c r="BS35" s="35"/>
      <c r="BT35" s="35"/>
      <c r="BU35" s="35"/>
      <c r="BV35" s="35"/>
      <c r="BW35" s="35"/>
      <c r="BY35">
        <f>INDEX('Ведомость расчета мин. платы'!$AK$10:$AL$210,MATCH('Такс. опис.'!C35,'Ведомость расчета мин. платы'!$AK$10:$AK$210,0),2)</f>
        <v>1</v>
      </c>
    </row>
    <row r="36" spans="1:77" ht="15" x14ac:dyDescent="0.2">
      <c r="A36" s="23" t="s">
        <v>167</v>
      </c>
      <c r="B36" s="23" t="s">
        <v>168</v>
      </c>
      <c r="C36" s="199" t="s">
        <v>383</v>
      </c>
      <c r="D36" s="23" t="s">
        <v>22</v>
      </c>
      <c r="E36" s="23"/>
      <c r="F36" s="30">
        <v>16</v>
      </c>
      <c r="G36" s="30">
        <v>6</v>
      </c>
      <c r="H36" s="32">
        <v>11.5</v>
      </c>
      <c r="I36" s="24"/>
      <c r="J36" s="24"/>
      <c r="K36" s="24"/>
      <c r="L36" s="108"/>
      <c r="M36" s="24" t="s">
        <v>169</v>
      </c>
      <c r="N36" s="25">
        <f t="shared" ref="N36:N37" si="20">H36-I36</f>
        <v>11.5</v>
      </c>
      <c r="O36" s="112"/>
      <c r="P36" s="24"/>
      <c r="Q36" s="25"/>
      <c r="R36" s="111"/>
      <c r="S36" s="24" t="s">
        <v>166</v>
      </c>
      <c r="T36" s="24" t="s">
        <v>166</v>
      </c>
      <c r="U36" s="24"/>
      <c r="V36" s="24"/>
      <c r="W36" s="24" t="s">
        <v>166</v>
      </c>
      <c r="X36" s="24" t="s">
        <v>170</v>
      </c>
      <c r="Y36" s="26" t="s">
        <v>171</v>
      </c>
      <c r="Z36" s="33" t="s">
        <v>207</v>
      </c>
      <c r="AA36" s="30">
        <v>0.7</v>
      </c>
      <c r="AB36" s="30">
        <v>260</v>
      </c>
      <c r="AC36" s="30"/>
      <c r="AD36" s="30" t="s">
        <v>166</v>
      </c>
      <c r="AE36" s="30" t="s">
        <v>190</v>
      </c>
      <c r="AF36" s="12"/>
      <c r="AG36" s="24">
        <v>1</v>
      </c>
      <c r="AH36" s="24" t="s">
        <v>188</v>
      </c>
      <c r="AI36" s="24" t="s">
        <v>185</v>
      </c>
      <c r="AJ36" s="24">
        <v>4</v>
      </c>
      <c r="AK36" s="34"/>
      <c r="AL36" s="24" t="s">
        <v>172</v>
      </c>
      <c r="AM36" s="35">
        <v>6</v>
      </c>
      <c r="AN36" s="35" t="s">
        <v>166</v>
      </c>
      <c r="AO36" s="23" t="s">
        <v>166</v>
      </c>
      <c r="AP36" s="23" t="s">
        <v>166</v>
      </c>
      <c r="AQ36" s="23">
        <v>4</v>
      </c>
      <c r="AR36" s="23"/>
      <c r="AS36" s="24" t="s">
        <v>234</v>
      </c>
      <c r="AT36" s="35" t="s">
        <v>175</v>
      </c>
      <c r="AU36" s="23" t="s">
        <v>18</v>
      </c>
      <c r="AV36" s="23" t="s">
        <v>181</v>
      </c>
      <c r="AW36" s="35">
        <v>60</v>
      </c>
      <c r="AX36" s="35">
        <v>24</v>
      </c>
      <c r="AY36" s="35">
        <v>28</v>
      </c>
      <c r="AZ36" s="35" t="s">
        <v>184</v>
      </c>
      <c r="BA36" s="35"/>
      <c r="BB36" s="35">
        <v>24</v>
      </c>
      <c r="BC36" s="35">
        <v>26</v>
      </c>
      <c r="BD36" s="35"/>
      <c r="BE36" s="35"/>
      <c r="BF36" s="35"/>
      <c r="BG36" s="35"/>
      <c r="BH36" s="35"/>
      <c r="BI36" s="35"/>
      <c r="BJ36" s="35"/>
      <c r="BK36" s="35"/>
      <c r="BL36" s="35"/>
      <c r="BM36" s="35"/>
      <c r="BN36" s="35"/>
      <c r="BO36" s="35"/>
      <c r="BP36" s="35"/>
      <c r="BQ36" s="35"/>
      <c r="BR36" s="35"/>
      <c r="BS36" s="35"/>
      <c r="BT36" s="35"/>
      <c r="BU36" s="35"/>
      <c r="BV36" s="35"/>
      <c r="BW36" s="35"/>
      <c r="BY36">
        <f>INDEX('Ведомость расчета мин. платы'!$AK$10:$AL$210,MATCH('Такс. опис.'!C36,'Ведомость расчета мин. платы'!$AK$10:$AK$210,0),2)</f>
        <v>1</v>
      </c>
    </row>
    <row r="37" spans="1:77" ht="15" x14ac:dyDescent="0.2">
      <c r="A37" s="23" t="s">
        <v>167</v>
      </c>
      <c r="B37" s="23" t="s">
        <v>168</v>
      </c>
      <c r="C37" s="199" t="s">
        <v>384</v>
      </c>
      <c r="D37" s="23" t="s">
        <v>22</v>
      </c>
      <c r="E37" s="23"/>
      <c r="F37" s="30">
        <v>16</v>
      </c>
      <c r="G37" s="30">
        <v>9</v>
      </c>
      <c r="H37" s="32">
        <v>39.1</v>
      </c>
      <c r="I37" s="24"/>
      <c r="J37" s="24"/>
      <c r="K37" s="24"/>
      <c r="L37" s="108"/>
      <c r="M37" s="24" t="s">
        <v>169</v>
      </c>
      <c r="N37" s="25">
        <f t="shared" si="20"/>
        <v>39.1</v>
      </c>
      <c r="O37" s="112"/>
      <c r="P37" s="24"/>
      <c r="Q37" s="25"/>
      <c r="R37" s="111"/>
      <c r="S37" s="24" t="s">
        <v>166</v>
      </c>
      <c r="T37" s="24" t="s">
        <v>166</v>
      </c>
      <c r="U37" s="24"/>
      <c r="V37" s="24"/>
      <c r="W37" s="24" t="s">
        <v>166</v>
      </c>
      <c r="X37" s="24" t="s">
        <v>170</v>
      </c>
      <c r="Y37" s="26" t="s">
        <v>171</v>
      </c>
      <c r="Z37" s="33" t="s">
        <v>221</v>
      </c>
      <c r="AA37" s="30">
        <v>0.8</v>
      </c>
      <c r="AB37" s="30">
        <v>280</v>
      </c>
      <c r="AC37" s="30"/>
      <c r="AD37" s="30" t="s">
        <v>166</v>
      </c>
      <c r="AE37" s="30" t="s">
        <v>190</v>
      </c>
      <c r="AF37" s="12"/>
      <c r="AG37" s="24">
        <v>1</v>
      </c>
      <c r="AH37" s="24" t="s">
        <v>188</v>
      </c>
      <c r="AI37" s="24" t="s">
        <v>185</v>
      </c>
      <c r="AJ37" s="24">
        <v>4</v>
      </c>
      <c r="AK37" s="34"/>
      <c r="AL37" s="24" t="s">
        <v>172</v>
      </c>
      <c r="AM37" s="35">
        <v>6</v>
      </c>
      <c r="AN37" s="35" t="s">
        <v>166</v>
      </c>
      <c r="AO37" s="23" t="s">
        <v>166</v>
      </c>
      <c r="AP37" s="23" t="s">
        <v>166</v>
      </c>
      <c r="AQ37" s="23">
        <v>4</v>
      </c>
      <c r="AR37" s="23"/>
      <c r="AS37" s="24" t="s">
        <v>234</v>
      </c>
      <c r="AT37" s="35" t="s">
        <v>175</v>
      </c>
      <c r="AU37" s="23" t="s">
        <v>18</v>
      </c>
      <c r="AV37" s="23" t="s">
        <v>181</v>
      </c>
      <c r="AW37" s="35">
        <v>55</v>
      </c>
      <c r="AX37" s="35">
        <v>23</v>
      </c>
      <c r="AY37" s="35">
        <v>24</v>
      </c>
      <c r="AZ37" s="35" t="s">
        <v>184</v>
      </c>
      <c r="BA37" s="35"/>
      <c r="BB37" s="35">
        <v>22</v>
      </c>
      <c r="BC37" s="35">
        <v>20</v>
      </c>
      <c r="BD37" s="35"/>
      <c r="BE37" s="35"/>
      <c r="BF37" s="35"/>
      <c r="BG37" s="35"/>
      <c r="BH37" s="35"/>
      <c r="BI37" s="35"/>
      <c r="BJ37" s="35"/>
      <c r="BK37" s="35"/>
      <c r="BL37" s="35"/>
      <c r="BM37" s="35"/>
      <c r="BN37" s="35"/>
      <c r="BO37" s="35"/>
      <c r="BP37" s="35"/>
      <c r="BQ37" s="35"/>
      <c r="BR37" s="35"/>
      <c r="BS37" s="35"/>
      <c r="BT37" s="35"/>
      <c r="BU37" s="35"/>
      <c r="BV37" s="35"/>
      <c r="BW37" s="35"/>
      <c r="BY37">
        <f>INDEX('Ведомость расчета мин. платы'!$AK$10:$AL$210,MATCH('Такс. опис.'!C37,'Ведомость расчета мин. платы'!$AK$10:$AK$210,0),2)</f>
        <v>1</v>
      </c>
    </row>
    <row r="38" spans="1:77" ht="15" x14ac:dyDescent="0.2">
      <c r="A38" s="23" t="s">
        <v>167</v>
      </c>
      <c r="B38" s="23" t="s">
        <v>168</v>
      </c>
      <c r="C38" s="199" t="s">
        <v>395</v>
      </c>
      <c r="D38" s="23" t="s">
        <v>22</v>
      </c>
      <c r="E38" s="23"/>
      <c r="F38" s="30">
        <v>115</v>
      </c>
      <c r="G38" s="30">
        <v>6</v>
      </c>
      <c r="H38" s="32">
        <v>24.9</v>
      </c>
      <c r="I38" s="24"/>
      <c r="J38" s="24"/>
      <c r="K38" s="24"/>
      <c r="L38" s="108"/>
      <c r="M38" s="24" t="s">
        <v>169</v>
      </c>
      <c r="N38" s="25">
        <f t="shared" ref="N38" si="21">H38-I38</f>
        <v>24.9</v>
      </c>
      <c r="O38" s="112"/>
      <c r="P38" s="24"/>
      <c r="Q38" s="25"/>
      <c r="R38" s="111"/>
      <c r="S38" s="24" t="s">
        <v>166</v>
      </c>
      <c r="T38" s="24" t="s">
        <v>166</v>
      </c>
      <c r="U38" s="24"/>
      <c r="V38" s="24"/>
      <c r="W38" s="24" t="s">
        <v>166</v>
      </c>
      <c r="X38" s="24" t="s">
        <v>170</v>
      </c>
      <c r="Y38" s="26" t="s">
        <v>171</v>
      </c>
      <c r="Z38" s="33" t="s">
        <v>225</v>
      </c>
      <c r="AA38" s="30">
        <v>0.6</v>
      </c>
      <c r="AB38" s="30">
        <v>180</v>
      </c>
      <c r="AC38" s="30"/>
      <c r="AD38" s="30" t="s">
        <v>166</v>
      </c>
      <c r="AE38" s="30" t="s">
        <v>190</v>
      </c>
      <c r="AF38" s="12"/>
      <c r="AG38" s="24">
        <v>1</v>
      </c>
      <c r="AH38" s="24" t="s">
        <v>188</v>
      </c>
      <c r="AI38" s="24" t="s">
        <v>185</v>
      </c>
      <c r="AJ38" s="24">
        <v>4</v>
      </c>
      <c r="AK38" s="34"/>
      <c r="AL38" s="24" t="s">
        <v>172</v>
      </c>
      <c r="AM38" s="35">
        <v>5</v>
      </c>
      <c r="AN38" s="35" t="s">
        <v>166</v>
      </c>
      <c r="AO38" s="23" t="s">
        <v>166</v>
      </c>
      <c r="AP38" s="23" t="s">
        <v>166</v>
      </c>
      <c r="AQ38" s="23">
        <v>4</v>
      </c>
      <c r="AR38" s="23"/>
      <c r="AS38" s="24" t="s">
        <v>234</v>
      </c>
      <c r="AT38" s="35" t="s">
        <v>175</v>
      </c>
      <c r="AU38" s="23" t="s">
        <v>18</v>
      </c>
      <c r="AV38" s="23" t="s">
        <v>181</v>
      </c>
      <c r="AW38" s="35">
        <v>45</v>
      </c>
      <c r="AX38" s="35">
        <v>21</v>
      </c>
      <c r="AY38" s="35">
        <v>20</v>
      </c>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c r="BY38">
        <f>INDEX('Ведомость расчета мин. платы'!$AK$10:$AL$210,MATCH('Такс. опис.'!C38,'Ведомость расчета мин. платы'!$AK$10:$AK$210,0),2)</f>
        <v>1</v>
      </c>
    </row>
    <row r="39" spans="1:77" x14ac:dyDescent="0.2">
      <c r="A39" s="23" t="s">
        <v>167</v>
      </c>
      <c r="B39" s="23" t="s">
        <v>168</v>
      </c>
      <c r="C39" s="199" t="s">
        <v>397</v>
      </c>
      <c r="D39" s="23" t="s">
        <v>27</v>
      </c>
      <c r="E39" s="23"/>
      <c r="F39" s="24">
        <v>3</v>
      </c>
      <c r="G39" s="24">
        <v>3</v>
      </c>
      <c r="H39" s="25">
        <v>68.3</v>
      </c>
      <c r="I39" s="24"/>
      <c r="J39" s="24"/>
      <c r="K39" s="24"/>
      <c r="L39" s="108"/>
      <c r="M39" s="24" t="s">
        <v>169</v>
      </c>
      <c r="N39" s="25">
        <f t="shared" ref="N39" si="22">H39-I39</f>
        <v>68.3</v>
      </c>
      <c r="O39" s="112"/>
      <c r="P39" s="24"/>
      <c r="Q39" s="25"/>
      <c r="R39" s="111"/>
      <c r="S39" s="24" t="s">
        <v>166</v>
      </c>
      <c r="T39" s="24" t="s">
        <v>166</v>
      </c>
      <c r="U39" s="24"/>
      <c r="V39" s="24"/>
      <c r="W39" s="24" t="s">
        <v>166</v>
      </c>
      <c r="X39" s="24" t="s">
        <v>170</v>
      </c>
      <c r="Y39" s="26" t="s">
        <v>171</v>
      </c>
      <c r="Z39" s="27" t="s">
        <v>261</v>
      </c>
      <c r="AA39" s="24">
        <v>0.6</v>
      </c>
      <c r="AB39" s="24">
        <v>190</v>
      </c>
      <c r="AC39" s="24"/>
      <c r="AD39" s="24" t="s">
        <v>166</v>
      </c>
      <c r="AE39" s="24" t="s">
        <v>190</v>
      </c>
      <c r="AF39" s="12"/>
      <c r="AG39" s="24">
        <v>2</v>
      </c>
      <c r="AH39" s="24" t="s">
        <v>186</v>
      </c>
      <c r="AI39" s="24" t="s">
        <v>185</v>
      </c>
      <c r="AJ39" s="24">
        <v>4</v>
      </c>
      <c r="AK39" s="28"/>
      <c r="AL39" s="24" t="s">
        <v>172</v>
      </c>
      <c r="AM39" s="23">
        <v>8</v>
      </c>
      <c r="AN39" s="23" t="s">
        <v>166</v>
      </c>
      <c r="AO39" s="23"/>
      <c r="AP39" s="23"/>
      <c r="AQ39" s="23">
        <v>4</v>
      </c>
      <c r="AR39" s="23" t="s">
        <v>166</v>
      </c>
      <c r="AS39" s="24" t="s">
        <v>234</v>
      </c>
      <c r="AT39" s="23" t="s">
        <v>176</v>
      </c>
      <c r="AU39" s="23" t="s">
        <v>19</v>
      </c>
      <c r="AV39" s="23" t="s">
        <v>181</v>
      </c>
      <c r="AW39" s="23">
        <v>75</v>
      </c>
      <c r="AX39" s="23">
        <v>22</v>
      </c>
      <c r="AY39" s="23">
        <v>24</v>
      </c>
      <c r="AZ39" s="23" t="s">
        <v>175</v>
      </c>
      <c r="BA39" s="23"/>
      <c r="BB39" s="23">
        <v>24</v>
      </c>
      <c r="BC39" s="23">
        <v>32</v>
      </c>
      <c r="BD39" s="23"/>
      <c r="BE39" s="23"/>
      <c r="BF39" s="23"/>
      <c r="BG39" s="23"/>
      <c r="BH39" s="23"/>
      <c r="BI39" s="23"/>
      <c r="BJ39" s="23"/>
      <c r="BK39" s="23"/>
      <c r="BL39" s="23"/>
      <c r="BM39" s="23"/>
      <c r="BN39" s="23"/>
      <c r="BO39" s="23"/>
      <c r="BP39" s="23"/>
      <c r="BQ39" s="23"/>
      <c r="BR39" s="23"/>
      <c r="BS39" s="23"/>
      <c r="BT39" s="23"/>
      <c r="BU39" s="23"/>
      <c r="BV39" s="23"/>
      <c r="BW39" s="23"/>
      <c r="BY39">
        <f>INDEX('Ведомость расчета мин. платы'!$AK$10:$AL$210,MATCH('Такс. опис.'!C39,'Ведомость расчета мин. платы'!$AK$10:$AK$210,0),2)</f>
        <v>1</v>
      </c>
    </row>
    <row r="40" spans="1:77" x14ac:dyDescent="0.2">
      <c r="A40" s="23" t="s">
        <v>167</v>
      </c>
      <c r="B40" s="23" t="s">
        <v>168</v>
      </c>
      <c r="C40" s="199" t="s">
        <v>398</v>
      </c>
      <c r="D40" s="23" t="s">
        <v>27</v>
      </c>
      <c r="E40" s="23"/>
      <c r="F40" s="24">
        <v>4</v>
      </c>
      <c r="G40" s="24">
        <v>1</v>
      </c>
      <c r="H40" s="25">
        <v>73.3</v>
      </c>
      <c r="I40" s="24"/>
      <c r="J40" s="24"/>
      <c r="K40" s="24"/>
      <c r="L40" s="108"/>
      <c r="M40" s="24" t="s">
        <v>169</v>
      </c>
      <c r="N40" s="25">
        <f t="shared" ref="N40:N41" si="23">H40-I40</f>
        <v>73.3</v>
      </c>
      <c r="O40" s="112"/>
      <c r="P40" s="24"/>
      <c r="Q40" s="25"/>
      <c r="R40" s="111"/>
      <c r="S40" s="24" t="s">
        <v>166</v>
      </c>
      <c r="T40" s="24" t="s">
        <v>166</v>
      </c>
      <c r="U40" s="24"/>
      <c r="V40" s="24"/>
      <c r="W40" s="24" t="s">
        <v>166</v>
      </c>
      <c r="X40" s="24" t="s">
        <v>170</v>
      </c>
      <c r="Y40" s="26" t="s">
        <v>171</v>
      </c>
      <c r="Z40" s="27" t="s">
        <v>282</v>
      </c>
      <c r="AA40" s="24">
        <v>0.6</v>
      </c>
      <c r="AB40" s="24">
        <v>190</v>
      </c>
      <c r="AC40" s="24"/>
      <c r="AD40" s="24" t="s">
        <v>166</v>
      </c>
      <c r="AE40" s="24" t="s">
        <v>190</v>
      </c>
      <c r="AF40" s="12"/>
      <c r="AG40" s="24">
        <v>2</v>
      </c>
      <c r="AH40" s="24" t="s">
        <v>186</v>
      </c>
      <c r="AI40" s="24" t="s">
        <v>180</v>
      </c>
      <c r="AJ40" s="24">
        <v>4</v>
      </c>
      <c r="AK40" s="28"/>
      <c r="AL40" s="24" t="s">
        <v>172</v>
      </c>
      <c r="AM40" s="23">
        <v>8</v>
      </c>
      <c r="AN40" s="23" t="s">
        <v>166</v>
      </c>
      <c r="AO40" s="23"/>
      <c r="AP40" s="23"/>
      <c r="AQ40" s="23">
        <v>4</v>
      </c>
      <c r="AR40" s="23" t="s">
        <v>166</v>
      </c>
      <c r="AS40" s="24" t="s">
        <v>234</v>
      </c>
      <c r="AT40" s="23" t="s">
        <v>176</v>
      </c>
      <c r="AU40" s="23" t="s">
        <v>19</v>
      </c>
      <c r="AV40" s="23" t="s">
        <v>181</v>
      </c>
      <c r="AW40" s="23">
        <v>75</v>
      </c>
      <c r="AX40" s="23">
        <v>22</v>
      </c>
      <c r="AY40" s="23">
        <v>24</v>
      </c>
      <c r="AZ40" s="23" t="s">
        <v>175</v>
      </c>
      <c r="BA40" s="23"/>
      <c r="BB40" s="23">
        <v>24</v>
      </c>
      <c r="BC40" s="23">
        <v>30</v>
      </c>
      <c r="BD40" s="23"/>
      <c r="BE40" s="23"/>
      <c r="BF40" s="23"/>
      <c r="BG40" s="23"/>
      <c r="BH40" s="23"/>
      <c r="BI40" s="23"/>
      <c r="BJ40" s="23"/>
      <c r="BK40" s="23"/>
      <c r="BL40" s="23"/>
      <c r="BM40" s="23"/>
      <c r="BN40" s="23"/>
      <c r="BO40" s="23"/>
      <c r="BP40" s="23"/>
      <c r="BQ40" s="23"/>
      <c r="BR40" s="23"/>
      <c r="BS40" s="23"/>
      <c r="BT40" s="23"/>
      <c r="BU40" s="23"/>
      <c r="BV40" s="23"/>
      <c r="BW40" s="23"/>
      <c r="BY40">
        <f>INDEX('Ведомость расчета мин. платы'!$AK$10:$AL$210,MATCH('Такс. опис.'!C40,'Ведомость расчета мин. платы'!$AK$10:$AK$210,0),2)</f>
        <v>1</v>
      </c>
    </row>
    <row r="41" spans="1:77" x14ac:dyDescent="0.2">
      <c r="A41" s="23" t="s">
        <v>167</v>
      </c>
      <c r="B41" s="23" t="s">
        <v>168</v>
      </c>
      <c r="C41" s="199" t="s">
        <v>399</v>
      </c>
      <c r="D41" s="23" t="s">
        <v>27</v>
      </c>
      <c r="E41" s="23"/>
      <c r="F41" s="24">
        <v>4</v>
      </c>
      <c r="G41" s="24">
        <v>2</v>
      </c>
      <c r="H41" s="25">
        <v>15.4</v>
      </c>
      <c r="I41" s="24"/>
      <c r="J41" s="24"/>
      <c r="K41" s="24"/>
      <c r="L41" s="108"/>
      <c r="M41" s="24" t="s">
        <v>169</v>
      </c>
      <c r="N41" s="25">
        <f t="shared" si="23"/>
        <v>15.4</v>
      </c>
      <c r="O41" s="112"/>
      <c r="P41" s="24"/>
      <c r="Q41" s="25"/>
      <c r="R41" s="111"/>
      <c r="S41" s="24" t="s">
        <v>166</v>
      </c>
      <c r="T41" s="24" t="s">
        <v>166</v>
      </c>
      <c r="U41" s="24"/>
      <c r="V41" s="24"/>
      <c r="W41" s="24" t="s">
        <v>166</v>
      </c>
      <c r="X41" s="24" t="s">
        <v>170</v>
      </c>
      <c r="Y41" s="26" t="s">
        <v>171</v>
      </c>
      <c r="Z41" s="27" t="s">
        <v>221</v>
      </c>
      <c r="AA41" s="24">
        <v>0.8</v>
      </c>
      <c r="AB41" s="24">
        <v>260</v>
      </c>
      <c r="AC41" s="24"/>
      <c r="AD41" s="24" t="s">
        <v>166</v>
      </c>
      <c r="AE41" s="24" t="s">
        <v>190</v>
      </c>
      <c r="AF41" s="12"/>
      <c r="AG41" s="24">
        <v>1</v>
      </c>
      <c r="AH41" s="24" t="s">
        <v>179</v>
      </c>
      <c r="AI41" s="24" t="s">
        <v>180</v>
      </c>
      <c r="AJ41" s="24">
        <v>4</v>
      </c>
      <c r="AK41" s="28"/>
      <c r="AL41" s="24" t="s">
        <v>172</v>
      </c>
      <c r="AM41" s="23">
        <v>5</v>
      </c>
      <c r="AN41" s="23" t="s">
        <v>166</v>
      </c>
      <c r="AO41" s="23" t="s">
        <v>166</v>
      </c>
      <c r="AP41" s="23" t="s">
        <v>166</v>
      </c>
      <c r="AQ41" s="23">
        <v>4</v>
      </c>
      <c r="AR41" s="23"/>
      <c r="AS41" s="24" t="s">
        <v>234</v>
      </c>
      <c r="AT41" s="23" t="s">
        <v>175</v>
      </c>
      <c r="AU41" s="23" t="s">
        <v>18</v>
      </c>
      <c r="AV41" s="23" t="s">
        <v>181</v>
      </c>
      <c r="AW41" s="23">
        <v>45</v>
      </c>
      <c r="AX41" s="23">
        <v>22</v>
      </c>
      <c r="AY41" s="23">
        <v>22</v>
      </c>
      <c r="AZ41" s="23" t="s">
        <v>184</v>
      </c>
      <c r="BA41" s="23"/>
      <c r="BB41" s="23">
        <v>24</v>
      </c>
      <c r="BC41" s="23">
        <v>26</v>
      </c>
      <c r="BD41" s="23"/>
      <c r="BE41" s="23"/>
      <c r="BF41" s="23"/>
      <c r="BG41" s="23"/>
      <c r="BH41" s="23"/>
      <c r="BI41" s="23"/>
      <c r="BJ41" s="23"/>
      <c r="BK41" s="23"/>
      <c r="BL41" s="23"/>
      <c r="BM41" s="23"/>
      <c r="BN41" s="23"/>
      <c r="BO41" s="23"/>
      <c r="BP41" s="23"/>
      <c r="BQ41" s="23"/>
      <c r="BR41" s="23"/>
      <c r="BS41" s="23"/>
      <c r="BT41" s="23"/>
      <c r="BU41" s="23"/>
      <c r="BV41" s="23"/>
      <c r="BW41" s="23"/>
      <c r="BY41">
        <f>INDEX('Ведомость расчета мин. платы'!$AK$10:$AL$210,MATCH('Такс. опис.'!C41,'Ведомость расчета мин. платы'!$AK$10:$AK$210,0),2)</f>
        <v>1</v>
      </c>
    </row>
    <row r="42" spans="1:77" x14ac:dyDescent="0.2">
      <c r="A42" s="23" t="s">
        <v>167</v>
      </c>
      <c r="B42" s="23" t="s">
        <v>168</v>
      </c>
      <c r="C42" s="199" t="s">
        <v>401</v>
      </c>
      <c r="D42" s="23" t="s">
        <v>27</v>
      </c>
      <c r="E42" s="23"/>
      <c r="F42" s="24">
        <v>54</v>
      </c>
      <c r="G42" s="24">
        <v>9</v>
      </c>
      <c r="H42" s="25">
        <v>33.799999999999997</v>
      </c>
      <c r="I42" s="24"/>
      <c r="J42" s="24"/>
      <c r="K42" s="24"/>
      <c r="L42" s="108"/>
      <c r="M42" s="24" t="s">
        <v>169</v>
      </c>
      <c r="N42" s="25">
        <f t="shared" ref="N42" si="24">H42-I42</f>
        <v>33.799999999999997</v>
      </c>
      <c r="O42" s="112"/>
      <c r="P42" s="24"/>
      <c r="Q42" s="25"/>
      <c r="R42" s="111"/>
      <c r="S42" s="24" t="s">
        <v>166</v>
      </c>
      <c r="T42" s="24" t="s">
        <v>166</v>
      </c>
      <c r="U42" s="24"/>
      <c r="V42" s="24"/>
      <c r="W42" s="24" t="s">
        <v>166</v>
      </c>
      <c r="X42" s="24" t="s">
        <v>170</v>
      </c>
      <c r="Y42" s="26" t="s">
        <v>171</v>
      </c>
      <c r="Z42" s="27" t="s">
        <v>402</v>
      </c>
      <c r="AA42" s="24">
        <v>0.7</v>
      </c>
      <c r="AB42" s="24">
        <v>210</v>
      </c>
      <c r="AC42" s="24"/>
      <c r="AD42" s="24" t="s">
        <v>166</v>
      </c>
      <c r="AE42" s="24" t="s">
        <v>190</v>
      </c>
      <c r="AF42" s="12"/>
      <c r="AG42" s="24">
        <v>1</v>
      </c>
      <c r="AH42" s="24" t="s">
        <v>179</v>
      </c>
      <c r="AI42" s="24" t="s">
        <v>180</v>
      </c>
      <c r="AJ42" s="24">
        <v>4</v>
      </c>
      <c r="AK42" s="28"/>
      <c r="AL42" s="24" t="s">
        <v>172</v>
      </c>
      <c r="AM42" s="23">
        <v>5</v>
      </c>
      <c r="AN42" s="23" t="s">
        <v>166</v>
      </c>
      <c r="AO42" s="23" t="s">
        <v>166</v>
      </c>
      <c r="AP42" s="23" t="s">
        <v>166</v>
      </c>
      <c r="AQ42" s="23">
        <v>4</v>
      </c>
      <c r="AR42" s="23"/>
      <c r="AS42" s="24" t="s">
        <v>234</v>
      </c>
      <c r="AT42" s="23" t="s">
        <v>175</v>
      </c>
      <c r="AU42" s="23" t="s">
        <v>18</v>
      </c>
      <c r="AV42" s="23" t="s">
        <v>181</v>
      </c>
      <c r="AW42" s="23">
        <v>45</v>
      </c>
      <c r="AX42" s="23">
        <v>22</v>
      </c>
      <c r="AY42" s="23">
        <v>24</v>
      </c>
      <c r="AZ42" s="23" t="s">
        <v>184</v>
      </c>
      <c r="BA42" s="23"/>
      <c r="BB42" s="23">
        <v>24</v>
      </c>
      <c r="BC42" s="23">
        <v>28</v>
      </c>
      <c r="BD42" s="23" t="s">
        <v>176</v>
      </c>
      <c r="BE42" s="23"/>
      <c r="BF42" s="23">
        <v>16</v>
      </c>
      <c r="BG42" s="23">
        <v>14</v>
      </c>
      <c r="BH42" s="23" t="s">
        <v>222</v>
      </c>
      <c r="BI42" s="23"/>
      <c r="BJ42" s="23">
        <v>21</v>
      </c>
      <c r="BK42" s="23">
        <v>24</v>
      </c>
      <c r="BL42" s="23"/>
      <c r="BM42" s="23"/>
      <c r="BN42" s="23"/>
      <c r="BO42" s="23"/>
      <c r="BP42" s="23"/>
      <c r="BQ42" s="23"/>
      <c r="BR42" s="23"/>
      <c r="BS42" s="23"/>
      <c r="BT42" s="23"/>
      <c r="BU42" s="23"/>
      <c r="BV42" s="23"/>
      <c r="BW42" s="23"/>
      <c r="BY42">
        <f>INDEX('Ведомость расчета мин. платы'!$AK$10:$AL$210,MATCH('Такс. опис.'!C42,'Ведомость расчета мин. платы'!$AK$10:$AK$210,0),2)</f>
        <v>1</v>
      </c>
    </row>
    <row r="43" spans="1:77" x14ac:dyDescent="0.2">
      <c r="A43" s="23" t="s">
        <v>167</v>
      </c>
      <c r="B43" s="23" t="s">
        <v>168</v>
      </c>
      <c r="C43" s="199" t="s">
        <v>403</v>
      </c>
      <c r="D43" s="23" t="s">
        <v>27</v>
      </c>
      <c r="E43" s="23"/>
      <c r="F43" s="24">
        <v>57</v>
      </c>
      <c r="G43" s="24">
        <v>19</v>
      </c>
      <c r="H43" s="25">
        <v>7</v>
      </c>
      <c r="I43" s="24"/>
      <c r="J43" s="24"/>
      <c r="K43" s="24"/>
      <c r="L43" s="108"/>
      <c r="M43" s="24" t="s">
        <v>169</v>
      </c>
      <c r="N43" s="25">
        <f>H43-I43</f>
        <v>7</v>
      </c>
      <c r="O43" s="112"/>
      <c r="P43" s="24"/>
      <c r="Q43" s="25"/>
      <c r="R43" s="111"/>
      <c r="S43" s="24" t="s">
        <v>166</v>
      </c>
      <c r="T43" s="24" t="s">
        <v>166</v>
      </c>
      <c r="U43" s="24"/>
      <c r="V43" s="24"/>
      <c r="W43" s="24" t="s">
        <v>166</v>
      </c>
      <c r="X43" s="24" t="s">
        <v>170</v>
      </c>
      <c r="Y43" s="26" t="s">
        <v>171</v>
      </c>
      <c r="Z43" s="27" t="s">
        <v>235</v>
      </c>
      <c r="AA43" s="24">
        <v>0.4</v>
      </c>
      <c r="AB43" s="24">
        <v>120</v>
      </c>
      <c r="AC43" s="24"/>
      <c r="AD43" s="24" t="s">
        <v>166</v>
      </c>
      <c r="AE43" s="24" t="s">
        <v>190</v>
      </c>
      <c r="AF43" s="12"/>
      <c r="AG43" s="24">
        <v>1</v>
      </c>
      <c r="AH43" s="24" t="s">
        <v>194</v>
      </c>
      <c r="AI43" s="24" t="s">
        <v>180</v>
      </c>
      <c r="AJ43" s="24">
        <v>4</v>
      </c>
      <c r="AK43" s="28"/>
      <c r="AL43" s="24" t="s">
        <v>172</v>
      </c>
      <c r="AM43" s="23">
        <v>7</v>
      </c>
      <c r="AN43" s="23" t="s">
        <v>166</v>
      </c>
      <c r="AO43" s="23"/>
      <c r="AP43" s="23"/>
      <c r="AQ43" s="23">
        <v>4</v>
      </c>
      <c r="AR43" s="23" t="s">
        <v>166</v>
      </c>
      <c r="AS43" s="24" t="s">
        <v>234</v>
      </c>
      <c r="AT43" s="23" t="s">
        <v>184</v>
      </c>
      <c r="AU43" s="23" t="s">
        <v>17</v>
      </c>
      <c r="AV43" s="23" t="s">
        <v>181</v>
      </c>
      <c r="AW43" s="23">
        <v>65</v>
      </c>
      <c r="AX43" s="23">
        <v>25</v>
      </c>
      <c r="AY43" s="23">
        <v>28</v>
      </c>
      <c r="AZ43" s="23" t="s">
        <v>175</v>
      </c>
      <c r="BA43" s="23"/>
      <c r="BB43" s="23">
        <v>24</v>
      </c>
      <c r="BC43" s="23">
        <v>26</v>
      </c>
      <c r="BD43" s="23"/>
      <c r="BE43" s="23"/>
      <c r="BF43" s="23"/>
      <c r="BG43" s="23"/>
      <c r="BH43" s="23"/>
      <c r="BI43" s="23"/>
      <c r="BJ43" s="23"/>
      <c r="BK43" s="23"/>
      <c r="BL43" s="23"/>
      <c r="BM43" s="23"/>
      <c r="BN43" s="23"/>
      <c r="BO43" s="23"/>
      <c r="BP43" s="23"/>
      <c r="BQ43" s="23"/>
      <c r="BR43" s="23"/>
      <c r="BS43" s="23"/>
      <c r="BT43" s="23"/>
      <c r="BU43" s="23"/>
      <c r="BV43" s="23"/>
      <c r="BW43" s="23"/>
      <c r="BY43">
        <f>INDEX('Ведомость расчета мин. платы'!$AK$10:$AL$210,MATCH('Такс. опис.'!C43,'Ведомость расчета мин. платы'!$AK$10:$AK$210,0),2)</f>
        <v>1</v>
      </c>
    </row>
    <row r="44" spans="1:77" x14ac:dyDescent="0.2">
      <c r="A44" s="23" t="s">
        <v>167</v>
      </c>
      <c r="B44" s="23" t="s">
        <v>168</v>
      </c>
      <c r="C44" s="199" t="s">
        <v>404</v>
      </c>
      <c r="D44" s="23" t="s">
        <v>27</v>
      </c>
      <c r="E44" s="23"/>
      <c r="F44" s="24">
        <v>68</v>
      </c>
      <c r="G44" s="24">
        <v>7</v>
      </c>
      <c r="H44" s="25">
        <v>10</v>
      </c>
      <c r="I44" s="24"/>
      <c r="J44" s="24"/>
      <c r="K44" s="24"/>
      <c r="L44" s="108"/>
      <c r="M44" s="24" t="s">
        <v>169</v>
      </c>
      <c r="N44" s="25">
        <f t="shared" ref="N44" si="25">H44-I44</f>
        <v>10</v>
      </c>
      <c r="O44" s="112"/>
      <c r="P44" s="24"/>
      <c r="Q44" s="25"/>
      <c r="R44" s="111"/>
      <c r="S44" s="24" t="s">
        <v>166</v>
      </c>
      <c r="T44" s="24" t="s">
        <v>166</v>
      </c>
      <c r="U44" s="24"/>
      <c r="V44" s="24"/>
      <c r="W44" s="24" t="s">
        <v>166</v>
      </c>
      <c r="X44" s="24" t="s">
        <v>170</v>
      </c>
      <c r="Y44" s="26" t="s">
        <v>171</v>
      </c>
      <c r="Z44" s="27" t="s">
        <v>210</v>
      </c>
      <c r="AA44" s="24">
        <v>0.6</v>
      </c>
      <c r="AB44" s="24">
        <v>190</v>
      </c>
      <c r="AC44" s="24"/>
      <c r="AD44" s="24" t="s">
        <v>166</v>
      </c>
      <c r="AE44" s="24" t="s">
        <v>190</v>
      </c>
      <c r="AF44" s="12"/>
      <c r="AG44" s="24">
        <v>1</v>
      </c>
      <c r="AH44" s="24" t="s">
        <v>179</v>
      </c>
      <c r="AI44" s="24" t="s">
        <v>180</v>
      </c>
      <c r="AJ44" s="24">
        <v>4</v>
      </c>
      <c r="AK44" s="28"/>
      <c r="AL44" s="24" t="s">
        <v>172</v>
      </c>
      <c r="AM44" s="23">
        <v>5</v>
      </c>
      <c r="AN44" s="23" t="s">
        <v>166</v>
      </c>
      <c r="AO44" s="23" t="s">
        <v>166</v>
      </c>
      <c r="AP44" s="23" t="s">
        <v>166</v>
      </c>
      <c r="AQ44" s="23">
        <v>4</v>
      </c>
      <c r="AR44" s="23"/>
      <c r="AS44" s="24" t="s">
        <v>234</v>
      </c>
      <c r="AT44" s="23" t="s">
        <v>175</v>
      </c>
      <c r="AU44" s="23" t="s">
        <v>18</v>
      </c>
      <c r="AV44" s="23" t="s">
        <v>181</v>
      </c>
      <c r="AW44" s="23">
        <v>45</v>
      </c>
      <c r="AX44" s="23">
        <v>22</v>
      </c>
      <c r="AY44" s="23">
        <v>26</v>
      </c>
      <c r="AZ44" s="23" t="s">
        <v>184</v>
      </c>
      <c r="BA44" s="23"/>
      <c r="BB44" s="23">
        <v>24</v>
      </c>
      <c r="BC44" s="23">
        <v>28</v>
      </c>
      <c r="BD44" s="23" t="s">
        <v>176</v>
      </c>
      <c r="BE44" s="23"/>
      <c r="BF44" s="23">
        <v>17</v>
      </c>
      <c r="BG44" s="23">
        <v>16</v>
      </c>
      <c r="BH44" s="23"/>
      <c r="BI44" s="23"/>
      <c r="BJ44" s="23"/>
      <c r="BK44" s="23"/>
      <c r="BL44" s="23"/>
      <c r="BM44" s="23"/>
      <c r="BN44" s="23"/>
      <c r="BO44" s="23"/>
      <c r="BP44" s="23"/>
      <c r="BQ44" s="23"/>
      <c r="BR44" s="23"/>
      <c r="BS44" s="23"/>
      <c r="BT44" s="23"/>
      <c r="BU44" s="23"/>
      <c r="BV44" s="23"/>
      <c r="BW44" s="23"/>
      <c r="BY44">
        <f>INDEX('Ведомость расчета мин. платы'!$AK$10:$AL$210,MATCH('Такс. опис.'!C44,'Ведомость расчета мин. платы'!$AK$10:$AK$210,0),2)</f>
        <v>1</v>
      </c>
    </row>
    <row r="45" spans="1:77" x14ac:dyDescent="0.2">
      <c r="A45" s="23" t="s">
        <v>167</v>
      </c>
      <c r="B45" s="23" t="s">
        <v>168</v>
      </c>
      <c r="C45" s="199" t="s">
        <v>408</v>
      </c>
      <c r="D45" s="23" t="s">
        <v>27</v>
      </c>
      <c r="E45" s="23"/>
      <c r="F45" s="24">
        <v>114</v>
      </c>
      <c r="G45" s="24">
        <v>10</v>
      </c>
      <c r="H45" s="25">
        <v>6.8</v>
      </c>
      <c r="I45" s="24"/>
      <c r="J45" s="24"/>
      <c r="K45" s="24"/>
      <c r="L45" s="108"/>
      <c r="M45" s="24" t="s">
        <v>169</v>
      </c>
      <c r="N45" s="25">
        <f t="shared" ref="N45" si="26">H45-I45</f>
        <v>6.8</v>
      </c>
      <c r="O45" s="112"/>
      <c r="P45" s="24"/>
      <c r="Q45" s="25"/>
      <c r="R45" s="111"/>
      <c r="S45" s="24" t="s">
        <v>166</v>
      </c>
      <c r="T45" s="24" t="s">
        <v>166</v>
      </c>
      <c r="U45" s="24"/>
      <c r="V45" s="24"/>
      <c r="W45" s="24" t="s">
        <v>166</v>
      </c>
      <c r="X45" s="24" t="s">
        <v>170</v>
      </c>
      <c r="Y45" s="26" t="s">
        <v>171</v>
      </c>
      <c r="Z45" s="27" t="s">
        <v>409</v>
      </c>
      <c r="AA45" s="24">
        <v>0.7</v>
      </c>
      <c r="AB45" s="24">
        <v>210</v>
      </c>
      <c r="AC45" s="24"/>
      <c r="AD45" s="24" t="s">
        <v>166</v>
      </c>
      <c r="AE45" s="24" t="s">
        <v>190</v>
      </c>
      <c r="AF45" s="12"/>
      <c r="AG45" s="24">
        <v>1</v>
      </c>
      <c r="AH45" s="24" t="s">
        <v>194</v>
      </c>
      <c r="AI45" s="24" t="s">
        <v>180</v>
      </c>
      <c r="AJ45" s="24">
        <v>4</v>
      </c>
      <c r="AK45" s="28"/>
      <c r="AL45" s="24" t="s">
        <v>172</v>
      </c>
      <c r="AM45" s="23">
        <v>7</v>
      </c>
      <c r="AN45" s="23" t="s">
        <v>166</v>
      </c>
      <c r="AO45" s="23"/>
      <c r="AP45" s="23"/>
      <c r="AQ45" s="23">
        <v>4</v>
      </c>
      <c r="AR45" s="23" t="s">
        <v>166</v>
      </c>
      <c r="AS45" s="24" t="s">
        <v>234</v>
      </c>
      <c r="AT45" s="23" t="s">
        <v>184</v>
      </c>
      <c r="AU45" s="23" t="s">
        <v>17</v>
      </c>
      <c r="AV45" s="23" t="s">
        <v>181</v>
      </c>
      <c r="AW45" s="23">
        <v>65</v>
      </c>
      <c r="AX45" s="23">
        <v>25</v>
      </c>
      <c r="AY45" s="23">
        <v>24</v>
      </c>
      <c r="AZ45" s="23" t="s">
        <v>175</v>
      </c>
      <c r="BA45" s="23"/>
      <c r="BB45" s="23">
        <v>23</v>
      </c>
      <c r="BC45" s="23">
        <v>24</v>
      </c>
      <c r="BD45" s="23" t="s">
        <v>176</v>
      </c>
      <c r="BE45" s="23"/>
      <c r="BF45" s="23">
        <v>18</v>
      </c>
      <c r="BG45" s="23">
        <v>20</v>
      </c>
      <c r="BH45" s="23"/>
      <c r="BI45" s="23"/>
      <c r="BJ45" s="23"/>
      <c r="BK45" s="23"/>
      <c r="BL45" s="23"/>
      <c r="BM45" s="23"/>
      <c r="BN45" s="23"/>
      <c r="BO45" s="23"/>
      <c r="BP45" s="23"/>
      <c r="BQ45" s="23"/>
      <c r="BR45" s="23"/>
      <c r="BS45" s="23"/>
      <c r="BT45" s="23"/>
      <c r="BU45" s="23"/>
      <c r="BV45" s="23"/>
      <c r="BW45" s="23"/>
      <c r="BY45">
        <f>INDEX('Ведомость расчета мин. платы'!$AK$10:$AL$210,MATCH('Такс. опис.'!C45,'Ведомость расчета мин. платы'!$AK$10:$AK$210,0),2)</f>
        <v>1</v>
      </c>
    </row>
    <row r="46" spans="1:77" x14ac:dyDescent="0.2">
      <c r="A46" s="23" t="s">
        <v>167</v>
      </c>
      <c r="B46" s="23" t="s">
        <v>168</v>
      </c>
      <c r="C46" s="199" t="s">
        <v>412</v>
      </c>
      <c r="D46" s="23" t="s">
        <v>27</v>
      </c>
      <c r="E46" s="23"/>
      <c r="F46" s="24">
        <v>136</v>
      </c>
      <c r="G46" s="24">
        <v>11</v>
      </c>
      <c r="H46" s="25">
        <v>9.5</v>
      </c>
      <c r="I46" s="24"/>
      <c r="J46" s="24"/>
      <c r="K46" s="24"/>
      <c r="L46" s="108"/>
      <c r="M46" s="24" t="s">
        <v>169</v>
      </c>
      <c r="N46" s="25">
        <f t="shared" ref="N46" si="27">H46-I46</f>
        <v>9.5</v>
      </c>
      <c r="O46" s="112"/>
      <c r="P46" s="24"/>
      <c r="Q46" s="25"/>
      <c r="R46" s="111"/>
      <c r="S46" s="24" t="s">
        <v>166</v>
      </c>
      <c r="T46" s="24" t="s">
        <v>166</v>
      </c>
      <c r="U46" s="24"/>
      <c r="V46" s="24"/>
      <c r="W46" s="24" t="s">
        <v>166</v>
      </c>
      <c r="X46" s="24" t="s">
        <v>170</v>
      </c>
      <c r="Y46" s="26" t="s">
        <v>171</v>
      </c>
      <c r="Z46" s="27" t="s">
        <v>413</v>
      </c>
      <c r="AA46" s="24">
        <v>0.6</v>
      </c>
      <c r="AB46" s="24">
        <v>210</v>
      </c>
      <c r="AC46" s="24"/>
      <c r="AD46" s="24" t="s">
        <v>166</v>
      </c>
      <c r="AE46" s="24" t="s">
        <v>190</v>
      </c>
      <c r="AF46" s="12"/>
      <c r="AG46" s="24">
        <v>2</v>
      </c>
      <c r="AH46" s="24" t="s">
        <v>186</v>
      </c>
      <c r="AI46" s="24" t="s">
        <v>185</v>
      </c>
      <c r="AJ46" s="24">
        <v>4</v>
      </c>
      <c r="AK46" s="28"/>
      <c r="AL46" s="24" t="s">
        <v>172</v>
      </c>
      <c r="AM46" s="23">
        <v>7</v>
      </c>
      <c r="AN46" s="23" t="s">
        <v>166</v>
      </c>
      <c r="AO46" s="23"/>
      <c r="AP46" s="23"/>
      <c r="AQ46" s="23">
        <v>4</v>
      </c>
      <c r="AR46" s="23" t="s">
        <v>166</v>
      </c>
      <c r="AS46" s="24" t="s">
        <v>234</v>
      </c>
      <c r="AT46" s="23" t="s">
        <v>176</v>
      </c>
      <c r="AU46" s="23" t="s">
        <v>19</v>
      </c>
      <c r="AV46" s="23" t="s">
        <v>181</v>
      </c>
      <c r="AW46" s="23">
        <v>70</v>
      </c>
      <c r="AX46" s="23">
        <v>23</v>
      </c>
      <c r="AY46" s="23">
        <v>26</v>
      </c>
      <c r="AZ46" s="23" t="s">
        <v>176</v>
      </c>
      <c r="BA46" s="23">
        <v>100</v>
      </c>
      <c r="BB46" s="23">
        <v>26</v>
      </c>
      <c r="BC46" s="23">
        <v>36</v>
      </c>
      <c r="BD46" s="23" t="s">
        <v>175</v>
      </c>
      <c r="BE46" s="23"/>
      <c r="BF46" s="23">
        <v>24</v>
      </c>
      <c r="BG46" s="23">
        <v>32</v>
      </c>
      <c r="BH46" s="23"/>
      <c r="BI46" s="23"/>
      <c r="BJ46" s="23"/>
      <c r="BK46" s="23"/>
      <c r="BL46" s="23"/>
      <c r="BM46" s="23"/>
      <c r="BN46" s="23"/>
      <c r="BO46" s="23"/>
      <c r="BP46" s="23"/>
      <c r="BQ46" s="23"/>
      <c r="BR46" s="23"/>
      <c r="BS46" s="23"/>
      <c r="BT46" s="23"/>
      <c r="BU46" s="23"/>
      <c r="BV46" s="23"/>
      <c r="BW46" s="23"/>
      <c r="BY46">
        <f>INDEX('Ведомость расчета мин. платы'!$AK$10:$AL$210,MATCH('Такс. опис.'!C46,'Ведомость расчета мин. платы'!$AK$10:$AK$210,0),2)</f>
        <v>1</v>
      </c>
    </row>
    <row r="47" spans="1:77" x14ac:dyDescent="0.2">
      <c r="A47" s="23" t="s">
        <v>167</v>
      </c>
      <c r="B47" s="23" t="s">
        <v>168</v>
      </c>
      <c r="C47" s="199" t="s">
        <v>417</v>
      </c>
      <c r="D47" s="23" t="s">
        <v>39</v>
      </c>
      <c r="E47" s="23"/>
      <c r="F47" s="24">
        <v>14</v>
      </c>
      <c r="G47" s="24">
        <v>10</v>
      </c>
      <c r="H47" s="25">
        <v>9.3000000000000007</v>
      </c>
      <c r="I47" s="24"/>
      <c r="J47" s="24"/>
      <c r="K47" s="24"/>
      <c r="L47" s="108"/>
      <c r="M47" s="24" t="s">
        <v>169</v>
      </c>
      <c r="N47" s="25">
        <f t="shared" ref="N47" si="28">H47-I47</f>
        <v>9.3000000000000007</v>
      </c>
      <c r="O47" s="112"/>
      <c r="P47" s="24"/>
      <c r="Q47" s="25"/>
      <c r="R47" s="111"/>
      <c r="S47" s="24" t="s">
        <v>166</v>
      </c>
      <c r="T47" s="24" t="s">
        <v>166</v>
      </c>
      <c r="U47" s="24"/>
      <c r="V47" s="24"/>
      <c r="W47" s="24" t="s">
        <v>166</v>
      </c>
      <c r="X47" s="24" t="s">
        <v>170</v>
      </c>
      <c r="Y47" s="26" t="s">
        <v>171</v>
      </c>
      <c r="Z47" s="27" t="s">
        <v>225</v>
      </c>
      <c r="AA47" s="24">
        <v>0.7</v>
      </c>
      <c r="AB47" s="24">
        <v>220</v>
      </c>
      <c r="AC47" s="24"/>
      <c r="AD47" s="24" t="s">
        <v>166</v>
      </c>
      <c r="AE47" s="24" t="s">
        <v>190</v>
      </c>
      <c r="AF47" s="12"/>
      <c r="AG47" s="24">
        <v>1</v>
      </c>
      <c r="AH47" s="24" t="s">
        <v>188</v>
      </c>
      <c r="AI47" s="24" t="s">
        <v>185</v>
      </c>
      <c r="AJ47" s="24">
        <v>4</v>
      </c>
      <c r="AK47" s="28"/>
      <c r="AL47" s="24" t="s">
        <v>172</v>
      </c>
      <c r="AM47" s="23">
        <v>5</v>
      </c>
      <c r="AN47" s="23" t="s">
        <v>166</v>
      </c>
      <c r="AO47" s="23" t="s">
        <v>166</v>
      </c>
      <c r="AP47" s="23" t="s">
        <v>166</v>
      </c>
      <c r="AQ47" s="23">
        <v>4</v>
      </c>
      <c r="AR47" s="23"/>
      <c r="AS47" s="24" t="s">
        <v>234</v>
      </c>
      <c r="AT47" s="23" t="s">
        <v>175</v>
      </c>
      <c r="AU47" s="23" t="s">
        <v>18</v>
      </c>
      <c r="AV47" s="23" t="s">
        <v>181</v>
      </c>
      <c r="AW47" s="23">
        <v>45</v>
      </c>
      <c r="AX47" s="23">
        <v>22</v>
      </c>
      <c r="AY47" s="23">
        <v>24</v>
      </c>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Y47">
        <f>INDEX('Ведомость расчета мин. платы'!$AK$10:$AL$210,MATCH('Такс. опис.'!C47,'Ведомость расчета мин. платы'!$AK$10:$AK$210,0),2)</f>
        <v>1</v>
      </c>
    </row>
    <row r="48" spans="1:77" x14ac:dyDescent="0.2">
      <c r="A48" s="23" t="s">
        <v>167</v>
      </c>
      <c r="B48" s="23" t="s">
        <v>168</v>
      </c>
      <c r="C48" s="199" t="s">
        <v>420</v>
      </c>
      <c r="D48" s="23" t="s">
        <v>39</v>
      </c>
      <c r="E48" s="23"/>
      <c r="F48" s="24">
        <v>18</v>
      </c>
      <c r="G48" s="24">
        <v>69</v>
      </c>
      <c r="H48" s="25">
        <v>11.3</v>
      </c>
      <c r="I48" s="24"/>
      <c r="J48" s="24"/>
      <c r="K48" s="24"/>
      <c r="L48" s="108"/>
      <c r="M48" s="24" t="s">
        <v>169</v>
      </c>
      <c r="N48" s="25">
        <f>H48-I48</f>
        <v>11.3</v>
      </c>
      <c r="O48" s="112"/>
      <c r="P48" s="24"/>
      <c r="Q48" s="25"/>
      <c r="R48" s="111"/>
      <c r="S48" s="24" t="s">
        <v>166</v>
      </c>
      <c r="T48" s="24" t="s">
        <v>166</v>
      </c>
      <c r="U48" s="24"/>
      <c r="V48" s="24"/>
      <c r="W48" s="24" t="s">
        <v>166</v>
      </c>
      <c r="X48" s="24" t="s">
        <v>170</v>
      </c>
      <c r="Y48" s="26" t="s">
        <v>171</v>
      </c>
      <c r="Z48" s="27" t="s">
        <v>211</v>
      </c>
      <c r="AA48" s="24">
        <v>0.7</v>
      </c>
      <c r="AB48" s="24">
        <v>210</v>
      </c>
      <c r="AC48" s="24"/>
      <c r="AD48" s="24" t="s">
        <v>166</v>
      </c>
      <c r="AE48" s="24" t="s">
        <v>190</v>
      </c>
      <c r="AF48" s="12"/>
      <c r="AG48" s="24">
        <v>1</v>
      </c>
      <c r="AH48" s="24" t="s">
        <v>188</v>
      </c>
      <c r="AI48" s="24" t="s">
        <v>185</v>
      </c>
      <c r="AJ48" s="24">
        <v>4</v>
      </c>
      <c r="AK48" s="28"/>
      <c r="AL48" s="24" t="s">
        <v>172</v>
      </c>
      <c r="AM48" s="23">
        <v>5</v>
      </c>
      <c r="AN48" s="23" t="s">
        <v>166</v>
      </c>
      <c r="AO48" s="23" t="s">
        <v>166</v>
      </c>
      <c r="AP48" s="23" t="s">
        <v>166</v>
      </c>
      <c r="AQ48" s="23">
        <v>4</v>
      </c>
      <c r="AR48" s="23"/>
      <c r="AS48" s="24" t="s">
        <v>234</v>
      </c>
      <c r="AT48" s="23" t="s">
        <v>175</v>
      </c>
      <c r="AU48" s="23" t="s">
        <v>18</v>
      </c>
      <c r="AV48" s="23" t="s">
        <v>181</v>
      </c>
      <c r="AW48" s="23">
        <v>50</v>
      </c>
      <c r="AX48" s="23">
        <v>21</v>
      </c>
      <c r="AY48" s="23">
        <v>24</v>
      </c>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Y48">
        <f>INDEX('Ведомость расчета мин. платы'!$AK$10:$AL$210,MATCH('Такс. опис.'!C48,'Ведомость расчета мин. платы'!$AK$10:$AK$210,0),2)</f>
        <v>1</v>
      </c>
    </row>
    <row r="49" spans="1:77" x14ac:dyDescent="0.2">
      <c r="A49" s="23" t="s">
        <v>167</v>
      </c>
      <c r="B49" s="23" t="s">
        <v>168</v>
      </c>
      <c r="C49" s="199" t="s">
        <v>427</v>
      </c>
      <c r="D49" s="23" t="s">
        <v>39</v>
      </c>
      <c r="E49" s="23"/>
      <c r="F49" s="24">
        <v>59</v>
      </c>
      <c r="G49" s="24">
        <v>57</v>
      </c>
      <c r="H49" s="25">
        <v>0.9</v>
      </c>
      <c r="I49" s="24"/>
      <c r="J49" s="24"/>
      <c r="K49" s="24"/>
      <c r="L49" s="108"/>
      <c r="M49" s="24" t="s">
        <v>169</v>
      </c>
      <c r="N49" s="25">
        <f t="shared" ref="N49" si="29">H49-I49</f>
        <v>0.9</v>
      </c>
      <c r="O49" s="112"/>
      <c r="P49" s="24"/>
      <c r="Q49" s="25"/>
      <c r="R49" s="111"/>
      <c r="S49" s="24" t="s">
        <v>166</v>
      </c>
      <c r="T49" s="24" t="s">
        <v>166</v>
      </c>
      <c r="U49" s="24"/>
      <c r="V49" s="24"/>
      <c r="W49" s="24" t="s">
        <v>166</v>
      </c>
      <c r="X49" s="24" t="s">
        <v>170</v>
      </c>
      <c r="Y49" s="26" t="s">
        <v>171</v>
      </c>
      <c r="Z49" s="27" t="s">
        <v>202</v>
      </c>
      <c r="AA49" s="24">
        <v>0.8</v>
      </c>
      <c r="AB49" s="24">
        <v>240</v>
      </c>
      <c r="AC49" s="24"/>
      <c r="AD49" s="24" t="s">
        <v>166</v>
      </c>
      <c r="AE49" s="24" t="s">
        <v>190</v>
      </c>
      <c r="AF49" s="12"/>
      <c r="AG49" s="24">
        <v>1</v>
      </c>
      <c r="AH49" s="24" t="s">
        <v>188</v>
      </c>
      <c r="AI49" s="24" t="s">
        <v>185</v>
      </c>
      <c r="AJ49" s="24">
        <v>4</v>
      </c>
      <c r="AK49" s="28"/>
      <c r="AL49" s="24" t="s">
        <v>172</v>
      </c>
      <c r="AM49" s="23">
        <v>5</v>
      </c>
      <c r="AN49" s="23" t="s">
        <v>166</v>
      </c>
      <c r="AO49" s="23" t="s">
        <v>166</v>
      </c>
      <c r="AP49" s="23" t="s">
        <v>166</v>
      </c>
      <c r="AQ49" s="23">
        <v>4</v>
      </c>
      <c r="AR49" s="23"/>
      <c r="AS49" s="24" t="s">
        <v>234</v>
      </c>
      <c r="AT49" s="23" t="s">
        <v>175</v>
      </c>
      <c r="AU49" s="23" t="s">
        <v>18</v>
      </c>
      <c r="AV49" s="23" t="s">
        <v>181</v>
      </c>
      <c r="AW49" s="23">
        <v>45</v>
      </c>
      <c r="AX49" s="23">
        <v>21</v>
      </c>
      <c r="AY49" s="23">
        <v>18</v>
      </c>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Y49">
        <f>INDEX('Ведомость расчета мин. платы'!$AK$10:$AL$210,MATCH('Такс. опис.'!C49,'Ведомость расчета мин. платы'!$AK$10:$AK$210,0),2)</f>
        <v>1</v>
      </c>
    </row>
    <row r="50" spans="1:77" x14ac:dyDescent="0.2">
      <c r="A50" s="23" t="s">
        <v>167</v>
      </c>
      <c r="B50" s="23" t="s">
        <v>168</v>
      </c>
      <c r="C50" s="199" t="s">
        <v>428</v>
      </c>
      <c r="D50" s="23" t="s">
        <v>39</v>
      </c>
      <c r="E50" s="23"/>
      <c r="F50" s="24">
        <v>67</v>
      </c>
      <c r="G50" s="24">
        <v>34</v>
      </c>
      <c r="H50" s="25">
        <v>15</v>
      </c>
      <c r="I50" s="24"/>
      <c r="J50" s="24"/>
      <c r="K50" s="24"/>
      <c r="L50" s="108"/>
      <c r="M50" s="24" t="s">
        <v>169</v>
      </c>
      <c r="N50" s="25">
        <f t="shared" ref="N50" si="30">H50-I50</f>
        <v>15</v>
      </c>
      <c r="O50" s="112"/>
      <c r="P50" s="24"/>
      <c r="Q50" s="25"/>
      <c r="R50" s="111"/>
      <c r="S50" s="24" t="s">
        <v>166</v>
      </c>
      <c r="T50" s="24" t="s">
        <v>166</v>
      </c>
      <c r="U50" s="24"/>
      <c r="V50" s="24"/>
      <c r="W50" s="24" t="s">
        <v>166</v>
      </c>
      <c r="X50" s="24" t="s">
        <v>170</v>
      </c>
      <c r="Y50" s="26" t="s">
        <v>171</v>
      </c>
      <c r="Z50" s="27" t="s">
        <v>394</v>
      </c>
      <c r="AA50" s="24">
        <v>0.5</v>
      </c>
      <c r="AB50" s="24">
        <v>130</v>
      </c>
      <c r="AC50" s="24"/>
      <c r="AD50" s="24" t="s">
        <v>166</v>
      </c>
      <c r="AE50" s="24" t="s">
        <v>190</v>
      </c>
      <c r="AF50" s="12"/>
      <c r="AG50" s="24">
        <v>2</v>
      </c>
      <c r="AH50" s="24" t="s">
        <v>194</v>
      </c>
      <c r="AI50" s="24" t="s">
        <v>180</v>
      </c>
      <c r="AJ50" s="24">
        <v>4</v>
      </c>
      <c r="AK50" s="28"/>
      <c r="AL50" s="24" t="s">
        <v>172</v>
      </c>
      <c r="AM50" s="23">
        <v>7</v>
      </c>
      <c r="AN50" s="23" t="s">
        <v>166</v>
      </c>
      <c r="AO50" s="23"/>
      <c r="AP50" s="23"/>
      <c r="AQ50" s="23">
        <v>4</v>
      </c>
      <c r="AR50" s="23" t="s">
        <v>166</v>
      </c>
      <c r="AS50" s="24" t="s">
        <v>234</v>
      </c>
      <c r="AT50" s="23" t="s">
        <v>184</v>
      </c>
      <c r="AU50" s="23" t="s">
        <v>17</v>
      </c>
      <c r="AV50" s="23" t="s">
        <v>181</v>
      </c>
      <c r="AW50" s="23">
        <v>70</v>
      </c>
      <c r="AX50" s="23">
        <v>22</v>
      </c>
      <c r="AY50" s="23">
        <v>24</v>
      </c>
      <c r="AZ50" s="23" t="s">
        <v>224</v>
      </c>
      <c r="BA50" s="23"/>
      <c r="BB50" s="23">
        <v>21</v>
      </c>
      <c r="BC50" s="23">
        <v>24</v>
      </c>
      <c r="BD50" s="23"/>
      <c r="BE50" s="23"/>
      <c r="BF50" s="23"/>
      <c r="BG50" s="23"/>
      <c r="BH50" s="23"/>
      <c r="BI50" s="23"/>
      <c r="BJ50" s="23"/>
      <c r="BK50" s="23"/>
      <c r="BL50" s="23"/>
      <c r="BM50" s="23"/>
      <c r="BN50" s="23"/>
      <c r="BO50" s="23"/>
      <c r="BP50" s="23"/>
      <c r="BQ50" s="23"/>
      <c r="BR50" s="23"/>
      <c r="BS50" s="23"/>
      <c r="BT50" s="23"/>
      <c r="BU50" s="23"/>
      <c r="BV50" s="23"/>
      <c r="BW50" s="23"/>
      <c r="BY50">
        <f>INDEX('Ведомость расчета мин. платы'!$AK$10:$AL$210,MATCH('Такс. опис.'!C50,'Ведомость расчета мин. платы'!$AK$10:$AK$210,0),2)</f>
        <v>1</v>
      </c>
    </row>
  </sheetData>
  <sheetProtection selectLockedCells="1" selectUnlockedCells="1"/>
  <autoFilter ref="A4:BY50"/>
  <conditionalFormatting sqref="X2 X4:X50">
    <cfRule type="containsText" dxfId="3" priority="3" stopIfTrue="1" operator="containsText" text="экспл">
      <formula>NOT(ISERROR(SEARCH("экспл",X2)))</formula>
    </cfRule>
    <cfRule type="containsText" dxfId="2" priority="4" stopIfTrue="1" operator="containsText" text="защит">
      <formula>NOT(ISERROR(SEARCH("защит",X2)))</formula>
    </cfRule>
  </conditionalFormatting>
  <conditionalFormatting sqref="Y5:Y50">
    <cfRule type="containsText" dxfId="1" priority="1" operator="containsText" text="не лесная">
      <formula>NOT(ISERROR(SEARCH("не лесная",Y5)))</formula>
    </cfRule>
    <cfRule type="containsText" dxfId="0" priority="2" operator="containsText" text="лесная">
      <formula>NOT(ISERROR(SEARCH("лесная",Y5)))</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74"/>
  <sheetViews>
    <sheetView workbookViewId="0">
      <pane ySplit="2" topLeftCell="A3" activePane="bottomLeft" state="frozen"/>
      <selection pane="bottomLeft" activeCell="H36" sqref="H36"/>
    </sheetView>
  </sheetViews>
  <sheetFormatPr defaultRowHeight="12.75" x14ac:dyDescent="0.2"/>
  <cols>
    <col min="1" max="32" width="9.140625" style="37"/>
    <col min="33" max="16384" width="9.140625" style="98"/>
  </cols>
  <sheetData>
    <row r="1" spans="1:32" customFormat="1" x14ac:dyDescent="0.2">
      <c r="A1" s="37"/>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row>
    <row r="2" spans="1:32" s="97" customFormat="1" ht="52.5" customHeight="1" x14ac:dyDescent="0.2">
      <c r="A2" s="99"/>
      <c r="B2" s="99"/>
      <c r="C2" s="99"/>
      <c r="D2" s="99"/>
      <c r="E2" s="99"/>
      <c r="F2" s="99"/>
      <c r="G2" s="99"/>
      <c r="H2" s="99"/>
      <c r="I2" s="99" t="s">
        <v>100</v>
      </c>
      <c r="J2" s="99"/>
      <c r="K2" s="99"/>
      <c r="L2" s="99"/>
      <c r="M2" s="99"/>
      <c r="N2" s="99"/>
      <c r="O2" s="99"/>
      <c r="P2" s="99"/>
      <c r="Q2" s="99"/>
      <c r="R2" s="99"/>
      <c r="S2" s="99"/>
      <c r="T2" s="99"/>
      <c r="U2" s="99"/>
      <c r="V2" s="99"/>
      <c r="W2" s="99"/>
      <c r="X2" s="99"/>
      <c r="Y2" s="99"/>
      <c r="Z2" s="99"/>
      <c r="AA2" s="99"/>
      <c r="AB2" s="99"/>
      <c r="AC2" s="99"/>
      <c r="AD2" s="99"/>
      <c r="AE2" s="99"/>
      <c r="AF2" s="99"/>
    </row>
    <row r="3" spans="1:32" customFormat="1" x14ac:dyDescent="0.2">
      <c r="A3" s="37"/>
      <c r="B3" s="37"/>
      <c r="C3" s="37"/>
      <c r="D3" s="37"/>
      <c r="E3" s="37"/>
      <c r="F3" s="37"/>
      <c r="G3" s="37"/>
      <c r="H3" s="37"/>
      <c r="I3" s="37" t="s">
        <v>101</v>
      </c>
      <c r="J3" s="37"/>
      <c r="K3" s="37"/>
      <c r="L3" s="37"/>
      <c r="M3" s="37"/>
      <c r="N3" s="37"/>
      <c r="O3" s="37"/>
      <c r="P3" s="37"/>
      <c r="Q3" s="37"/>
      <c r="R3" s="37"/>
      <c r="S3" s="37"/>
      <c r="T3" s="37"/>
      <c r="U3" s="37"/>
      <c r="V3" s="37"/>
      <c r="W3" s="37"/>
      <c r="X3" s="37"/>
      <c r="Y3" s="37"/>
      <c r="Z3" s="37"/>
      <c r="AA3" s="37"/>
      <c r="AB3" s="37"/>
      <c r="AC3" s="37"/>
      <c r="AD3" s="37"/>
      <c r="AE3" s="37"/>
      <c r="AF3" s="37"/>
    </row>
    <row r="4" spans="1:32" customFormat="1" x14ac:dyDescent="0.2">
      <c r="A4" s="37"/>
      <c r="B4" s="37"/>
      <c r="C4" s="37"/>
      <c r="D4" s="37"/>
      <c r="E4" s="37"/>
      <c r="F4" s="37"/>
      <c r="G4" s="37"/>
      <c r="H4" s="37"/>
      <c r="I4" s="37" t="s">
        <v>432</v>
      </c>
      <c r="J4" s="37"/>
      <c r="K4" s="37"/>
      <c r="L4" s="37"/>
      <c r="M4" s="37"/>
      <c r="N4" s="37"/>
      <c r="O4" s="37"/>
      <c r="P4" s="37"/>
      <c r="Q4" s="37"/>
      <c r="R4" s="37"/>
      <c r="S4" s="37"/>
      <c r="T4" s="37"/>
      <c r="U4" s="37"/>
      <c r="V4" s="37"/>
      <c r="W4" s="37"/>
      <c r="X4" s="37"/>
      <c r="Y4" s="37"/>
      <c r="Z4" s="37"/>
      <c r="AA4" s="37"/>
      <c r="AB4" s="37"/>
      <c r="AC4" s="37"/>
      <c r="AD4" s="37"/>
      <c r="AE4" s="37"/>
      <c r="AF4" s="37"/>
    </row>
    <row r="5" spans="1:32" customFormat="1" x14ac:dyDescent="0.2">
      <c r="A5" s="37"/>
      <c r="B5" s="37"/>
      <c r="C5" s="37"/>
      <c r="D5" s="37"/>
      <c r="E5" s="37"/>
      <c r="F5" s="37"/>
      <c r="G5" s="37"/>
      <c r="H5" s="37"/>
      <c r="I5" s="37" t="s">
        <v>102</v>
      </c>
      <c r="J5" s="37"/>
      <c r="K5" s="37"/>
      <c r="L5" s="37"/>
      <c r="M5" s="37"/>
      <c r="N5" s="37"/>
      <c r="O5" s="37"/>
      <c r="P5" s="37"/>
      <c r="Q5" s="37"/>
      <c r="R5" s="37"/>
      <c r="S5" s="37"/>
      <c r="T5" s="37"/>
      <c r="U5" s="37"/>
      <c r="V5" s="37"/>
      <c r="W5" s="37"/>
      <c r="X5" s="37"/>
      <c r="Y5" s="37"/>
      <c r="Z5" s="37"/>
      <c r="AA5" s="37"/>
      <c r="AB5" s="37"/>
      <c r="AC5" s="37"/>
      <c r="AD5" s="37"/>
      <c r="AE5" s="37"/>
      <c r="AF5" s="37"/>
    </row>
    <row r="6" spans="1:32" customFormat="1" x14ac:dyDescent="0.2">
      <c r="A6" s="37"/>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row>
    <row r="7" spans="1:32" customFormat="1" x14ac:dyDescent="0.2">
      <c r="A7" s="37"/>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row>
    <row r="8" spans="1:32" customFormat="1" x14ac:dyDescent="0.2">
      <c r="A8" s="37"/>
      <c r="B8" s="37" t="s">
        <v>0</v>
      </c>
      <c r="C8" s="37" t="s">
        <v>1</v>
      </c>
      <c r="D8" s="37" t="s">
        <v>2</v>
      </c>
      <c r="E8" s="37" t="s">
        <v>3</v>
      </c>
      <c r="F8" s="37" t="s">
        <v>4</v>
      </c>
      <c r="G8" s="37" t="s">
        <v>5</v>
      </c>
      <c r="H8" s="37" t="s">
        <v>6</v>
      </c>
      <c r="I8" s="37" t="s">
        <v>7</v>
      </c>
      <c r="J8" s="37" t="s">
        <v>8</v>
      </c>
      <c r="K8" s="37" t="s">
        <v>9</v>
      </c>
      <c r="L8" s="37"/>
      <c r="M8" s="37"/>
      <c r="N8" s="37"/>
      <c r="O8" s="37" t="s">
        <v>10</v>
      </c>
      <c r="P8" s="37" t="s">
        <v>16</v>
      </c>
      <c r="Q8" s="37" t="s">
        <v>11</v>
      </c>
      <c r="R8" s="37" t="s">
        <v>431</v>
      </c>
      <c r="S8" s="37"/>
      <c r="T8" s="37"/>
      <c r="U8" s="37"/>
      <c r="V8" s="37"/>
      <c r="W8" s="37"/>
      <c r="X8" s="37"/>
      <c r="Y8" s="37"/>
      <c r="Z8" s="37" t="s">
        <v>1</v>
      </c>
      <c r="AA8" s="37" t="s">
        <v>2</v>
      </c>
      <c r="AB8" s="37" t="s">
        <v>3</v>
      </c>
      <c r="AC8" s="37" t="s">
        <v>4</v>
      </c>
      <c r="AD8" s="37"/>
      <c r="AE8" s="37" t="s">
        <v>450</v>
      </c>
      <c r="AF8" s="37"/>
    </row>
    <row r="9" spans="1:32" customFormat="1" x14ac:dyDescent="0.2">
      <c r="A9" s="37"/>
      <c r="B9" s="37"/>
      <c r="C9" s="37"/>
      <c r="D9" s="37"/>
      <c r="E9" s="37"/>
      <c r="F9" s="37"/>
      <c r="G9" s="37"/>
      <c r="H9" s="37"/>
      <c r="I9" s="37"/>
      <c r="J9" s="37"/>
      <c r="K9" s="37" t="s">
        <v>12</v>
      </c>
      <c r="L9" s="37" t="s">
        <v>13</v>
      </c>
      <c r="M9" s="37" t="s">
        <v>14</v>
      </c>
      <c r="N9" s="37" t="s">
        <v>15</v>
      </c>
      <c r="O9" s="37"/>
      <c r="P9" s="37"/>
      <c r="Q9" s="37"/>
      <c r="R9" s="37"/>
      <c r="S9" s="37"/>
      <c r="T9" s="37"/>
      <c r="U9" s="37"/>
      <c r="V9" s="37"/>
      <c r="W9" s="37"/>
      <c r="X9" s="37"/>
      <c r="Y9" s="37"/>
      <c r="Z9" s="37"/>
      <c r="AA9" s="37"/>
      <c r="AB9" s="37"/>
      <c r="AC9" s="37"/>
      <c r="AD9" s="37"/>
      <c r="AE9" s="37"/>
      <c r="AF9" s="37"/>
    </row>
    <row r="10" spans="1:32" customFormat="1" x14ac:dyDescent="0.2">
      <c r="A10" s="37"/>
      <c r="B10" s="37">
        <v>1</v>
      </c>
      <c r="C10" s="37" t="s">
        <v>26</v>
      </c>
      <c r="D10" s="37">
        <v>6</v>
      </c>
      <c r="E10" s="37">
        <v>15</v>
      </c>
      <c r="F10" s="37">
        <v>1</v>
      </c>
      <c r="G10" s="37">
        <v>6.8</v>
      </c>
      <c r="H10" s="37" t="s">
        <v>56</v>
      </c>
      <c r="I10" s="37" t="s">
        <v>23</v>
      </c>
      <c r="J10" s="37" t="s">
        <v>18</v>
      </c>
      <c r="K10" s="37">
        <v>347</v>
      </c>
      <c r="L10" s="37">
        <v>196</v>
      </c>
      <c r="M10" s="37">
        <v>10</v>
      </c>
      <c r="N10" s="37">
        <v>553</v>
      </c>
      <c r="O10" s="37">
        <v>319</v>
      </c>
      <c r="P10" s="37"/>
      <c r="Q10" s="37">
        <v>872</v>
      </c>
      <c r="R10" s="37">
        <v>10467</v>
      </c>
      <c r="S10" s="37"/>
      <c r="T10" s="37" t="s">
        <v>181</v>
      </c>
      <c r="U10" s="37" t="s">
        <v>207</v>
      </c>
      <c r="V10" s="37">
        <v>50</v>
      </c>
      <c r="W10" s="37" t="s">
        <v>18</v>
      </c>
      <c r="X10" s="37" t="s">
        <v>190</v>
      </c>
      <c r="Y10" s="37">
        <v>1632</v>
      </c>
      <c r="Z10" s="37" t="s">
        <v>26</v>
      </c>
      <c r="AA10" s="37">
        <v>6</v>
      </c>
      <c r="AB10" s="37">
        <v>15</v>
      </c>
      <c r="AC10" s="37">
        <v>1</v>
      </c>
      <c r="AD10" s="37" t="s">
        <v>529</v>
      </c>
      <c r="AE10" s="37">
        <v>1.3</v>
      </c>
      <c r="AF10" s="37" t="s">
        <v>1017</v>
      </c>
    </row>
    <row r="11" spans="1:32" customFormat="1" x14ac:dyDescent="0.2">
      <c r="A11" s="37"/>
      <c r="B11" s="37"/>
      <c r="C11" s="37"/>
      <c r="D11" s="37"/>
      <c r="E11" s="37"/>
      <c r="F11" s="37"/>
      <c r="G11" s="37"/>
      <c r="H11" s="37" t="s">
        <v>35</v>
      </c>
      <c r="I11" s="37"/>
      <c r="J11" s="37" t="s">
        <v>17</v>
      </c>
      <c r="K11" s="37">
        <v>35</v>
      </c>
      <c r="L11" s="37">
        <v>93</v>
      </c>
      <c r="M11" s="37">
        <v>9</v>
      </c>
      <c r="N11" s="37">
        <v>137</v>
      </c>
      <c r="O11" s="37">
        <v>86</v>
      </c>
      <c r="P11" s="37"/>
      <c r="Q11" s="37">
        <v>223</v>
      </c>
      <c r="R11" s="37">
        <v>11829</v>
      </c>
      <c r="S11" s="37"/>
      <c r="T11" s="37"/>
      <c r="U11" s="37"/>
      <c r="V11" s="37"/>
      <c r="W11" s="37" t="s">
        <v>18</v>
      </c>
      <c r="X11" s="37"/>
      <c r="Y11" s="37"/>
      <c r="Z11" s="37" t="s">
        <v>26</v>
      </c>
      <c r="AA11" s="37">
        <v>6</v>
      </c>
      <c r="AB11" s="37">
        <v>15</v>
      </c>
      <c r="AC11" s="37">
        <v>1</v>
      </c>
      <c r="AD11" s="37" t="s">
        <v>529</v>
      </c>
      <c r="AE11" s="37">
        <v>1.3</v>
      </c>
      <c r="AF11" s="37" t="s">
        <v>530</v>
      </c>
    </row>
    <row r="12" spans="1:32" customFormat="1" x14ac:dyDescent="0.2">
      <c r="A12" s="37"/>
      <c r="B12" s="37" t="s">
        <v>166</v>
      </c>
      <c r="C12" s="37"/>
      <c r="D12" s="37"/>
      <c r="E12" s="37"/>
      <c r="F12" s="37"/>
      <c r="G12" s="37"/>
      <c r="H12" s="37">
        <v>50</v>
      </c>
      <c r="I12" s="37"/>
      <c r="J12" s="37" t="s">
        <v>19</v>
      </c>
      <c r="K12" s="37">
        <v>12</v>
      </c>
      <c r="L12" s="37">
        <v>38</v>
      </c>
      <c r="M12" s="37">
        <v>4</v>
      </c>
      <c r="N12" s="37">
        <v>54</v>
      </c>
      <c r="O12" s="37">
        <v>59</v>
      </c>
      <c r="P12" s="37"/>
      <c r="Q12" s="37">
        <v>113</v>
      </c>
      <c r="R12" s="37">
        <v>2756</v>
      </c>
      <c r="S12" s="37"/>
      <c r="T12" s="37"/>
      <c r="U12" s="37"/>
      <c r="V12" s="37"/>
      <c r="W12" s="37" t="s">
        <v>18</v>
      </c>
      <c r="X12" s="37"/>
      <c r="Y12" s="37"/>
      <c r="Z12" s="37" t="s">
        <v>26</v>
      </c>
      <c r="AA12" s="37">
        <v>6</v>
      </c>
      <c r="AB12" s="37">
        <v>15</v>
      </c>
      <c r="AC12" s="37">
        <v>1</v>
      </c>
      <c r="AD12" s="37" t="s">
        <v>529</v>
      </c>
      <c r="AE12" s="37">
        <v>1.3</v>
      </c>
      <c r="AF12" s="37" t="s">
        <v>531</v>
      </c>
    </row>
    <row r="13" spans="1:32" customFormat="1" x14ac:dyDescent="0.2">
      <c r="A13" s="37"/>
      <c r="B13" s="37" t="s">
        <v>166</v>
      </c>
      <c r="C13" s="37"/>
      <c r="D13" s="37"/>
      <c r="E13" s="37"/>
      <c r="F13" s="37"/>
      <c r="G13" s="37"/>
      <c r="H13" s="37"/>
      <c r="I13" s="37"/>
      <c r="J13" s="37" t="s">
        <v>15</v>
      </c>
      <c r="K13" s="37">
        <v>394</v>
      </c>
      <c r="L13" s="37">
        <v>327</v>
      </c>
      <c r="M13" s="37">
        <v>23</v>
      </c>
      <c r="N13" s="37">
        <v>744</v>
      </c>
      <c r="O13" s="37">
        <v>464</v>
      </c>
      <c r="P13" s="37">
        <v>0</v>
      </c>
      <c r="Q13" s="37">
        <v>1208</v>
      </c>
      <c r="R13" s="37">
        <v>25052</v>
      </c>
      <c r="S13" s="37"/>
      <c r="T13" s="37"/>
      <c r="U13" s="37"/>
      <c r="V13" s="37"/>
      <c r="W13" s="37" t="s">
        <v>18</v>
      </c>
      <c r="X13" s="37"/>
      <c r="Y13" s="37"/>
      <c r="Z13" s="37" t="s">
        <v>26</v>
      </c>
      <c r="AA13" s="37">
        <v>6</v>
      </c>
      <c r="AB13" s="37">
        <v>15</v>
      </c>
      <c r="AC13" s="37">
        <v>1</v>
      </c>
      <c r="AD13" s="37" t="s">
        <v>529</v>
      </c>
      <c r="AE13" s="37">
        <v>1.3</v>
      </c>
      <c r="AF13" s="37" t="s">
        <v>532</v>
      </c>
    </row>
    <row r="14" spans="1:32" customFormat="1" x14ac:dyDescent="0.2">
      <c r="A14" s="37"/>
      <c r="B14" s="37">
        <v>2</v>
      </c>
      <c r="C14" s="37" t="s">
        <v>26</v>
      </c>
      <c r="D14" s="37">
        <v>6</v>
      </c>
      <c r="E14" s="37">
        <v>21</v>
      </c>
      <c r="F14" s="37">
        <v>1</v>
      </c>
      <c r="G14" s="37">
        <v>5.5</v>
      </c>
      <c r="H14" s="37" t="s">
        <v>56</v>
      </c>
      <c r="I14" s="37" t="s">
        <v>23</v>
      </c>
      <c r="J14" s="37" t="s">
        <v>18</v>
      </c>
      <c r="K14" s="37">
        <v>205</v>
      </c>
      <c r="L14" s="37">
        <v>159</v>
      </c>
      <c r="M14" s="37">
        <v>8</v>
      </c>
      <c r="N14" s="37">
        <v>372</v>
      </c>
      <c r="O14" s="37">
        <v>217</v>
      </c>
      <c r="P14" s="37"/>
      <c r="Q14" s="37">
        <v>589</v>
      </c>
      <c r="R14" s="37">
        <v>6902</v>
      </c>
      <c r="S14" s="37"/>
      <c r="T14" s="37" t="s">
        <v>181</v>
      </c>
      <c r="U14" s="37" t="s">
        <v>214</v>
      </c>
      <c r="V14" s="37">
        <v>45</v>
      </c>
      <c r="W14" s="37" t="s">
        <v>18</v>
      </c>
      <c r="X14" s="37" t="s">
        <v>190</v>
      </c>
      <c r="Y14" s="37">
        <v>1045</v>
      </c>
      <c r="Z14" s="37" t="s">
        <v>26</v>
      </c>
      <c r="AA14" s="37">
        <v>6</v>
      </c>
      <c r="AB14" s="37">
        <v>21</v>
      </c>
      <c r="AC14" s="37">
        <v>1</v>
      </c>
      <c r="AD14" s="37" t="s">
        <v>533</v>
      </c>
      <c r="AE14" s="37">
        <v>1</v>
      </c>
      <c r="AF14" s="37" t="s">
        <v>534</v>
      </c>
    </row>
    <row r="15" spans="1:32" customFormat="1" x14ac:dyDescent="0.2">
      <c r="A15" s="37"/>
      <c r="B15" s="37" t="s">
        <v>166</v>
      </c>
      <c r="C15" s="37"/>
      <c r="D15" s="37"/>
      <c r="E15" s="37"/>
      <c r="F15" s="37"/>
      <c r="G15" s="37"/>
      <c r="H15" s="37" t="s">
        <v>70</v>
      </c>
      <c r="I15" s="37"/>
      <c r="J15" s="37" t="s">
        <v>17</v>
      </c>
      <c r="K15" s="37">
        <v>20</v>
      </c>
      <c r="L15" s="37">
        <v>58</v>
      </c>
      <c r="M15" s="37">
        <v>6</v>
      </c>
      <c r="N15" s="37">
        <v>84</v>
      </c>
      <c r="O15" s="37">
        <v>49</v>
      </c>
      <c r="P15" s="37"/>
      <c r="Q15" s="37">
        <v>133</v>
      </c>
      <c r="R15" s="37">
        <v>7172</v>
      </c>
      <c r="S15" s="37"/>
      <c r="T15" s="37"/>
      <c r="U15" s="37"/>
      <c r="V15" s="37"/>
      <c r="W15" s="37" t="s">
        <v>18</v>
      </c>
      <c r="X15" s="37"/>
      <c r="Y15" s="37"/>
      <c r="Z15" s="37" t="s">
        <v>26</v>
      </c>
      <c r="AA15" s="37">
        <v>6</v>
      </c>
      <c r="AB15" s="37">
        <v>21</v>
      </c>
      <c r="AC15" s="37">
        <v>1</v>
      </c>
      <c r="AD15" s="37" t="s">
        <v>533</v>
      </c>
      <c r="AE15" s="37">
        <v>1</v>
      </c>
      <c r="AF15" s="37" t="s">
        <v>535</v>
      </c>
    </row>
    <row r="16" spans="1:32" customFormat="1" x14ac:dyDescent="0.2">
      <c r="A16" s="37"/>
      <c r="B16" s="37" t="s">
        <v>166</v>
      </c>
      <c r="C16" s="37"/>
      <c r="D16" s="37"/>
      <c r="E16" s="37"/>
      <c r="F16" s="37"/>
      <c r="G16" s="37"/>
      <c r="H16" s="37">
        <v>45</v>
      </c>
      <c r="I16" s="37"/>
      <c r="J16" s="37" t="s">
        <v>19</v>
      </c>
      <c r="K16" s="37">
        <v>2</v>
      </c>
      <c r="L16" s="37">
        <v>19</v>
      </c>
      <c r="M16" s="37">
        <v>3</v>
      </c>
      <c r="N16" s="37">
        <v>24</v>
      </c>
      <c r="O16" s="37">
        <v>27</v>
      </c>
      <c r="P16" s="37"/>
      <c r="Q16" s="37">
        <v>51</v>
      </c>
      <c r="R16" s="37">
        <v>1133</v>
      </c>
      <c r="S16" s="37"/>
      <c r="T16" s="37"/>
      <c r="U16" s="37"/>
      <c r="V16" s="37"/>
      <c r="W16" s="37" t="s">
        <v>18</v>
      </c>
      <c r="X16" s="37"/>
      <c r="Y16" s="37"/>
      <c r="Z16" s="37" t="s">
        <v>26</v>
      </c>
      <c r="AA16" s="37">
        <v>6</v>
      </c>
      <c r="AB16" s="37">
        <v>21</v>
      </c>
      <c r="AC16" s="37">
        <v>1</v>
      </c>
      <c r="AD16" s="37" t="s">
        <v>533</v>
      </c>
      <c r="AE16" s="37">
        <v>1</v>
      </c>
      <c r="AF16" s="37" t="s">
        <v>536</v>
      </c>
    </row>
    <row r="17" spans="1:32" customFormat="1" x14ac:dyDescent="0.2">
      <c r="A17" s="37"/>
      <c r="B17" s="37" t="s">
        <v>166</v>
      </c>
      <c r="C17" s="37"/>
      <c r="D17" s="37"/>
      <c r="E17" s="37"/>
      <c r="F17" s="37"/>
      <c r="G17" s="37"/>
      <c r="H17" s="37"/>
      <c r="I17" s="37"/>
      <c r="J17" s="37" t="s">
        <v>15</v>
      </c>
      <c r="K17" s="37">
        <v>227</v>
      </c>
      <c r="L17" s="37">
        <v>236</v>
      </c>
      <c r="M17" s="37">
        <v>17</v>
      </c>
      <c r="N17" s="37">
        <v>480</v>
      </c>
      <c r="O17" s="37">
        <v>293</v>
      </c>
      <c r="P17" s="37">
        <v>0</v>
      </c>
      <c r="Q17" s="37">
        <v>773</v>
      </c>
      <c r="R17" s="37">
        <v>15207</v>
      </c>
      <c r="S17" s="37"/>
      <c r="T17" s="37"/>
      <c r="U17" s="37"/>
      <c r="V17" s="37"/>
      <c r="W17" s="37" t="s">
        <v>18</v>
      </c>
      <c r="X17" s="37"/>
      <c r="Y17" s="37"/>
      <c r="Z17" s="37" t="s">
        <v>26</v>
      </c>
      <c r="AA17" s="37">
        <v>6</v>
      </c>
      <c r="AB17" s="37">
        <v>21</v>
      </c>
      <c r="AC17" s="37">
        <v>1</v>
      </c>
      <c r="AD17" s="37" t="s">
        <v>533</v>
      </c>
      <c r="AE17" s="37">
        <v>1</v>
      </c>
      <c r="AF17" s="37" t="s">
        <v>537</v>
      </c>
    </row>
    <row r="18" spans="1:32" customFormat="1" x14ac:dyDescent="0.2">
      <c r="A18" s="37"/>
      <c r="B18" s="37">
        <v>3</v>
      </c>
      <c r="C18" s="37" t="s">
        <v>26</v>
      </c>
      <c r="D18" s="37">
        <v>7</v>
      </c>
      <c r="E18" s="37">
        <v>1</v>
      </c>
      <c r="F18" s="37">
        <v>1</v>
      </c>
      <c r="G18" s="37">
        <v>1.9</v>
      </c>
      <c r="H18" s="37" t="s">
        <v>56</v>
      </c>
      <c r="I18" s="37" t="s">
        <v>23</v>
      </c>
      <c r="J18" s="37" t="s">
        <v>18</v>
      </c>
      <c r="K18" s="37">
        <v>75</v>
      </c>
      <c r="L18" s="37">
        <v>40</v>
      </c>
      <c r="M18" s="37">
        <v>0</v>
      </c>
      <c r="N18" s="37">
        <v>115</v>
      </c>
      <c r="O18" s="37">
        <v>76</v>
      </c>
      <c r="P18" s="37"/>
      <c r="Q18" s="37">
        <v>191</v>
      </c>
      <c r="R18" s="37">
        <v>2220</v>
      </c>
      <c r="S18" s="37"/>
      <c r="T18" s="37" t="s">
        <v>181</v>
      </c>
      <c r="U18" s="37" t="s">
        <v>236</v>
      </c>
      <c r="V18" s="37">
        <v>50</v>
      </c>
      <c r="W18" s="37" t="s">
        <v>18</v>
      </c>
      <c r="X18" s="37" t="s">
        <v>190</v>
      </c>
      <c r="Y18" s="37">
        <v>342</v>
      </c>
      <c r="Z18" s="37" t="s">
        <v>26</v>
      </c>
      <c r="AA18" s="37">
        <v>7</v>
      </c>
      <c r="AB18" s="37">
        <v>1</v>
      </c>
      <c r="AC18" s="37">
        <v>1</v>
      </c>
      <c r="AD18" s="37" t="s">
        <v>538</v>
      </c>
      <c r="AE18" s="37">
        <v>0.9</v>
      </c>
      <c r="AF18" s="37" t="s">
        <v>539</v>
      </c>
    </row>
    <row r="19" spans="1:32" customFormat="1" x14ac:dyDescent="0.2">
      <c r="A19" s="37"/>
      <c r="B19" s="37" t="s">
        <v>166</v>
      </c>
      <c r="C19" s="37"/>
      <c r="D19" s="37"/>
      <c r="E19" s="37"/>
      <c r="F19" s="37"/>
      <c r="G19" s="37"/>
      <c r="H19" s="37" t="s">
        <v>86</v>
      </c>
      <c r="I19" s="37"/>
      <c r="J19" s="37" t="s">
        <v>17</v>
      </c>
      <c r="K19" s="37">
        <v>11</v>
      </c>
      <c r="L19" s="37">
        <v>9</v>
      </c>
      <c r="M19" s="37">
        <v>0</v>
      </c>
      <c r="N19" s="37">
        <v>20</v>
      </c>
      <c r="O19" s="37">
        <v>14</v>
      </c>
      <c r="P19" s="37"/>
      <c r="Q19" s="37">
        <v>34</v>
      </c>
      <c r="R19" s="37">
        <v>1942</v>
      </c>
      <c r="S19" s="37"/>
      <c r="T19" s="37"/>
      <c r="U19" s="37"/>
      <c r="V19" s="37"/>
      <c r="W19" s="37" t="s">
        <v>18</v>
      </c>
      <c r="X19" s="37"/>
      <c r="Y19" s="37"/>
      <c r="Z19" s="37" t="s">
        <v>26</v>
      </c>
      <c r="AA19" s="37">
        <v>7</v>
      </c>
      <c r="AB19" s="37">
        <v>1</v>
      </c>
      <c r="AC19" s="37">
        <v>1</v>
      </c>
      <c r="AD19" s="37" t="s">
        <v>538</v>
      </c>
      <c r="AE19" s="37">
        <v>0.9</v>
      </c>
      <c r="AF19" s="37" t="s">
        <v>540</v>
      </c>
    </row>
    <row r="20" spans="1:32" customFormat="1" x14ac:dyDescent="0.2">
      <c r="A20" s="37"/>
      <c r="B20" s="37" t="s">
        <v>166</v>
      </c>
      <c r="C20" s="37"/>
      <c r="D20" s="37"/>
      <c r="E20" s="37"/>
      <c r="F20" s="37"/>
      <c r="G20" s="37"/>
      <c r="H20" s="37">
        <v>50</v>
      </c>
      <c r="I20" s="37"/>
      <c r="J20" s="37" t="s">
        <v>19</v>
      </c>
      <c r="K20" s="37">
        <v>6</v>
      </c>
      <c r="L20" s="37">
        <v>12</v>
      </c>
      <c r="M20" s="37">
        <v>0</v>
      </c>
      <c r="N20" s="37">
        <v>18</v>
      </c>
      <c r="O20" s="37">
        <v>14</v>
      </c>
      <c r="P20" s="37"/>
      <c r="Q20" s="37">
        <v>32</v>
      </c>
      <c r="R20" s="37">
        <v>954</v>
      </c>
      <c r="S20" s="37"/>
      <c r="T20" s="37"/>
      <c r="U20" s="37"/>
      <c r="V20" s="37"/>
      <c r="W20" s="37" t="s">
        <v>18</v>
      </c>
      <c r="X20" s="37"/>
      <c r="Y20" s="37"/>
      <c r="Z20" s="37" t="s">
        <v>26</v>
      </c>
      <c r="AA20" s="37">
        <v>7</v>
      </c>
      <c r="AB20" s="37">
        <v>1</v>
      </c>
      <c r="AC20" s="37">
        <v>1</v>
      </c>
      <c r="AD20" s="37" t="s">
        <v>538</v>
      </c>
      <c r="AE20" s="37">
        <v>0.9</v>
      </c>
      <c r="AF20" s="37" t="s">
        <v>541</v>
      </c>
    </row>
    <row r="21" spans="1:32" customFormat="1" x14ac:dyDescent="0.2">
      <c r="A21" s="37"/>
      <c r="B21" s="37" t="s">
        <v>166</v>
      </c>
      <c r="C21" s="37"/>
      <c r="D21" s="37"/>
      <c r="E21" s="37"/>
      <c r="F21" s="37"/>
      <c r="G21" s="37"/>
      <c r="H21" s="37"/>
      <c r="I21" s="37"/>
      <c r="J21" s="37" t="s">
        <v>25</v>
      </c>
      <c r="K21" s="37">
        <v>1</v>
      </c>
      <c r="L21" s="37">
        <v>5</v>
      </c>
      <c r="M21" s="37">
        <v>0</v>
      </c>
      <c r="N21" s="37">
        <v>6</v>
      </c>
      <c r="O21" s="37">
        <v>4</v>
      </c>
      <c r="P21" s="37"/>
      <c r="Q21" s="37">
        <v>10</v>
      </c>
      <c r="R21" s="37">
        <v>3736</v>
      </c>
      <c r="S21" s="37"/>
      <c r="T21" s="37"/>
      <c r="U21" s="37"/>
      <c r="V21" s="37"/>
      <c r="W21" s="37" t="s">
        <v>18</v>
      </c>
      <c r="X21" s="37"/>
      <c r="Y21" s="37"/>
      <c r="Z21" s="37" t="s">
        <v>26</v>
      </c>
      <c r="AA21" s="37">
        <v>7</v>
      </c>
      <c r="AB21" s="37">
        <v>1</v>
      </c>
      <c r="AC21" s="37">
        <v>1</v>
      </c>
      <c r="AD21" s="37" t="s">
        <v>538</v>
      </c>
      <c r="AE21" s="37">
        <v>0.9</v>
      </c>
      <c r="AF21" s="37" t="s">
        <v>542</v>
      </c>
    </row>
    <row r="22" spans="1:32" customFormat="1" x14ac:dyDescent="0.2">
      <c r="A22" s="37"/>
      <c r="B22" s="37" t="s">
        <v>166</v>
      </c>
      <c r="C22" s="37"/>
      <c r="D22" s="37"/>
      <c r="E22" s="37"/>
      <c r="F22" s="37"/>
      <c r="G22" s="37"/>
      <c r="H22" s="37"/>
      <c r="I22" s="37"/>
      <c r="J22" s="37" t="s">
        <v>15</v>
      </c>
      <c r="K22" s="37">
        <v>93</v>
      </c>
      <c r="L22" s="37">
        <v>66</v>
      </c>
      <c r="M22" s="37">
        <v>0</v>
      </c>
      <c r="N22" s="37">
        <v>159</v>
      </c>
      <c r="O22" s="37">
        <v>108</v>
      </c>
      <c r="P22" s="37">
        <v>0</v>
      </c>
      <c r="Q22" s="37">
        <v>267</v>
      </c>
      <c r="R22" s="37">
        <v>8852</v>
      </c>
      <c r="S22" s="37"/>
      <c r="T22" s="37"/>
      <c r="U22" s="37"/>
      <c r="V22" s="37"/>
      <c r="W22" s="37" t="s">
        <v>18</v>
      </c>
      <c r="X22" s="37"/>
      <c r="Y22" s="37"/>
      <c r="Z22" s="37" t="s">
        <v>26</v>
      </c>
      <c r="AA22" s="37">
        <v>7</v>
      </c>
      <c r="AB22" s="37">
        <v>1</v>
      </c>
      <c r="AC22" s="37">
        <v>1</v>
      </c>
      <c r="AD22" s="37" t="s">
        <v>538</v>
      </c>
      <c r="AE22" s="37">
        <v>0.9</v>
      </c>
      <c r="AF22" s="37" t="s">
        <v>543</v>
      </c>
    </row>
    <row r="23" spans="1:32" customFormat="1" x14ac:dyDescent="0.2">
      <c r="A23" s="37"/>
      <c r="B23" s="37">
        <v>4</v>
      </c>
      <c r="C23" s="37" t="s">
        <v>26</v>
      </c>
      <c r="D23" s="37">
        <v>7</v>
      </c>
      <c r="E23" s="37">
        <v>8</v>
      </c>
      <c r="F23" s="37">
        <v>1</v>
      </c>
      <c r="G23" s="37">
        <v>6.1</v>
      </c>
      <c r="H23" s="37" t="s">
        <v>56</v>
      </c>
      <c r="I23" s="37" t="s">
        <v>23</v>
      </c>
      <c r="J23" s="37" t="s">
        <v>18</v>
      </c>
      <c r="K23" s="37">
        <v>322</v>
      </c>
      <c r="L23" s="37">
        <v>139</v>
      </c>
      <c r="M23" s="37">
        <v>0</v>
      </c>
      <c r="N23" s="37">
        <v>461</v>
      </c>
      <c r="O23" s="37">
        <v>264</v>
      </c>
      <c r="P23" s="37"/>
      <c r="Q23" s="37">
        <v>725</v>
      </c>
      <c r="R23" s="37">
        <v>8941</v>
      </c>
      <c r="S23" s="37"/>
      <c r="T23" s="37" t="s">
        <v>181</v>
      </c>
      <c r="U23" s="37" t="s">
        <v>237</v>
      </c>
      <c r="V23" s="37">
        <v>60</v>
      </c>
      <c r="W23" s="37" t="s">
        <v>18</v>
      </c>
      <c r="X23" s="37" t="s">
        <v>190</v>
      </c>
      <c r="Y23" s="37">
        <v>1159</v>
      </c>
      <c r="Z23" s="37" t="s">
        <v>26</v>
      </c>
      <c r="AA23" s="37">
        <v>7</v>
      </c>
      <c r="AB23" s="37">
        <v>8</v>
      </c>
      <c r="AC23" s="37">
        <v>1</v>
      </c>
      <c r="AD23" s="37" t="s">
        <v>544</v>
      </c>
      <c r="AE23" s="37">
        <v>2</v>
      </c>
      <c r="AF23" s="37" t="s">
        <v>545</v>
      </c>
    </row>
    <row r="24" spans="1:32" customFormat="1" x14ac:dyDescent="0.2">
      <c r="A24" s="37"/>
      <c r="B24" s="37" t="s">
        <v>166</v>
      </c>
      <c r="C24" s="37"/>
      <c r="D24" s="37"/>
      <c r="E24" s="37"/>
      <c r="F24" s="37"/>
      <c r="G24" s="37"/>
      <c r="H24" s="37" t="s">
        <v>87</v>
      </c>
      <c r="I24" s="37"/>
      <c r="J24" s="37" t="s">
        <v>17</v>
      </c>
      <c r="K24" s="37">
        <v>36</v>
      </c>
      <c r="L24" s="37">
        <v>29</v>
      </c>
      <c r="M24" s="37">
        <v>0</v>
      </c>
      <c r="N24" s="37">
        <v>65</v>
      </c>
      <c r="O24" s="37">
        <v>38</v>
      </c>
      <c r="P24" s="37"/>
      <c r="Q24" s="37">
        <v>103</v>
      </c>
      <c r="R24" s="37">
        <v>6392</v>
      </c>
      <c r="S24" s="37"/>
      <c r="T24" s="37"/>
      <c r="U24" s="37"/>
      <c r="V24" s="37"/>
      <c r="W24" s="37" t="s">
        <v>18</v>
      </c>
      <c r="X24" s="37"/>
      <c r="Y24" s="37"/>
      <c r="Z24" s="37" t="s">
        <v>26</v>
      </c>
      <c r="AA24" s="37">
        <v>7</v>
      </c>
      <c r="AB24" s="37">
        <v>8</v>
      </c>
      <c r="AC24" s="37">
        <v>1</v>
      </c>
      <c r="AD24" s="37" t="s">
        <v>544</v>
      </c>
      <c r="AE24" s="37">
        <v>2</v>
      </c>
      <c r="AF24" s="37" t="s">
        <v>546</v>
      </c>
    </row>
    <row r="25" spans="1:32" customFormat="1" x14ac:dyDescent="0.2">
      <c r="A25" s="37"/>
      <c r="B25" s="37" t="s">
        <v>166</v>
      </c>
      <c r="C25" s="37"/>
      <c r="D25" s="37"/>
      <c r="E25" s="37"/>
      <c r="F25" s="37"/>
      <c r="G25" s="37"/>
      <c r="H25" s="37">
        <v>60</v>
      </c>
      <c r="I25" s="37"/>
      <c r="J25" s="37" t="s">
        <v>19</v>
      </c>
      <c r="K25" s="37">
        <v>8</v>
      </c>
      <c r="L25" s="37">
        <v>20</v>
      </c>
      <c r="M25" s="37">
        <v>0</v>
      </c>
      <c r="N25" s="37">
        <v>28</v>
      </c>
      <c r="O25" s="37">
        <v>25</v>
      </c>
      <c r="P25" s="37"/>
      <c r="Q25" s="37">
        <v>53</v>
      </c>
      <c r="R25" s="37">
        <v>1479</v>
      </c>
      <c r="S25" s="37"/>
      <c r="T25" s="37"/>
      <c r="U25" s="37"/>
      <c r="V25" s="37"/>
      <c r="W25" s="37" t="s">
        <v>18</v>
      </c>
      <c r="X25" s="37"/>
      <c r="Y25" s="37"/>
      <c r="Z25" s="37" t="s">
        <v>26</v>
      </c>
      <c r="AA25" s="37">
        <v>7</v>
      </c>
      <c r="AB25" s="37">
        <v>8</v>
      </c>
      <c r="AC25" s="37">
        <v>1</v>
      </c>
      <c r="AD25" s="37" t="s">
        <v>544</v>
      </c>
      <c r="AE25" s="37">
        <v>2</v>
      </c>
      <c r="AF25" s="37" t="s">
        <v>547</v>
      </c>
    </row>
    <row r="26" spans="1:32" customFormat="1" x14ac:dyDescent="0.2">
      <c r="A26" s="37"/>
      <c r="B26" s="37" t="s">
        <v>166</v>
      </c>
      <c r="C26" s="37"/>
      <c r="D26" s="37"/>
      <c r="E26" s="37"/>
      <c r="F26" s="37"/>
      <c r="G26" s="37"/>
      <c r="H26" s="37"/>
      <c r="I26" s="37"/>
      <c r="J26" s="37" t="s">
        <v>15</v>
      </c>
      <c r="K26" s="37">
        <v>366</v>
      </c>
      <c r="L26" s="37">
        <v>188</v>
      </c>
      <c r="M26" s="37">
        <v>0</v>
      </c>
      <c r="N26" s="37">
        <v>554</v>
      </c>
      <c r="O26" s="37">
        <v>327</v>
      </c>
      <c r="P26" s="37">
        <v>0</v>
      </c>
      <c r="Q26" s="37">
        <v>881</v>
      </c>
      <c r="R26" s="37">
        <v>16812</v>
      </c>
      <c r="S26" s="37"/>
      <c r="T26" s="37"/>
      <c r="U26" s="37"/>
      <c r="V26" s="37"/>
      <c r="W26" s="37" t="s">
        <v>18</v>
      </c>
      <c r="X26" s="37"/>
      <c r="Y26" s="37"/>
      <c r="Z26" s="37" t="s">
        <v>26</v>
      </c>
      <c r="AA26" s="37">
        <v>7</v>
      </c>
      <c r="AB26" s="37">
        <v>8</v>
      </c>
      <c r="AC26" s="37">
        <v>1</v>
      </c>
      <c r="AD26" s="37" t="s">
        <v>544</v>
      </c>
      <c r="AE26" s="37">
        <v>2</v>
      </c>
      <c r="AF26" s="37" t="s">
        <v>548</v>
      </c>
    </row>
    <row r="27" spans="1:32" customFormat="1" x14ac:dyDescent="0.2">
      <c r="A27" s="37"/>
      <c r="B27" s="37">
        <v>5</v>
      </c>
      <c r="C27" s="37" t="s">
        <v>26</v>
      </c>
      <c r="D27" s="37">
        <v>7</v>
      </c>
      <c r="E27" s="37">
        <v>15</v>
      </c>
      <c r="F27" s="37">
        <v>1</v>
      </c>
      <c r="G27" s="37">
        <v>8.1</v>
      </c>
      <c r="H27" s="37" t="s">
        <v>56</v>
      </c>
      <c r="I27" s="37" t="s">
        <v>23</v>
      </c>
      <c r="J27" s="37" t="s">
        <v>18</v>
      </c>
      <c r="K27" s="37">
        <v>499</v>
      </c>
      <c r="L27" s="37">
        <v>268</v>
      </c>
      <c r="M27" s="37">
        <v>20</v>
      </c>
      <c r="N27" s="37">
        <v>787</v>
      </c>
      <c r="O27" s="37">
        <v>534</v>
      </c>
      <c r="P27" s="37"/>
      <c r="Q27" s="37">
        <v>1321</v>
      </c>
      <c r="R27" s="37">
        <v>14913</v>
      </c>
      <c r="S27" s="37"/>
      <c r="T27" s="37" t="s">
        <v>181</v>
      </c>
      <c r="U27" s="37" t="s">
        <v>226</v>
      </c>
      <c r="V27" s="37">
        <v>50</v>
      </c>
      <c r="W27" s="37" t="s">
        <v>18</v>
      </c>
      <c r="X27" s="37" t="s">
        <v>190</v>
      </c>
      <c r="Y27" s="37">
        <v>1944</v>
      </c>
      <c r="Z27" s="37" t="s">
        <v>26</v>
      </c>
      <c r="AA27" s="37">
        <v>7</v>
      </c>
      <c r="AB27" s="37">
        <v>15</v>
      </c>
      <c r="AC27" s="37">
        <v>1</v>
      </c>
      <c r="AD27" s="37" t="s">
        <v>549</v>
      </c>
      <c r="AE27" s="37">
        <v>1.7</v>
      </c>
      <c r="AF27" s="37" t="s">
        <v>550</v>
      </c>
    </row>
    <row r="28" spans="1:32" customFormat="1" x14ac:dyDescent="0.2">
      <c r="A28" s="37"/>
      <c r="B28" s="37" t="s">
        <v>166</v>
      </c>
      <c r="C28" s="37"/>
      <c r="D28" s="37"/>
      <c r="E28" s="37"/>
      <c r="F28" s="37"/>
      <c r="G28" s="37"/>
      <c r="H28" s="37" t="s">
        <v>32</v>
      </c>
      <c r="I28" s="37"/>
      <c r="J28" s="37" t="s">
        <v>17</v>
      </c>
      <c r="K28" s="37">
        <v>19</v>
      </c>
      <c r="L28" s="37">
        <v>88</v>
      </c>
      <c r="M28" s="37">
        <v>31</v>
      </c>
      <c r="N28" s="37">
        <v>138</v>
      </c>
      <c r="O28" s="37">
        <v>96</v>
      </c>
      <c r="P28" s="37"/>
      <c r="Q28" s="37">
        <v>234</v>
      </c>
      <c r="R28" s="37">
        <v>10715</v>
      </c>
      <c r="S28" s="37"/>
      <c r="T28" s="37"/>
      <c r="U28" s="37"/>
      <c r="V28" s="37"/>
      <c r="W28" s="37" t="s">
        <v>18</v>
      </c>
      <c r="X28" s="37"/>
      <c r="Y28" s="37"/>
      <c r="Z28" s="37" t="s">
        <v>26</v>
      </c>
      <c r="AA28" s="37">
        <v>7</v>
      </c>
      <c r="AB28" s="37">
        <v>15</v>
      </c>
      <c r="AC28" s="37">
        <v>1</v>
      </c>
      <c r="AD28" s="37" t="s">
        <v>549</v>
      </c>
      <c r="AE28" s="37">
        <v>1.7</v>
      </c>
      <c r="AF28" s="37" t="s">
        <v>551</v>
      </c>
    </row>
    <row r="29" spans="1:32" customFormat="1" x14ac:dyDescent="0.2">
      <c r="A29" s="37"/>
      <c r="B29" s="37" t="s">
        <v>166</v>
      </c>
      <c r="C29" s="37"/>
      <c r="D29" s="37"/>
      <c r="E29" s="37"/>
      <c r="F29" s="37"/>
      <c r="G29" s="37"/>
      <c r="H29" s="37">
        <v>50</v>
      </c>
      <c r="I29" s="37"/>
      <c r="J29" s="37" t="s">
        <v>15</v>
      </c>
      <c r="K29" s="37">
        <v>518</v>
      </c>
      <c r="L29" s="37">
        <v>356</v>
      </c>
      <c r="M29" s="37">
        <v>51</v>
      </c>
      <c r="N29" s="37">
        <v>925</v>
      </c>
      <c r="O29" s="37">
        <v>630</v>
      </c>
      <c r="P29" s="37">
        <v>0</v>
      </c>
      <c r="Q29" s="37">
        <v>1555</v>
      </c>
      <c r="R29" s="37">
        <v>25628</v>
      </c>
      <c r="S29" s="37"/>
      <c r="T29" s="37"/>
      <c r="U29" s="37"/>
      <c r="V29" s="37"/>
      <c r="W29" s="37" t="s">
        <v>18</v>
      </c>
      <c r="X29" s="37"/>
      <c r="Y29" s="37"/>
      <c r="Z29" s="37" t="s">
        <v>26</v>
      </c>
      <c r="AA29" s="37">
        <v>7</v>
      </c>
      <c r="AB29" s="37">
        <v>15</v>
      </c>
      <c r="AC29" s="37">
        <v>1</v>
      </c>
      <c r="AD29" s="37" t="s">
        <v>549</v>
      </c>
      <c r="AE29" s="37">
        <v>1.7</v>
      </c>
      <c r="AF29" s="37" t="s">
        <v>552</v>
      </c>
    </row>
    <row r="30" spans="1:32" customFormat="1" x14ac:dyDescent="0.2">
      <c r="A30" s="37"/>
      <c r="B30" s="37">
        <v>6</v>
      </c>
      <c r="C30" s="37" t="s">
        <v>26</v>
      </c>
      <c r="D30" s="37">
        <v>8</v>
      </c>
      <c r="E30" s="37">
        <v>10</v>
      </c>
      <c r="F30" s="37">
        <v>1</v>
      </c>
      <c r="G30" s="37">
        <v>7.2</v>
      </c>
      <c r="H30" s="37" t="s">
        <v>56</v>
      </c>
      <c r="I30" s="37" t="s">
        <v>23</v>
      </c>
      <c r="J30" s="37" t="s">
        <v>18</v>
      </c>
      <c r="K30" s="37">
        <v>401</v>
      </c>
      <c r="L30" s="37">
        <v>210</v>
      </c>
      <c r="M30" s="37">
        <v>0</v>
      </c>
      <c r="N30" s="37">
        <v>611</v>
      </c>
      <c r="O30" s="37">
        <v>319</v>
      </c>
      <c r="P30" s="37"/>
      <c r="Q30" s="37">
        <v>930</v>
      </c>
      <c r="R30" s="37">
        <v>11722</v>
      </c>
      <c r="S30" s="37"/>
      <c r="T30" s="37" t="s">
        <v>181</v>
      </c>
      <c r="U30" s="37" t="s">
        <v>239</v>
      </c>
      <c r="V30" s="37">
        <v>60</v>
      </c>
      <c r="W30" s="37" t="s">
        <v>18</v>
      </c>
      <c r="X30" s="37" t="s">
        <v>190</v>
      </c>
      <c r="Y30" s="37">
        <v>1656</v>
      </c>
      <c r="Z30" s="37" t="s">
        <v>26</v>
      </c>
      <c r="AA30" s="37">
        <v>8</v>
      </c>
      <c r="AB30" s="37">
        <v>10</v>
      </c>
      <c r="AC30" s="37">
        <v>1</v>
      </c>
      <c r="AD30" s="37" t="s">
        <v>553</v>
      </c>
      <c r="AE30" s="37">
        <v>2.2999999999999998</v>
      </c>
      <c r="AF30" s="37" t="s">
        <v>554</v>
      </c>
    </row>
    <row r="31" spans="1:32" customFormat="1" x14ac:dyDescent="0.2">
      <c r="A31" s="37"/>
      <c r="B31" s="37" t="s">
        <v>166</v>
      </c>
      <c r="C31" s="37"/>
      <c r="D31" s="37"/>
      <c r="E31" s="37"/>
      <c r="F31" s="37"/>
      <c r="G31" s="37"/>
      <c r="H31" s="37" t="s">
        <v>88</v>
      </c>
      <c r="I31" s="37"/>
      <c r="J31" s="37" t="s">
        <v>17</v>
      </c>
      <c r="K31" s="37">
        <v>35</v>
      </c>
      <c r="L31" s="37">
        <v>71</v>
      </c>
      <c r="M31" s="37">
        <v>10</v>
      </c>
      <c r="N31" s="37">
        <v>116</v>
      </c>
      <c r="O31" s="37">
        <v>86</v>
      </c>
      <c r="P31" s="37"/>
      <c r="Q31" s="37">
        <v>202</v>
      </c>
      <c r="R31" s="37">
        <v>10199</v>
      </c>
      <c r="S31" s="37"/>
      <c r="T31" s="37"/>
      <c r="U31" s="37"/>
      <c r="V31" s="37"/>
      <c r="W31" s="37" t="s">
        <v>18</v>
      </c>
      <c r="X31" s="37"/>
      <c r="Y31" s="37"/>
      <c r="Z31" s="37" t="s">
        <v>26</v>
      </c>
      <c r="AA31" s="37">
        <v>8</v>
      </c>
      <c r="AB31" s="37">
        <v>10</v>
      </c>
      <c r="AC31" s="37">
        <v>1</v>
      </c>
      <c r="AD31" s="37" t="s">
        <v>553</v>
      </c>
      <c r="AE31" s="37">
        <v>2.2999999999999998</v>
      </c>
      <c r="AF31" s="37" t="s">
        <v>555</v>
      </c>
    </row>
    <row r="32" spans="1:32" customFormat="1" x14ac:dyDescent="0.2">
      <c r="A32" s="37"/>
      <c r="B32" s="37" t="s">
        <v>166</v>
      </c>
      <c r="C32" s="37"/>
      <c r="D32" s="37"/>
      <c r="E32" s="37"/>
      <c r="F32" s="37"/>
      <c r="G32" s="37"/>
      <c r="H32" s="37">
        <v>60</v>
      </c>
      <c r="I32" s="37"/>
      <c r="J32" s="37" t="s">
        <v>19</v>
      </c>
      <c r="K32" s="37">
        <v>21</v>
      </c>
      <c r="L32" s="37">
        <v>40</v>
      </c>
      <c r="M32" s="37">
        <v>2</v>
      </c>
      <c r="N32" s="37">
        <v>63</v>
      </c>
      <c r="O32" s="37">
        <v>67</v>
      </c>
      <c r="P32" s="37"/>
      <c r="Q32" s="37">
        <v>130</v>
      </c>
      <c r="R32" s="37">
        <v>3346</v>
      </c>
      <c r="S32" s="37"/>
      <c r="T32" s="37"/>
      <c r="U32" s="37"/>
      <c r="V32" s="37"/>
      <c r="W32" s="37" t="s">
        <v>18</v>
      </c>
      <c r="X32" s="37"/>
      <c r="Y32" s="37"/>
      <c r="Z32" s="37" t="s">
        <v>26</v>
      </c>
      <c r="AA32" s="37">
        <v>8</v>
      </c>
      <c r="AB32" s="37">
        <v>10</v>
      </c>
      <c r="AC32" s="37">
        <v>1</v>
      </c>
      <c r="AD32" s="37" t="s">
        <v>553</v>
      </c>
      <c r="AE32" s="37">
        <v>2.2999999999999998</v>
      </c>
      <c r="AF32" s="37" t="s">
        <v>556</v>
      </c>
    </row>
    <row r="33" spans="1:32" customFormat="1" x14ac:dyDescent="0.2">
      <c r="A33" s="37"/>
      <c r="B33" s="37" t="s">
        <v>166</v>
      </c>
      <c r="C33" s="37"/>
      <c r="D33" s="37"/>
      <c r="E33" s="37"/>
      <c r="F33" s="37"/>
      <c r="G33" s="37"/>
      <c r="H33" s="37"/>
      <c r="I33" s="37"/>
      <c r="J33" s="37" t="s">
        <v>25</v>
      </c>
      <c r="K33" s="37">
        <v>13</v>
      </c>
      <c r="L33" s="37">
        <v>36</v>
      </c>
      <c r="M33" s="37">
        <v>0</v>
      </c>
      <c r="N33" s="37">
        <v>49</v>
      </c>
      <c r="O33" s="37">
        <v>14</v>
      </c>
      <c r="P33" s="37"/>
      <c r="Q33" s="37">
        <v>63</v>
      </c>
      <c r="R33" s="37">
        <v>31410</v>
      </c>
      <c r="S33" s="37"/>
      <c r="T33" s="37"/>
      <c r="U33" s="37"/>
      <c r="V33" s="37"/>
      <c r="W33" s="37" t="s">
        <v>18</v>
      </c>
      <c r="X33" s="37"/>
      <c r="Y33" s="37"/>
      <c r="Z33" s="37" t="s">
        <v>26</v>
      </c>
      <c r="AA33" s="37">
        <v>8</v>
      </c>
      <c r="AB33" s="37">
        <v>10</v>
      </c>
      <c r="AC33" s="37">
        <v>1</v>
      </c>
      <c r="AD33" s="37" t="s">
        <v>553</v>
      </c>
      <c r="AE33" s="37">
        <v>2.2999999999999998</v>
      </c>
      <c r="AF33" s="37" t="s">
        <v>557</v>
      </c>
    </row>
    <row r="34" spans="1:32" customFormat="1" x14ac:dyDescent="0.2">
      <c r="A34" s="37"/>
      <c r="B34" s="37" t="s">
        <v>166</v>
      </c>
      <c r="C34" s="37"/>
      <c r="D34" s="37"/>
      <c r="E34" s="37"/>
      <c r="F34" s="37"/>
      <c r="G34" s="37"/>
      <c r="H34" s="37"/>
      <c r="I34" s="37"/>
      <c r="J34" s="37" t="s">
        <v>15</v>
      </c>
      <c r="K34" s="37">
        <v>470</v>
      </c>
      <c r="L34" s="37">
        <v>357</v>
      </c>
      <c r="M34" s="37">
        <v>12</v>
      </c>
      <c r="N34" s="37">
        <v>839</v>
      </c>
      <c r="O34" s="37">
        <v>486</v>
      </c>
      <c r="P34" s="37">
        <v>0</v>
      </c>
      <c r="Q34" s="37">
        <v>1325</v>
      </c>
      <c r="R34" s="37">
        <v>56677</v>
      </c>
      <c r="S34" s="37"/>
      <c r="T34" s="37"/>
      <c r="U34" s="37"/>
      <c r="V34" s="37"/>
      <c r="W34" s="37" t="s">
        <v>18</v>
      </c>
      <c r="X34" s="37"/>
      <c r="Y34" s="37"/>
      <c r="Z34" s="37" t="s">
        <v>26</v>
      </c>
      <c r="AA34" s="37">
        <v>8</v>
      </c>
      <c r="AB34" s="37">
        <v>10</v>
      </c>
      <c r="AC34" s="37">
        <v>1</v>
      </c>
      <c r="AD34" s="37" t="s">
        <v>553</v>
      </c>
      <c r="AE34" s="37">
        <v>2.2999999999999998</v>
      </c>
      <c r="AF34" s="37" t="s">
        <v>558</v>
      </c>
    </row>
    <row r="35" spans="1:32" customFormat="1" x14ac:dyDescent="0.2">
      <c r="A35" s="37"/>
      <c r="B35" s="37">
        <v>7</v>
      </c>
      <c r="C35" s="37" t="s">
        <v>26</v>
      </c>
      <c r="D35" s="37">
        <v>8</v>
      </c>
      <c r="E35" s="37">
        <v>17</v>
      </c>
      <c r="F35" s="37">
        <v>1</v>
      </c>
      <c r="G35" s="37">
        <v>6</v>
      </c>
      <c r="H35" s="37" t="s">
        <v>56</v>
      </c>
      <c r="I35" s="37" t="s">
        <v>23</v>
      </c>
      <c r="J35" s="37" t="s">
        <v>18</v>
      </c>
      <c r="K35" s="37">
        <v>357</v>
      </c>
      <c r="L35" s="37">
        <v>189</v>
      </c>
      <c r="M35" s="37">
        <v>12</v>
      </c>
      <c r="N35" s="37">
        <v>558</v>
      </c>
      <c r="O35" s="37">
        <v>383</v>
      </c>
      <c r="P35" s="37"/>
      <c r="Q35" s="37">
        <v>941</v>
      </c>
      <c r="R35" s="37">
        <v>10611</v>
      </c>
      <c r="S35" s="37"/>
      <c r="T35" s="37" t="s">
        <v>181</v>
      </c>
      <c r="U35" s="37" t="s">
        <v>210</v>
      </c>
      <c r="V35" s="37">
        <v>60</v>
      </c>
      <c r="W35" s="37" t="s">
        <v>18</v>
      </c>
      <c r="X35" s="37" t="s">
        <v>190</v>
      </c>
      <c r="Y35" s="37">
        <v>1680</v>
      </c>
      <c r="Z35" s="37" t="s">
        <v>26</v>
      </c>
      <c r="AA35" s="37">
        <v>8</v>
      </c>
      <c r="AB35" s="37">
        <v>17</v>
      </c>
      <c r="AC35" s="37">
        <v>1</v>
      </c>
      <c r="AD35" s="37" t="s">
        <v>559</v>
      </c>
      <c r="AE35" s="37">
        <v>1.1000000000000001</v>
      </c>
      <c r="AF35" s="37" t="s">
        <v>560</v>
      </c>
    </row>
    <row r="36" spans="1:32" customFormat="1" x14ac:dyDescent="0.2">
      <c r="A36" s="37"/>
      <c r="B36" s="37" t="s">
        <v>166</v>
      </c>
      <c r="C36" s="37"/>
      <c r="D36" s="37"/>
      <c r="E36" s="37"/>
      <c r="F36" s="37"/>
      <c r="G36" s="37"/>
      <c r="H36" s="37" t="s">
        <v>52</v>
      </c>
      <c r="I36" s="37"/>
      <c r="J36" s="37" t="s">
        <v>17</v>
      </c>
      <c r="K36" s="37">
        <v>41</v>
      </c>
      <c r="L36" s="37">
        <v>67</v>
      </c>
      <c r="M36" s="37">
        <v>0</v>
      </c>
      <c r="N36" s="37">
        <v>108</v>
      </c>
      <c r="O36" s="37">
        <v>74</v>
      </c>
      <c r="P36" s="37"/>
      <c r="Q36" s="37">
        <v>182</v>
      </c>
      <c r="R36" s="37">
        <v>10067</v>
      </c>
      <c r="S36" s="37"/>
      <c r="T36" s="37"/>
      <c r="U36" s="37"/>
      <c r="V36" s="37"/>
      <c r="W36" s="37" t="s">
        <v>18</v>
      </c>
      <c r="X36" s="37"/>
      <c r="Y36" s="37"/>
      <c r="Z36" s="37" t="s">
        <v>26</v>
      </c>
      <c r="AA36" s="37">
        <v>8</v>
      </c>
      <c r="AB36" s="37">
        <v>17</v>
      </c>
      <c r="AC36" s="37">
        <v>1</v>
      </c>
      <c r="AD36" s="37" t="s">
        <v>559</v>
      </c>
      <c r="AE36" s="37">
        <v>1.1000000000000001</v>
      </c>
      <c r="AF36" s="37" t="s">
        <v>561</v>
      </c>
    </row>
    <row r="37" spans="1:32" customFormat="1" x14ac:dyDescent="0.2">
      <c r="A37" s="37"/>
      <c r="B37" s="37" t="s">
        <v>166</v>
      </c>
      <c r="C37" s="37"/>
      <c r="D37" s="37"/>
      <c r="E37" s="37"/>
      <c r="F37" s="37"/>
      <c r="G37" s="37"/>
      <c r="H37" s="37">
        <v>60</v>
      </c>
      <c r="I37" s="37"/>
      <c r="J37" s="37" t="s">
        <v>15</v>
      </c>
      <c r="K37" s="37">
        <v>398</v>
      </c>
      <c r="L37" s="37">
        <v>256</v>
      </c>
      <c r="M37" s="37">
        <v>12</v>
      </c>
      <c r="N37" s="37">
        <v>666</v>
      </c>
      <c r="O37" s="37">
        <v>457</v>
      </c>
      <c r="P37" s="37">
        <v>0</v>
      </c>
      <c r="Q37" s="37">
        <v>1123</v>
      </c>
      <c r="R37" s="37">
        <v>20678</v>
      </c>
      <c r="S37" s="37"/>
      <c r="T37" s="37"/>
      <c r="U37" s="37"/>
      <c r="V37" s="37"/>
      <c r="W37" s="37" t="s">
        <v>18</v>
      </c>
      <c r="X37" s="37"/>
      <c r="Y37" s="37"/>
      <c r="Z37" s="37" t="s">
        <v>26</v>
      </c>
      <c r="AA37" s="37">
        <v>8</v>
      </c>
      <c r="AB37" s="37">
        <v>17</v>
      </c>
      <c r="AC37" s="37">
        <v>1</v>
      </c>
      <c r="AD37" s="37" t="s">
        <v>559</v>
      </c>
      <c r="AE37" s="37">
        <v>1.1000000000000001</v>
      </c>
      <c r="AF37" s="37" t="s">
        <v>562</v>
      </c>
    </row>
    <row r="38" spans="1:32" customFormat="1" x14ac:dyDescent="0.2">
      <c r="A38" s="37"/>
      <c r="B38" s="37">
        <v>8</v>
      </c>
      <c r="C38" s="37" t="s">
        <v>26</v>
      </c>
      <c r="D38" s="37">
        <v>10</v>
      </c>
      <c r="E38" s="37">
        <v>1</v>
      </c>
      <c r="F38" s="37">
        <v>1</v>
      </c>
      <c r="G38" s="37">
        <v>1.7</v>
      </c>
      <c r="H38" s="37" t="s">
        <v>56</v>
      </c>
      <c r="I38" s="37" t="s">
        <v>23</v>
      </c>
      <c r="J38" s="37" t="s">
        <v>18</v>
      </c>
      <c r="K38" s="37">
        <v>17</v>
      </c>
      <c r="L38" s="37">
        <v>8</v>
      </c>
      <c r="M38" s="37">
        <v>0</v>
      </c>
      <c r="N38" s="37">
        <v>25</v>
      </c>
      <c r="O38" s="37">
        <v>21</v>
      </c>
      <c r="P38" s="37"/>
      <c r="Q38" s="37">
        <v>46</v>
      </c>
      <c r="R38" s="37">
        <v>485</v>
      </c>
      <c r="S38" s="37"/>
      <c r="T38" s="37" t="s">
        <v>181</v>
      </c>
      <c r="U38" s="37" t="s">
        <v>243</v>
      </c>
      <c r="V38" s="37">
        <v>70</v>
      </c>
      <c r="W38" s="37" t="s">
        <v>19</v>
      </c>
      <c r="X38" s="37" t="s">
        <v>190</v>
      </c>
      <c r="Y38" s="37">
        <v>374</v>
      </c>
      <c r="Z38" s="37" t="s">
        <v>26</v>
      </c>
      <c r="AA38" s="37">
        <v>10</v>
      </c>
      <c r="AB38" s="37">
        <v>1</v>
      </c>
      <c r="AC38" s="37">
        <v>1</v>
      </c>
      <c r="AD38" s="37" t="s">
        <v>563</v>
      </c>
      <c r="AE38" s="37">
        <v>0.7</v>
      </c>
      <c r="AF38" s="37" t="s">
        <v>564</v>
      </c>
    </row>
    <row r="39" spans="1:32" customFormat="1" x14ac:dyDescent="0.2">
      <c r="A39" s="37"/>
      <c r="B39" s="37" t="s">
        <v>166</v>
      </c>
      <c r="C39" s="37"/>
      <c r="D39" s="37"/>
      <c r="E39" s="37"/>
      <c r="F39" s="37"/>
      <c r="G39" s="37"/>
      <c r="H39" s="37" t="s">
        <v>85</v>
      </c>
      <c r="I39" s="37"/>
      <c r="J39" s="37" t="s">
        <v>17</v>
      </c>
      <c r="K39" s="37">
        <v>21</v>
      </c>
      <c r="L39" s="37">
        <v>35</v>
      </c>
      <c r="M39" s="37">
        <v>6</v>
      </c>
      <c r="N39" s="37">
        <v>62</v>
      </c>
      <c r="O39" s="37">
        <v>49</v>
      </c>
      <c r="P39" s="37"/>
      <c r="Q39" s="37">
        <v>111</v>
      </c>
      <c r="R39" s="37">
        <v>5482</v>
      </c>
      <c r="S39" s="37"/>
      <c r="T39" s="37"/>
      <c r="U39" s="37"/>
      <c r="V39" s="37"/>
      <c r="W39" s="37" t="s">
        <v>19</v>
      </c>
      <c r="X39" s="37"/>
      <c r="Y39" s="37"/>
      <c r="Z39" s="37" t="s">
        <v>26</v>
      </c>
      <c r="AA39" s="37">
        <v>10</v>
      </c>
      <c r="AB39" s="37">
        <v>1</v>
      </c>
      <c r="AC39" s="37">
        <v>1</v>
      </c>
      <c r="AD39" s="37" t="s">
        <v>563</v>
      </c>
      <c r="AE39" s="37">
        <v>0.7</v>
      </c>
      <c r="AF39" s="37" t="s">
        <v>565</v>
      </c>
    </row>
    <row r="40" spans="1:32" customFormat="1" x14ac:dyDescent="0.2">
      <c r="A40" s="37"/>
      <c r="B40" s="37" t="s">
        <v>166</v>
      </c>
      <c r="C40" s="37"/>
      <c r="D40" s="37"/>
      <c r="E40" s="37"/>
      <c r="F40" s="37"/>
      <c r="G40" s="37"/>
      <c r="H40" s="37">
        <v>70</v>
      </c>
      <c r="I40" s="37"/>
      <c r="J40" s="37" t="s">
        <v>19</v>
      </c>
      <c r="K40" s="37">
        <v>14</v>
      </c>
      <c r="L40" s="37">
        <v>42</v>
      </c>
      <c r="M40" s="37">
        <v>4</v>
      </c>
      <c r="N40" s="37">
        <v>60</v>
      </c>
      <c r="O40" s="37">
        <v>75</v>
      </c>
      <c r="P40" s="37"/>
      <c r="Q40" s="37">
        <v>135</v>
      </c>
      <c r="R40" s="37">
        <v>3039</v>
      </c>
      <c r="S40" s="37"/>
      <c r="T40" s="37"/>
      <c r="U40" s="37"/>
      <c r="V40" s="37"/>
      <c r="W40" s="37" t="s">
        <v>19</v>
      </c>
      <c r="X40" s="37"/>
      <c r="Y40" s="37"/>
      <c r="Z40" s="37" t="s">
        <v>26</v>
      </c>
      <c r="AA40" s="37">
        <v>10</v>
      </c>
      <c r="AB40" s="37">
        <v>1</v>
      </c>
      <c r="AC40" s="37">
        <v>1</v>
      </c>
      <c r="AD40" s="37" t="s">
        <v>563</v>
      </c>
      <c r="AE40" s="37">
        <v>0.7</v>
      </c>
      <c r="AF40" s="37" t="s">
        <v>566</v>
      </c>
    </row>
    <row r="41" spans="1:32" customFormat="1" x14ac:dyDescent="0.2">
      <c r="A41" s="37"/>
      <c r="B41" s="37" t="s">
        <v>166</v>
      </c>
      <c r="C41" s="37"/>
      <c r="D41" s="37"/>
      <c r="E41" s="37"/>
      <c r="F41" s="37"/>
      <c r="G41" s="37"/>
      <c r="H41" s="37"/>
      <c r="I41" s="37"/>
      <c r="J41" s="37" t="s">
        <v>15</v>
      </c>
      <c r="K41" s="37">
        <v>52</v>
      </c>
      <c r="L41" s="37">
        <v>85</v>
      </c>
      <c r="M41" s="37">
        <v>10</v>
      </c>
      <c r="N41" s="37">
        <v>147</v>
      </c>
      <c r="O41" s="37">
        <v>145</v>
      </c>
      <c r="P41" s="37">
        <v>0</v>
      </c>
      <c r="Q41" s="37">
        <v>292</v>
      </c>
      <c r="R41" s="37">
        <v>9006</v>
      </c>
      <c r="S41" s="37"/>
      <c r="T41" s="37"/>
      <c r="U41" s="37"/>
      <c r="V41" s="37"/>
      <c r="W41" s="37" t="s">
        <v>19</v>
      </c>
      <c r="X41" s="37"/>
      <c r="Y41" s="37"/>
      <c r="Z41" s="37" t="s">
        <v>26</v>
      </c>
      <c r="AA41" s="37">
        <v>10</v>
      </c>
      <c r="AB41" s="37">
        <v>1</v>
      </c>
      <c r="AC41" s="37">
        <v>1</v>
      </c>
      <c r="AD41" s="37" t="s">
        <v>563</v>
      </c>
      <c r="AE41" s="37">
        <v>0.7</v>
      </c>
      <c r="AF41" s="37" t="s">
        <v>567</v>
      </c>
    </row>
    <row r="42" spans="1:32" customFormat="1" x14ac:dyDescent="0.2">
      <c r="A42" s="37"/>
      <c r="B42" s="37">
        <v>9</v>
      </c>
      <c r="C42" s="37" t="s">
        <v>26</v>
      </c>
      <c r="D42" s="37">
        <v>10</v>
      </c>
      <c r="E42" s="37">
        <v>11</v>
      </c>
      <c r="F42" s="37">
        <v>1</v>
      </c>
      <c r="G42" s="37">
        <v>5.8</v>
      </c>
      <c r="H42" s="37" t="s">
        <v>56</v>
      </c>
      <c r="I42" s="37" t="s">
        <v>23</v>
      </c>
      <c r="J42" s="37" t="s">
        <v>18</v>
      </c>
      <c r="K42" s="37">
        <v>236.64</v>
      </c>
      <c r="L42" s="37">
        <v>166.46</v>
      </c>
      <c r="M42" s="37">
        <v>7.3079999999999998</v>
      </c>
      <c r="N42" s="37">
        <v>410.40800000000002</v>
      </c>
      <c r="O42" s="37">
        <v>266.16200000000003</v>
      </c>
      <c r="P42" s="37"/>
      <c r="Q42" s="37">
        <v>676.57</v>
      </c>
      <c r="R42" s="37">
        <v>7682</v>
      </c>
      <c r="S42" s="37"/>
      <c r="T42" s="37" t="s">
        <v>181</v>
      </c>
      <c r="U42" s="37" t="s">
        <v>245</v>
      </c>
      <c r="V42" s="37">
        <v>45</v>
      </c>
      <c r="W42" s="37" t="s">
        <v>18</v>
      </c>
      <c r="X42" s="37" t="s">
        <v>190</v>
      </c>
      <c r="Y42" s="37">
        <v>1276</v>
      </c>
      <c r="Z42" s="37" t="s">
        <v>26</v>
      </c>
      <c r="AA42" s="37">
        <v>10</v>
      </c>
      <c r="AB42" s="37">
        <v>11</v>
      </c>
      <c r="AC42" s="37">
        <v>1</v>
      </c>
      <c r="AD42" s="37" t="s">
        <v>568</v>
      </c>
      <c r="AE42" s="37">
        <v>0.9</v>
      </c>
      <c r="AF42" s="37" t="s">
        <v>569</v>
      </c>
    </row>
    <row r="43" spans="1:32" customFormat="1" x14ac:dyDescent="0.2">
      <c r="A43" s="37"/>
      <c r="B43" s="37" t="s">
        <v>166</v>
      </c>
      <c r="C43" s="37"/>
      <c r="D43" s="37"/>
      <c r="E43" s="37"/>
      <c r="F43" s="37"/>
      <c r="G43" s="37"/>
      <c r="H43" s="37" t="s">
        <v>72</v>
      </c>
      <c r="I43" s="37"/>
      <c r="J43" s="37" t="s">
        <v>17</v>
      </c>
      <c r="K43" s="37">
        <v>33.64</v>
      </c>
      <c r="L43" s="37">
        <v>97.208000000000013</v>
      </c>
      <c r="M43" s="37">
        <v>20.532</v>
      </c>
      <c r="N43" s="37">
        <v>151.38000000000002</v>
      </c>
      <c r="O43" s="37">
        <v>107.126</v>
      </c>
      <c r="P43" s="37"/>
      <c r="Q43" s="37">
        <v>258.50600000000003</v>
      </c>
      <c r="R43" s="37">
        <v>12617</v>
      </c>
      <c r="S43" s="37"/>
      <c r="T43" s="37"/>
      <c r="U43" s="37"/>
      <c r="V43" s="37"/>
      <c r="W43" s="37" t="s">
        <v>18</v>
      </c>
      <c r="X43" s="37"/>
      <c r="Y43" s="37"/>
      <c r="Z43" s="37" t="s">
        <v>26</v>
      </c>
      <c r="AA43" s="37">
        <v>10</v>
      </c>
      <c r="AB43" s="37">
        <v>11</v>
      </c>
      <c r="AC43" s="37">
        <v>1</v>
      </c>
      <c r="AD43" s="37" t="s">
        <v>568</v>
      </c>
      <c r="AE43" s="37">
        <v>0.9</v>
      </c>
      <c r="AF43" s="37" t="s">
        <v>570</v>
      </c>
    </row>
    <row r="44" spans="1:32" customFormat="1" x14ac:dyDescent="0.2">
      <c r="A44" s="37"/>
      <c r="B44" s="37" t="s">
        <v>166</v>
      </c>
      <c r="C44" s="37"/>
      <c r="D44" s="37"/>
      <c r="E44" s="37"/>
      <c r="F44" s="37"/>
      <c r="G44" s="37"/>
      <c r="H44" s="37">
        <v>45</v>
      </c>
      <c r="I44" s="37"/>
      <c r="J44" s="37" t="s">
        <v>19</v>
      </c>
      <c r="K44" s="37">
        <v>2.3142</v>
      </c>
      <c r="L44" s="37">
        <v>23.246399999999998</v>
      </c>
      <c r="M44" s="37">
        <v>3.016</v>
      </c>
      <c r="N44" s="37">
        <v>28.576599999999999</v>
      </c>
      <c r="O44" s="37">
        <v>31.209800000000001</v>
      </c>
      <c r="P44" s="37"/>
      <c r="Q44" s="37">
        <v>59.7864</v>
      </c>
      <c r="R44" s="37">
        <v>1350</v>
      </c>
      <c r="S44" s="37"/>
      <c r="T44" s="37"/>
      <c r="U44" s="37"/>
      <c r="V44" s="37"/>
      <c r="W44" s="37" t="s">
        <v>18</v>
      </c>
      <c r="X44" s="37"/>
      <c r="Y44" s="37"/>
      <c r="Z44" s="37" t="s">
        <v>26</v>
      </c>
      <c r="AA44" s="37">
        <v>10</v>
      </c>
      <c r="AB44" s="37">
        <v>11</v>
      </c>
      <c r="AC44" s="37">
        <v>1</v>
      </c>
      <c r="AD44" s="37" t="s">
        <v>568</v>
      </c>
      <c r="AE44" s="37">
        <v>0.9</v>
      </c>
      <c r="AF44" s="37" t="s">
        <v>571</v>
      </c>
    </row>
    <row r="45" spans="1:32" customFormat="1" x14ac:dyDescent="0.2">
      <c r="A45" s="37"/>
      <c r="B45" s="37" t="s">
        <v>166</v>
      </c>
      <c r="C45" s="37"/>
      <c r="D45" s="37"/>
      <c r="E45" s="37"/>
      <c r="F45" s="37"/>
      <c r="G45" s="37"/>
      <c r="H45" s="37"/>
      <c r="I45" s="37"/>
      <c r="J45" s="37" t="s">
        <v>15</v>
      </c>
      <c r="K45" s="37">
        <v>272.5942</v>
      </c>
      <c r="L45" s="37">
        <v>286.9144</v>
      </c>
      <c r="M45" s="37">
        <v>30.856000000000002</v>
      </c>
      <c r="N45" s="37">
        <v>590.3646</v>
      </c>
      <c r="O45" s="37">
        <v>404.49779999999998</v>
      </c>
      <c r="P45" s="37">
        <v>0</v>
      </c>
      <c r="Q45" s="37">
        <v>994.86239999999998</v>
      </c>
      <c r="R45" s="37">
        <v>21649</v>
      </c>
      <c r="S45" s="37"/>
      <c r="T45" s="37"/>
      <c r="U45" s="37"/>
      <c r="V45" s="37"/>
      <c r="W45" s="37" t="s">
        <v>18</v>
      </c>
      <c r="X45" s="37"/>
      <c r="Y45" s="37"/>
      <c r="Z45" s="37" t="s">
        <v>26</v>
      </c>
      <c r="AA45" s="37">
        <v>10</v>
      </c>
      <c r="AB45" s="37">
        <v>11</v>
      </c>
      <c r="AC45" s="37">
        <v>1</v>
      </c>
      <c r="AD45" s="37" t="s">
        <v>568</v>
      </c>
      <c r="AE45" s="37">
        <v>0.9</v>
      </c>
      <c r="AF45" s="37" t="s">
        <v>572</v>
      </c>
    </row>
    <row r="46" spans="1:32" customFormat="1" x14ac:dyDescent="0.2">
      <c r="A46" s="37"/>
      <c r="B46" s="37">
        <v>10</v>
      </c>
      <c r="C46" s="37" t="s">
        <v>26</v>
      </c>
      <c r="D46" s="37">
        <v>11</v>
      </c>
      <c r="E46" s="37">
        <v>12</v>
      </c>
      <c r="F46" s="37">
        <v>1</v>
      </c>
      <c r="G46" s="37">
        <v>7.2</v>
      </c>
      <c r="H46" s="37" t="s">
        <v>56</v>
      </c>
      <c r="I46" s="37" t="s">
        <v>23</v>
      </c>
      <c r="J46" s="37" t="s">
        <v>18</v>
      </c>
      <c r="K46" s="37">
        <v>279</v>
      </c>
      <c r="L46" s="37">
        <v>258</v>
      </c>
      <c r="M46" s="37">
        <v>15</v>
      </c>
      <c r="N46" s="37">
        <v>552</v>
      </c>
      <c r="O46" s="37">
        <v>345</v>
      </c>
      <c r="P46" s="37"/>
      <c r="Q46" s="37">
        <v>897</v>
      </c>
      <c r="R46" s="37">
        <v>10092.299999999999</v>
      </c>
      <c r="S46" s="37"/>
      <c r="T46" s="37" t="s">
        <v>181</v>
      </c>
      <c r="U46" s="37" t="s">
        <v>210</v>
      </c>
      <c r="V46" s="37">
        <v>45</v>
      </c>
      <c r="W46" s="37" t="s">
        <v>18</v>
      </c>
      <c r="X46" s="37" t="s">
        <v>190</v>
      </c>
      <c r="Y46" s="37">
        <v>1584</v>
      </c>
      <c r="Z46" s="37" t="s">
        <v>26</v>
      </c>
      <c r="AA46" s="37">
        <v>11</v>
      </c>
      <c r="AB46" s="37">
        <v>12</v>
      </c>
      <c r="AC46" s="37">
        <v>1</v>
      </c>
      <c r="AD46" s="37" t="s">
        <v>573</v>
      </c>
      <c r="AE46" s="37">
        <v>1</v>
      </c>
      <c r="AF46" s="37" t="s">
        <v>574</v>
      </c>
    </row>
    <row r="47" spans="1:32" customFormat="1" x14ac:dyDescent="0.2">
      <c r="A47" s="37"/>
      <c r="B47" s="37" t="s">
        <v>166</v>
      </c>
      <c r="C47" s="37"/>
      <c r="D47" s="37"/>
      <c r="E47" s="37"/>
      <c r="F47" s="37"/>
      <c r="G47" s="37"/>
      <c r="H47" s="37" t="s">
        <v>52</v>
      </c>
      <c r="I47" s="37"/>
      <c r="J47" s="37" t="s">
        <v>17</v>
      </c>
      <c r="K47" s="37">
        <v>34</v>
      </c>
      <c r="L47" s="37">
        <v>67</v>
      </c>
      <c r="M47" s="37">
        <v>11</v>
      </c>
      <c r="N47" s="37">
        <v>112</v>
      </c>
      <c r="O47" s="37">
        <v>91</v>
      </c>
      <c r="P47" s="37"/>
      <c r="Q47" s="37">
        <v>203</v>
      </c>
      <c r="R47" s="37">
        <v>9850.2999999999993</v>
      </c>
      <c r="S47" s="37"/>
      <c r="T47" s="37"/>
      <c r="U47" s="37"/>
      <c r="V47" s="37"/>
      <c r="W47" s="37" t="s">
        <v>18</v>
      </c>
      <c r="X47" s="37"/>
      <c r="Y47" s="37"/>
      <c r="Z47" s="37" t="s">
        <v>26</v>
      </c>
      <c r="AA47" s="37">
        <v>11</v>
      </c>
      <c r="AB47" s="37">
        <v>12</v>
      </c>
      <c r="AC47" s="37">
        <v>1</v>
      </c>
      <c r="AD47" s="37" t="s">
        <v>573</v>
      </c>
      <c r="AE47" s="37">
        <v>1</v>
      </c>
      <c r="AF47" s="37" t="s">
        <v>575</v>
      </c>
    </row>
    <row r="48" spans="1:32" customFormat="1" x14ac:dyDescent="0.2">
      <c r="A48" s="37"/>
      <c r="B48" s="37" t="s">
        <v>166</v>
      </c>
      <c r="C48" s="37"/>
      <c r="D48" s="37"/>
      <c r="E48" s="37"/>
      <c r="F48" s="37"/>
      <c r="G48" s="37"/>
      <c r="H48" s="37">
        <v>45</v>
      </c>
      <c r="I48" s="37"/>
      <c r="J48" s="37" t="s">
        <v>19</v>
      </c>
      <c r="K48" s="37">
        <v>2</v>
      </c>
      <c r="L48" s="37">
        <v>27</v>
      </c>
      <c r="M48" s="37">
        <v>8</v>
      </c>
      <c r="N48" s="37">
        <v>37</v>
      </c>
      <c r="O48" s="37">
        <v>51</v>
      </c>
      <c r="P48" s="37"/>
      <c r="Q48" s="37">
        <v>88</v>
      </c>
      <c r="R48" s="37">
        <v>1678.3</v>
      </c>
      <c r="S48" s="37"/>
      <c r="T48" s="37"/>
      <c r="U48" s="37"/>
      <c r="V48" s="37"/>
      <c r="W48" s="37" t="s">
        <v>18</v>
      </c>
      <c r="X48" s="37"/>
      <c r="Y48" s="37"/>
      <c r="Z48" s="37" t="s">
        <v>26</v>
      </c>
      <c r="AA48" s="37">
        <v>11</v>
      </c>
      <c r="AB48" s="37">
        <v>12</v>
      </c>
      <c r="AC48" s="37">
        <v>1</v>
      </c>
      <c r="AD48" s="37" t="s">
        <v>573</v>
      </c>
      <c r="AE48" s="37">
        <v>1</v>
      </c>
      <c r="AF48" s="37" t="s">
        <v>576</v>
      </c>
    </row>
    <row r="49" spans="1:32" customFormat="1" x14ac:dyDescent="0.2">
      <c r="A49" s="37"/>
      <c r="B49" s="37" t="s">
        <v>166</v>
      </c>
      <c r="C49" s="37"/>
      <c r="D49" s="37"/>
      <c r="E49" s="37"/>
      <c r="F49" s="37"/>
      <c r="G49" s="37"/>
      <c r="H49" s="37"/>
      <c r="I49" s="37"/>
      <c r="J49" s="37" t="s">
        <v>15</v>
      </c>
      <c r="K49" s="37">
        <v>315</v>
      </c>
      <c r="L49" s="37">
        <v>352</v>
      </c>
      <c r="M49" s="37">
        <v>34</v>
      </c>
      <c r="N49" s="37">
        <v>701</v>
      </c>
      <c r="O49" s="37">
        <v>487</v>
      </c>
      <c r="P49" s="37">
        <v>0</v>
      </c>
      <c r="Q49" s="37">
        <v>1188</v>
      </c>
      <c r="R49" s="37">
        <v>21620.899999999998</v>
      </c>
      <c r="S49" s="37"/>
      <c r="T49" s="37"/>
      <c r="U49" s="37"/>
      <c r="V49" s="37"/>
      <c r="W49" s="37" t="s">
        <v>18</v>
      </c>
      <c r="X49" s="37"/>
      <c r="Y49" s="37"/>
      <c r="Z49" s="37" t="s">
        <v>26</v>
      </c>
      <c r="AA49" s="37">
        <v>11</v>
      </c>
      <c r="AB49" s="37">
        <v>12</v>
      </c>
      <c r="AC49" s="37">
        <v>1</v>
      </c>
      <c r="AD49" s="37" t="s">
        <v>573</v>
      </c>
      <c r="AE49" s="37">
        <v>1</v>
      </c>
      <c r="AF49" s="37" t="s">
        <v>577</v>
      </c>
    </row>
    <row r="50" spans="1:32" customFormat="1" x14ac:dyDescent="0.2">
      <c r="A50" s="37"/>
      <c r="B50" s="37">
        <v>11</v>
      </c>
      <c r="C50" s="37" t="s">
        <v>26</v>
      </c>
      <c r="D50" s="37">
        <v>12</v>
      </c>
      <c r="E50" s="37">
        <v>21</v>
      </c>
      <c r="F50" s="37">
        <v>1</v>
      </c>
      <c r="G50" s="37">
        <v>9.5</v>
      </c>
      <c r="H50" s="37" t="s">
        <v>56</v>
      </c>
      <c r="I50" s="37" t="s">
        <v>23</v>
      </c>
      <c r="J50" s="37" t="s">
        <v>18</v>
      </c>
      <c r="K50" s="37">
        <v>605</v>
      </c>
      <c r="L50" s="37">
        <v>290</v>
      </c>
      <c r="M50" s="37">
        <v>10</v>
      </c>
      <c r="N50" s="37">
        <v>905</v>
      </c>
      <c r="O50" s="37">
        <v>541</v>
      </c>
      <c r="P50" s="37"/>
      <c r="Q50" s="37">
        <v>1446</v>
      </c>
      <c r="R50" s="37">
        <v>17358</v>
      </c>
      <c r="S50" s="37"/>
      <c r="T50" s="37" t="s">
        <v>181</v>
      </c>
      <c r="U50" s="37" t="s">
        <v>195</v>
      </c>
      <c r="V50" s="37">
        <v>55</v>
      </c>
      <c r="W50" s="37" t="s">
        <v>18</v>
      </c>
      <c r="X50" s="37" t="s">
        <v>190</v>
      </c>
      <c r="Y50" s="37">
        <v>2185</v>
      </c>
      <c r="Z50" s="37" t="s">
        <v>26</v>
      </c>
      <c r="AA50" s="37">
        <v>12</v>
      </c>
      <c r="AB50" s="37">
        <v>21</v>
      </c>
      <c r="AC50" s="37">
        <v>1</v>
      </c>
      <c r="AD50" s="37" t="s">
        <v>578</v>
      </c>
      <c r="AE50" s="37">
        <v>1.6</v>
      </c>
      <c r="AF50" s="37" t="s">
        <v>579</v>
      </c>
    </row>
    <row r="51" spans="1:32" customFormat="1" x14ac:dyDescent="0.2">
      <c r="A51" s="37"/>
      <c r="B51" s="37" t="s">
        <v>166</v>
      </c>
      <c r="C51" s="37"/>
      <c r="D51" s="37"/>
      <c r="E51" s="37"/>
      <c r="F51" s="37"/>
      <c r="G51" s="37"/>
      <c r="H51" s="37" t="s">
        <v>36</v>
      </c>
      <c r="I51" s="37"/>
      <c r="J51" s="37" t="s">
        <v>17</v>
      </c>
      <c r="K51" s="37">
        <v>62</v>
      </c>
      <c r="L51" s="37">
        <v>89</v>
      </c>
      <c r="M51" s="37">
        <v>0</v>
      </c>
      <c r="N51" s="37">
        <v>151</v>
      </c>
      <c r="O51" s="37">
        <v>107</v>
      </c>
      <c r="P51" s="37"/>
      <c r="Q51" s="37">
        <v>258</v>
      </c>
      <c r="R51" s="37">
        <v>14271</v>
      </c>
      <c r="S51" s="37"/>
      <c r="T51" s="37"/>
      <c r="U51" s="37"/>
      <c r="V51" s="37"/>
      <c r="W51" s="37" t="s">
        <v>18</v>
      </c>
      <c r="X51" s="37"/>
      <c r="Y51" s="37"/>
      <c r="Z51" s="37" t="s">
        <v>26</v>
      </c>
      <c r="AA51" s="37">
        <v>12</v>
      </c>
      <c r="AB51" s="37">
        <v>21</v>
      </c>
      <c r="AC51" s="37">
        <v>1</v>
      </c>
      <c r="AD51" s="37" t="s">
        <v>578</v>
      </c>
      <c r="AE51" s="37">
        <v>1.6</v>
      </c>
      <c r="AF51" s="37" t="s">
        <v>580</v>
      </c>
    </row>
    <row r="52" spans="1:32" customFormat="1" x14ac:dyDescent="0.2">
      <c r="A52" s="37"/>
      <c r="B52" s="37" t="s">
        <v>166</v>
      </c>
      <c r="C52" s="37"/>
      <c r="D52" s="37"/>
      <c r="E52" s="37"/>
      <c r="F52" s="37"/>
      <c r="G52" s="37"/>
      <c r="H52" s="37">
        <v>55</v>
      </c>
      <c r="I52" s="37"/>
      <c r="J52" s="37" t="s">
        <v>15</v>
      </c>
      <c r="K52" s="37">
        <v>667</v>
      </c>
      <c r="L52" s="37">
        <v>379</v>
      </c>
      <c r="M52" s="37">
        <v>10</v>
      </c>
      <c r="N52" s="37">
        <v>1056</v>
      </c>
      <c r="O52" s="37">
        <v>648</v>
      </c>
      <c r="P52" s="37">
        <v>0</v>
      </c>
      <c r="Q52" s="37">
        <v>1704</v>
      </c>
      <c r="R52" s="37">
        <v>31629</v>
      </c>
      <c r="S52" s="37"/>
      <c r="T52" s="37"/>
      <c r="U52" s="37"/>
      <c r="V52" s="37"/>
      <c r="W52" s="37" t="s">
        <v>18</v>
      </c>
      <c r="X52" s="37"/>
      <c r="Y52" s="37"/>
      <c r="Z52" s="37" t="s">
        <v>26</v>
      </c>
      <c r="AA52" s="37">
        <v>12</v>
      </c>
      <c r="AB52" s="37">
        <v>21</v>
      </c>
      <c r="AC52" s="37">
        <v>1</v>
      </c>
      <c r="AD52" s="37" t="s">
        <v>578</v>
      </c>
      <c r="AE52" s="37">
        <v>1.6</v>
      </c>
      <c r="AF52" s="37" t="s">
        <v>581</v>
      </c>
    </row>
    <row r="53" spans="1:32" customFormat="1" x14ac:dyDescent="0.2">
      <c r="A53" s="37"/>
      <c r="B53" s="37">
        <v>12</v>
      </c>
      <c r="C53" s="37" t="s">
        <v>26</v>
      </c>
      <c r="D53" s="37">
        <v>15</v>
      </c>
      <c r="E53" s="37">
        <v>3</v>
      </c>
      <c r="F53" s="37">
        <v>1</v>
      </c>
      <c r="G53" s="37">
        <v>6.5</v>
      </c>
      <c r="H53" s="37" t="s">
        <v>56</v>
      </c>
      <c r="I53" s="37" t="s">
        <v>23</v>
      </c>
      <c r="J53" s="37" t="s">
        <v>18</v>
      </c>
      <c r="K53" s="37">
        <v>55</v>
      </c>
      <c r="L53" s="37">
        <v>33</v>
      </c>
      <c r="M53" s="37">
        <v>0</v>
      </c>
      <c r="N53" s="37">
        <v>88</v>
      </c>
      <c r="O53" s="37">
        <v>84</v>
      </c>
      <c r="P53" s="37"/>
      <c r="Q53" s="37">
        <v>172</v>
      </c>
      <c r="R53" s="37">
        <v>1698</v>
      </c>
      <c r="S53" s="37"/>
      <c r="T53" s="37" t="s">
        <v>181</v>
      </c>
      <c r="U53" s="37" t="s">
        <v>255</v>
      </c>
      <c r="V53" s="37">
        <v>70</v>
      </c>
      <c r="W53" s="37" t="s">
        <v>19</v>
      </c>
      <c r="X53" s="37" t="s">
        <v>190</v>
      </c>
      <c r="Y53" s="37">
        <v>910</v>
      </c>
      <c r="Z53" s="37" t="s">
        <v>26</v>
      </c>
      <c r="AA53" s="37">
        <v>15</v>
      </c>
      <c r="AB53" s="37">
        <v>3</v>
      </c>
      <c r="AC53" s="37">
        <v>1</v>
      </c>
      <c r="AD53" s="37" t="s">
        <v>582</v>
      </c>
      <c r="AE53" s="37">
        <v>1.1000000000000001</v>
      </c>
      <c r="AF53" s="37" t="s">
        <v>583</v>
      </c>
    </row>
    <row r="54" spans="1:32" customFormat="1" x14ac:dyDescent="0.2">
      <c r="A54" s="37"/>
      <c r="B54" s="37" t="s">
        <v>166</v>
      </c>
      <c r="C54" s="37"/>
      <c r="D54" s="37"/>
      <c r="E54" s="37"/>
      <c r="F54" s="37"/>
      <c r="G54" s="37"/>
      <c r="H54" s="37" t="s">
        <v>92</v>
      </c>
      <c r="I54" s="37"/>
      <c r="J54" s="37" t="s">
        <v>25</v>
      </c>
      <c r="K54" s="37">
        <v>22</v>
      </c>
      <c r="L54" s="37">
        <v>45</v>
      </c>
      <c r="M54" s="37">
        <v>2</v>
      </c>
      <c r="N54" s="37">
        <v>69</v>
      </c>
      <c r="O54" s="37">
        <v>61</v>
      </c>
      <c r="P54" s="37"/>
      <c r="Q54" s="37">
        <v>130</v>
      </c>
      <c r="R54" s="37">
        <v>46058</v>
      </c>
      <c r="S54" s="37"/>
      <c r="T54" s="37"/>
      <c r="U54" s="37"/>
      <c r="V54" s="37"/>
      <c r="W54" s="37" t="s">
        <v>19</v>
      </c>
      <c r="X54" s="37"/>
      <c r="Y54" s="37"/>
      <c r="Z54" s="37" t="s">
        <v>26</v>
      </c>
      <c r="AA54" s="37">
        <v>15</v>
      </c>
      <c r="AB54" s="37">
        <v>3</v>
      </c>
      <c r="AC54" s="37">
        <v>1</v>
      </c>
      <c r="AD54" s="37" t="s">
        <v>582</v>
      </c>
      <c r="AE54" s="37">
        <v>1.1000000000000001</v>
      </c>
      <c r="AF54" s="37" t="s">
        <v>584</v>
      </c>
    </row>
    <row r="55" spans="1:32" customFormat="1" x14ac:dyDescent="0.2">
      <c r="A55" s="37"/>
      <c r="B55" s="37" t="s">
        <v>166</v>
      </c>
      <c r="C55" s="37"/>
      <c r="D55" s="37"/>
      <c r="E55" s="37"/>
      <c r="F55" s="37"/>
      <c r="G55" s="37"/>
      <c r="H55" s="37">
        <v>70</v>
      </c>
      <c r="I55" s="37"/>
      <c r="J55" s="37" t="s">
        <v>19</v>
      </c>
      <c r="K55" s="37">
        <v>36</v>
      </c>
      <c r="L55" s="37">
        <v>136</v>
      </c>
      <c r="M55" s="37">
        <v>13</v>
      </c>
      <c r="N55" s="37">
        <v>185</v>
      </c>
      <c r="O55" s="37">
        <v>220</v>
      </c>
      <c r="P55" s="37"/>
      <c r="Q55" s="37">
        <v>405</v>
      </c>
      <c r="R55" s="37">
        <v>9276</v>
      </c>
      <c r="S55" s="37"/>
      <c r="T55" s="37"/>
      <c r="U55" s="37"/>
      <c r="V55" s="37"/>
      <c r="W55" s="37" t="s">
        <v>19</v>
      </c>
      <c r="X55" s="37"/>
      <c r="Y55" s="37"/>
      <c r="Z55" s="37" t="s">
        <v>26</v>
      </c>
      <c r="AA55" s="37">
        <v>15</v>
      </c>
      <c r="AB55" s="37">
        <v>3</v>
      </c>
      <c r="AC55" s="37">
        <v>1</v>
      </c>
      <c r="AD55" s="37" t="s">
        <v>582</v>
      </c>
      <c r="AE55" s="37">
        <v>1.1000000000000001</v>
      </c>
      <c r="AF55" s="37" t="s">
        <v>585</v>
      </c>
    </row>
    <row r="56" spans="1:32" customFormat="1" x14ac:dyDescent="0.2">
      <c r="A56" s="37"/>
      <c r="B56" s="37" t="s">
        <v>166</v>
      </c>
      <c r="C56" s="37"/>
      <c r="D56" s="37"/>
      <c r="E56" s="37"/>
      <c r="F56" s="37"/>
      <c r="G56" s="37"/>
      <c r="H56" s="37"/>
      <c r="I56" s="37"/>
      <c r="J56" s="37" t="s">
        <v>15</v>
      </c>
      <c r="K56" s="37">
        <v>113</v>
      </c>
      <c r="L56" s="37">
        <v>214</v>
      </c>
      <c r="M56" s="37">
        <v>15</v>
      </c>
      <c r="N56" s="37">
        <v>342</v>
      </c>
      <c r="O56" s="37">
        <v>365</v>
      </c>
      <c r="P56" s="37">
        <v>0</v>
      </c>
      <c r="Q56" s="37">
        <v>707</v>
      </c>
      <c r="R56" s="37">
        <v>57032</v>
      </c>
      <c r="S56" s="37"/>
      <c r="T56" s="37"/>
      <c r="U56" s="37"/>
      <c r="V56" s="37"/>
      <c r="W56" s="37" t="s">
        <v>19</v>
      </c>
      <c r="X56" s="37"/>
      <c r="Y56" s="37"/>
      <c r="Z56" s="37" t="s">
        <v>26</v>
      </c>
      <c r="AA56" s="37">
        <v>15</v>
      </c>
      <c r="AB56" s="37">
        <v>3</v>
      </c>
      <c r="AC56" s="37">
        <v>1</v>
      </c>
      <c r="AD56" s="37" t="s">
        <v>582</v>
      </c>
      <c r="AE56" s="37">
        <v>1.1000000000000001</v>
      </c>
      <c r="AF56" s="37" t="s">
        <v>586</v>
      </c>
    </row>
    <row r="57" spans="1:32" customFormat="1" x14ac:dyDescent="0.2">
      <c r="A57" s="37"/>
      <c r="B57" s="37">
        <v>13</v>
      </c>
      <c r="C57" s="37" t="s">
        <v>26</v>
      </c>
      <c r="D57" s="37">
        <v>15</v>
      </c>
      <c r="E57" s="37">
        <v>7</v>
      </c>
      <c r="F57" s="37">
        <v>1</v>
      </c>
      <c r="G57" s="37">
        <v>4.8</v>
      </c>
      <c r="H57" s="37" t="s">
        <v>56</v>
      </c>
      <c r="I57" s="37" t="s">
        <v>23</v>
      </c>
      <c r="J57" s="37" t="s">
        <v>18</v>
      </c>
      <c r="K57" s="37">
        <v>22</v>
      </c>
      <c r="L57" s="37">
        <v>18</v>
      </c>
      <c r="M57" s="37">
        <v>0</v>
      </c>
      <c r="N57" s="37">
        <v>40</v>
      </c>
      <c r="O57" s="37">
        <v>23</v>
      </c>
      <c r="P57" s="37"/>
      <c r="Q57" s="37">
        <v>63</v>
      </c>
      <c r="R57" s="37">
        <v>753</v>
      </c>
      <c r="S57" s="37"/>
      <c r="T57" s="37" t="s">
        <v>181</v>
      </c>
      <c r="U57" s="37" t="s">
        <v>256</v>
      </c>
      <c r="V57" s="37">
        <v>65</v>
      </c>
      <c r="W57" s="37" t="s">
        <v>19</v>
      </c>
      <c r="X57" s="37" t="s">
        <v>190</v>
      </c>
      <c r="Y57" s="37">
        <v>960</v>
      </c>
      <c r="Z57" s="37" t="s">
        <v>26</v>
      </c>
      <c r="AA57" s="37">
        <v>15</v>
      </c>
      <c r="AB57" s="37">
        <v>7</v>
      </c>
      <c r="AC57" s="37">
        <v>1</v>
      </c>
      <c r="AD57" s="37" t="s">
        <v>587</v>
      </c>
      <c r="AE57" s="37">
        <v>0.9</v>
      </c>
      <c r="AF57" s="37" t="s">
        <v>588</v>
      </c>
    </row>
    <row r="58" spans="1:32" customFormat="1" x14ac:dyDescent="0.2">
      <c r="A58" s="37"/>
      <c r="B58" s="37" t="s">
        <v>166</v>
      </c>
      <c r="C58" s="37"/>
      <c r="D58" s="37"/>
      <c r="E58" s="37"/>
      <c r="F58" s="37"/>
      <c r="G58" s="37"/>
      <c r="H58" s="37" t="s">
        <v>93</v>
      </c>
      <c r="I58" s="37"/>
      <c r="J58" s="37" t="s">
        <v>17</v>
      </c>
      <c r="K58" s="37">
        <v>31</v>
      </c>
      <c r="L58" s="37">
        <v>61</v>
      </c>
      <c r="M58" s="37">
        <v>6</v>
      </c>
      <c r="N58" s="37">
        <v>98</v>
      </c>
      <c r="O58" s="37">
        <v>79</v>
      </c>
      <c r="P58" s="37"/>
      <c r="Q58" s="37">
        <v>177</v>
      </c>
      <c r="R58" s="37">
        <v>8802</v>
      </c>
      <c r="S58" s="37"/>
      <c r="T58" s="37"/>
      <c r="U58" s="37"/>
      <c r="V58" s="37"/>
      <c r="W58" s="37" t="s">
        <v>19</v>
      </c>
      <c r="X58" s="37"/>
      <c r="Y58" s="37"/>
      <c r="Z58" s="37" t="s">
        <v>26</v>
      </c>
      <c r="AA58" s="37">
        <v>15</v>
      </c>
      <c r="AB58" s="37">
        <v>7</v>
      </c>
      <c r="AC58" s="37">
        <v>1</v>
      </c>
      <c r="AD58" s="37" t="s">
        <v>587</v>
      </c>
      <c r="AE58" s="37">
        <v>0.9</v>
      </c>
      <c r="AF58" s="37" t="s">
        <v>589</v>
      </c>
    </row>
    <row r="59" spans="1:32" customFormat="1" x14ac:dyDescent="0.2">
      <c r="A59" s="37"/>
      <c r="B59" s="37" t="s">
        <v>166</v>
      </c>
      <c r="C59" s="37"/>
      <c r="D59" s="37"/>
      <c r="E59" s="37"/>
      <c r="F59" s="37"/>
      <c r="G59" s="37"/>
      <c r="H59" s="37">
        <v>65</v>
      </c>
      <c r="I59" s="37"/>
      <c r="J59" s="37" t="s">
        <v>19</v>
      </c>
      <c r="K59" s="37">
        <v>39</v>
      </c>
      <c r="L59" s="37">
        <v>127</v>
      </c>
      <c r="M59" s="37">
        <v>14</v>
      </c>
      <c r="N59" s="37">
        <v>180</v>
      </c>
      <c r="O59" s="37">
        <v>212</v>
      </c>
      <c r="P59" s="37"/>
      <c r="Q59" s="37">
        <v>392</v>
      </c>
      <c r="R59" s="37">
        <v>9110</v>
      </c>
      <c r="S59" s="37"/>
      <c r="T59" s="37"/>
      <c r="U59" s="37"/>
      <c r="V59" s="37"/>
      <c r="W59" s="37" t="s">
        <v>19</v>
      </c>
      <c r="X59" s="37"/>
      <c r="Y59" s="37"/>
      <c r="Z59" s="37" t="s">
        <v>26</v>
      </c>
      <c r="AA59" s="37">
        <v>15</v>
      </c>
      <c r="AB59" s="37">
        <v>7</v>
      </c>
      <c r="AC59" s="37">
        <v>1</v>
      </c>
      <c r="AD59" s="37" t="s">
        <v>587</v>
      </c>
      <c r="AE59" s="37">
        <v>0.9</v>
      </c>
      <c r="AF59" s="37" t="s">
        <v>590</v>
      </c>
    </row>
    <row r="60" spans="1:32" customFormat="1" x14ac:dyDescent="0.2">
      <c r="A60" s="37"/>
      <c r="B60" s="37" t="s">
        <v>166</v>
      </c>
      <c r="C60" s="37"/>
      <c r="D60" s="37"/>
      <c r="E60" s="37"/>
      <c r="F60" s="37"/>
      <c r="G60" s="37"/>
      <c r="H60" s="37"/>
      <c r="I60" s="37"/>
      <c r="J60" s="37" t="s">
        <v>25</v>
      </c>
      <c r="K60" s="37">
        <v>0</v>
      </c>
      <c r="L60" s="37">
        <v>34</v>
      </c>
      <c r="M60" s="37">
        <v>11</v>
      </c>
      <c r="N60" s="37">
        <v>45</v>
      </c>
      <c r="O60" s="37">
        <v>14</v>
      </c>
      <c r="P60" s="37"/>
      <c r="Q60" s="37">
        <v>59</v>
      </c>
      <c r="R60" s="37">
        <v>23211</v>
      </c>
      <c r="S60" s="37"/>
      <c r="T60" s="37"/>
      <c r="U60" s="37"/>
      <c r="V60" s="37"/>
      <c r="W60" s="37" t="s">
        <v>19</v>
      </c>
      <c r="X60" s="37"/>
      <c r="Y60" s="37"/>
      <c r="Z60" s="37" t="s">
        <v>26</v>
      </c>
      <c r="AA60" s="37">
        <v>15</v>
      </c>
      <c r="AB60" s="37">
        <v>7</v>
      </c>
      <c r="AC60" s="37">
        <v>1</v>
      </c>
      <c r="AD60" s="37" t="s">
        <v>587</v>
      </c>
      <c r="AE60" s="37">
        <v>0.9</v>
      </c>
      <c r="AF60" s="37" t="s">
        <v>591</v>
      </c>
    </row>
    <row r="61" spans="1:32" customFormat="1" x14ac:dyDescent="0.2">
      <c r="A61" s="37"/>
      <c r="B61" s="37" t="s">
        <v>166</v>
      </c>
      <c r="C61" s="37"/>
      <c r="D61" s="37"/>
      <c r="E61" s="37"/>
      <c r="F61" s="37"/>
      <c r="G61" s="37"/>
      <c r="H61" s="37"/>
      <c r="I61" s="37"/>
      <c r="J61" s="37" t="s">
        <v>15</v>
      </c>
      <c r="K61" s="37">
        <v>92</v>
      </c>
      <c r="L61" s="37">
        <v>240</v>
      </c>
      <c r="M61" s="37">
        <v>31</v>
      </c>
      <c r="N61" s="37">
        <v>363</v>
      </c>
      <c r="O61" s="37">
        <v>328</v>
      </c>
      <c r="P61" s="37">
        <v>0</v>
      </c>
      <c r="Q61" s="37">
        <v>691</v>
      </c>
      <c r="R61" s="37">
        <v>41876</v>
      </c>
      <c r="S61" s="37"/>
      <c r="T61" s="37"/>
      <c r="U61" s="37"/>
      <c r="V61" s="37"/>
      <c r="W61" s="37" t="s">
        <v>19</v>
      </c>
      <c r="X61" s="37"/>
      <c r="Y61" s="37"/>
      <c r="Z61" s="37" t="s">
        <v>26</v>
      </c>
      <c r="AA61" s="37">
        <v>15</v>
      </c>
      <c r="AB61" s="37">
        <v>7</v>
      </c>
      <c r="AC61" s="37">
        <v>1</v>
      </c>
      <c r="AD61" s="37" t="s">
        <v>587</v>
      </c>
      <c r="AE61" s="37">
        <v>0.9</v>
      </c>
      <c r="AF61" s="37" t="s">
        <v>592</v>
      </c>
    </row>
    <row r="62" spans="1:32" customFormat="1" x14ac:dyDescent="0.2">
      <c r="A62" s="37"/>
      <c r="B62" s="37">
        <v>14</v>
      </c>
      <c r="C62" s="37" t="s">
        <v>26</v>
      </c>
      <c r="D62" s="37">
        <v>15</v>
      </c>
      <c r="E62" s="37">
        <v>23</v>
      </c>
      <c r="F62" s="37">
        <v>1</v>
      </c>
      <c r="G62" s="37">
        <v>4.5</v>
      </c>
      <c r="H62" s="37" t="s">
        <v>56</v>
      </c>
      <c r="I62" s="37" t="s">
        <v>23</v>
      </c>
      <c r="J62" s="37" t="s">
        <v>18</v>
      </c>
      <c r="K62" s="37">
        <v>291.91499999999996</v>
      </c>
      <c r="L62" s="37">
        <v>147.69</v>
      </c>
      <c r="M62" s="37">
        <v>6.4799999999999995</v>
      </c>
      <c r="N62" s="37">
        <v>446.08499999999998</v>
      </c>
      <c r="O62" s="37">
        <v>240.93</v>
      </c>
      <c r="P62" s="37"/>
      <c r="Q62" s="37">
        <v>687.01499999999999</v>
      </c>
      <c r="R62" s="37">
        <v>8506</v>
      </c>
      <c r="S62" s="37"/>
      <c r="T62" s="37" t="s">
        <v>181</v>
      </c>
      <c r="U62" s="37" t="s">
        <v>182</v>
      </c>
      <c r="V62" s="37">
        <v>45</v>
      </c>
      <c r="W62" s="37" t="s">
        <v>18</v>
      </c>
      <c r="X62" s="37" t="s">
        <v>190</v>
      </c>
      <c r="Y62" s="37">
        <v>1035</v>
      </c>
      <c r="Z62" s="37" t="s">
        <v>26</v>
      </c>
      <c r="AA62" s="37">
        <v>15</v>
      </c>
      <c r="AB62" s="37">
        <v>23</v>
      </c>
      <c r="AC62" s="37">
        <v>1</v>
      </c>
      <c r="AD62" s="37" t="s">
        <v>593</v>
      </c>
      <c r="AE62" s="37">
        <v>0.8</v>
      </c>
      <c r="AF62" s="37" t="s">
        <v>594</v>
      </c>
    </row>
    <row r="63" spans="1:32" customFormat="1" x14ac:dyDescent="0.2">
      <c r="A63" s="37"/>
      <c r="B63" s="37" t="s">
        <v>166</v>
      </c>
      <c r="C63" s="37"/>
      <c r="D63" s="37"/>
      <c r="E63" s="37"/>
      <c r="F63" s="37"/>
      <c r="G63" s="37"/>
      <c r="H63" s="37" t="s">
        <v>59</v>
      </c>
      <c r="I63" s="37"/>
      <c r="J63" s="37" t="s">
        <v>19</v>
      </c>
      <c r="K63" s="37">
        <v>2.2589999999999999</v>
      </c>
      <c r="L63" s="37">
        <v>32.841000000000001</v>
      </c>
      <c r="M63" s="37">
        <v>9.7605000000000004</v>
      </c>
      <c r="N63" s="37">
        <v>44.860500000000002</v>
      </c>
      <c r="O63" s="37">
        <v>54.899999999999991</v>
      </c>
      <c r="P63" s="37"/>
      <c r="Q63" s="37">
        <v>99.760499999999993</v>
      </c>
      <c r="R63" s="37">
        <v>1988</v>
      </c>
      <c r="S63" s="37"/>
      <c r="T63" s="37"/>
      <c r="U63" s="37"/>
      <c r="V63" s="37"/>
      <c r="W63" s="37" t="s">
        <v>18</v>
      </c>
      <c r="X63" s="37"/>
      <c r="Y63" s="37"/>
      <c r="Z63" s="37" t="s">
        <v>26</v>
      </c>
      <c r="AA63" s="37">
        <v>15</v>
      </c>
      <c r="AB63" s="37">
        <v>23</v>
      </c>
      <c r="AC63" s="37">
        <v>1</v>
      </c>
      <c r="AD63" s="37" t="s">
        <v>593</v>
      </c>
      <c r="AE63" s="37">
        <v>0.8</v>
      </c>
      <c r="AF63" s="37" t="s">
        <v>595</v>
      </c>
    </row>
    <row r="64" spans="1:32" customFormat="1" x14ac:dyDescent="0.2">
      <c r="A64" s="37"/>
      <c r="B64" s="37" t="s">
        <v>166</v>
      </c>
      <c r="C64" s="37"/>
      <c r="D64" s="37"/>
      <c r="E64" s="37"/>
      <c r="F64" s="37"/>
      <c r="G64" s="37"/>
      <c r="H64" s="37">
        <v>45</v>
      </c>
      <c r="I64" s="37"/>
      <c r="J64" s="37" t="s">
        <v>15</v>
      </c>
      <c r="K64" s="37">
        <v>294.17399999999998</v>
      </c>
      <c r="L64" s="37">
        <v>180.53100000000001</v>
      </c>
      <c r="M64" s="37">
        <v>16.240500000000001</v>
      </c>
      <c r="N64" s="37">
        <v>490.94549999999998</v>
      </c>
      <c r="O64" s="37">
        <v>295.83</v>
      </c>
      <c r="P64" s="37">
        <v>0</v>
      </c>
      <c r="Q64" s="37">
        <v>786.77549999999997</v>
      </c>
      <c r="R64" s="37">
        <v>10494</v>
      </c>
      <c r="S64" s="37"/>
      <c r="T64" s="37"/>
      <c r="U64" s="37"/>
      <c r="V64" s="37"/>
      <c r="W64" s="37" t="s">
        <v>18</v>
      </c>
      <c r="X64" s="37"/>
      <c r="Y64" s="37"/>
      <c r="Z64" s="37" t="s">
        <v>26</v>
      </c>
      <c r="AA64" s="37">
        <v>15</v>
      </c>
      <c r="AB64" s="37">
        <v>23</v>
      </c>
      <c r="AC64" s="37">
        <v>1</v>
      </c>
      <c r="AD64" s="37" t="s">
        <v>593</v>
      </c>
      <c r="AE64" s="37">
        <v>0.8</v>
      </c>
      <c r="AF64" s="37" t="s">
        <v>596</v>
      </c>
    </row>
    <row r="65" spans="1:32" customFormat="1" x14ac:dyDescent="0.2">
      <c r="A65" s="37"/>
      <c r="B65" s="37">
        <v>15</v>
      </c>
      <c r="C65" s="37" t="s">
        <v>26</v>
      </c>
      <c r="D65" s="37">
        <v>24</v>
      </c>
      <c r="E65" s="37">
        <v>22</v>
      </c>
      <c r="F65" s="37">
        <v>1</v>
      </c>
      <c r="G65" s="37">
        <v>2.9</v>
      </c>
      <c r="H65" s="37" t="s">
        <v>181</v>
      </c>
      <c r="I65" s="37" t="s">
        <v>23</v>
      </c>
      <c r="J65" s="37" t="s">
        <v>18</v>
      </c>
      <c r="K65" s="37">
        <v>53</v>
      </c>
      <c r="L65" s="37">
        <v>42</v>
      </c>
      <c r="M65" s="37">
        <v>0</v>
      </c>
      <c r="N65" s="37">
        <v>95</v>
      </c>
      <c r="O65" s="37">
        <v>60</v>
      </c>
      <c r="P65" s="37"/>
      <c r="Q65" s="37">
        <v>155</v>
      </c>
      <c r="R65" s="37">
        <v>1782</v>
      </c>
      <c r="S65" s="37"/>
      <c r="T65" s="37" t="s">
        <v>181</v>
      </c>
      <c r="U65" s="37" t="s">
        <v>193</v>
      </c>
      <c r="V65" s="37">
        <v>65</v>
      </c>
      <c r="W65" s="37" t="s">
        <v>17</v>
      </c>
      <c r="X65" s="37" t="s">
        <v>190</v>
      </c>
      <c r="Y65" s="37">
        <v>609</v>
      </c>
      <c r="Z65" s="37" t="s">
        <v>26</v>
      </c>
      <c r="AA65" s="37">
        <v>24</v>
      </c>
      <c r="AB65" s="37">
        <v>22</v>
      </c>
      <c r="AC65" s="37">
        <v>1</v>
      </c>
      <c r="AD65" s="37" t="s">
        <v>597</v>
      </c>
      <c r="AE65" s="37">
        <v>0.9</v>
      </c>
      <c r="AF65" s="37" t="s">
        <v>598</v>
      </c>
    </row>
    <row r="66" spans="1:32" customFormat="1" x14ac:dyDescent="0.2">
      <c r="A66" s="37"/>
      <c r="B66" s="37" t="s">
        <v>166</v>
      </c>
      <c r="C66" s="37"/>
      <c r="D66" s="37"/>
      <c r="E66" s="37"/>
      <c r="F66" s="37"/>
      <c r="G66" s="37"/>
      <c r="H66" s="37" t="s">
        <v>29</v>
      </c>
      <c r="I66" s="37"/>
      <c r="J66" s="37" t="s">
        <v>17</v>
      </c>
      <c r="K66" s="37">
        <v>71</v>
      </c>
      <c r="L66" s="37">
        <v>89</v>
      </c>
      <c r="M66" s="37">
        <v>5</v>
      </c>
      <c r="N66" s="37">
        <v>165</v>
      </c>
      <c r="O66" s="37">
        <v>102</v>
      </c>
      <c r="P66" s="37"/>
      <c r="Q66" s="37">
        <v>267</v>
      </c>
      <c r="R66" s="37">
        <v>15395</v>
      </c>
      <c r="S66" s="37"/>
      <c r="T66" s="37"/>
      <c r="U66" s="37"/>
      <c r="V66" s="37"/>
      <c r="W66" s="37" t="s">
        <v>17</v>
      </c>
      <c r="X66" s="37"/>
      <c r="Y66" s="37"/>
      <c r="Z66" s="37" t="s">
        <v>26</v>
      </c>
      <c r="AA66" s="37">
        <v>24</v>
      </c>
      <c r="AB66" s="37">
        <v>22</v>
      </c>
      <c r="AC66" s="37">
        <v>1</v>
      </c>
      <c r="AD66" s="37" t="s">
        <v>597</v>
      </c>
      <c r="AE66" s="37">
        <v>0.9</v>
      </c>
      <c r="AF66" s="37" t="s">
        <v>599</v>
      </c>
    </row>
    <row r="67" spans="1:32" customFormat="1" x14ac:dyDescent="0.2">
      <c r="A67" s="37"/>
      <c r="B67" s="37" t="s">
        <v>166</v>
      </c>
      <c r="C67" s="37"/>
      <c r="D67" s="37"/>
      <c r="E67" s="37"/>
      <c r="F67" s="37"/>
      <c r="G67" s="37"/>
      <c r="H67" s="37">
        <v>65</v>
      </c>
      <c r="I67" s="37"/>
      <c r="J67" s="37" t="s">
        <v>19</v>
      </c>
      <c r="K67" s="37">
        <v>3</v>
      </c>
      <c r="L67" s="37">
        <v>12</v>
      </c>
      <c r="M67" s="37">
        <v>1</v>
      </c>
      <c r="N67" s="37">
        <v>16</v>
      </c>
      <c r="O67" s="37">
        <v>19</v>
      </c>
      <c r="P67" s="37"/>
      <c r="Q67" s="37">
        <v>35</v>
      </c>
      <c r="R67" s="37">
        <v>799</v>
      </c>
      <c r="S67" s="37"/>
      <c r="T67" s="37"/>
      <c r="U67" s="37"/>
      <c r="V67" s="37"/>
      <c r="W67" s="37" t="s">
        <v>17</v>
      </c>
      <c r="X67" s="37"/>
      <c r="Y67" s="37"/>
      <c r="Z67" s="37" t="s">
        <v>26</v>
      </c>
      <c r="AA67" s="37">
        <v>24</v>
      </c>
      <c r="AB67" s="37">
        <v>22</v>
      </c>
      <c r="AC67" s="37">
        <v>1</v>
      </c>
      <c r="AD67" s="37" t="s">
        <v>597</v>
      </c>
      <c r="AE67" s="37">
        <v>0.9</v>
      </c>
      <c r="AF67" s="37" t="s">
        <v>600</v>
      </c>
    </row>
    <row r="68" spans="1:32" customFormat="1" x14ac:dyDescent="0.2">
      <c r="A68" s="37"/>
      <c r="B68" s="37" t="s">
        <v>166</v>
      </c>
      <c r="C68" s="37"/>
      <c r="D68" s="37"/>
      <c r="E68" s="37"/>
      <c r="F68" s="37"/>
      <c r="G68" s="37"/>
      <c r="H68" s="37"/>
      <c r="I68" s="37"/>
      <c r="J68" s="37" t="s">
        <v>15</v>
      </c>
      <c r="K68" s="37">
        <v>127</v>
      </c>
      <c r="L68" s="37">
        <v>143</v>
      </c>
      <c r="M68" s="37">
        <v>6</v>
      </c>
      <c r="N68" s="37">
        <v>276</v>
      </c>
      <c r="O68" s="37">
        <v>181</v>
      </c>
      <c r="P68" s="37">
        <v>0</v>
      </c>
      <c r="Q68" s="37">
        <v>457</v>
      </c>
      <c r="R68" s="37">
        <v>17976</v>
      </c>
      <c r="S68" s="37"/>
      <c r="T68" s="37"/>
      <c r="U68" s="37"/>
      <c r="V68" s="37"/>
      <c r="W68" s="37" t="s">
        <v>17</v>
      </c>
      <c r="X68" s="37"/>
      <c r="Y68" s="37"/>
      <c r="Z68" s="37" t="s">
        <v>26</v>
      </c>
      <c r="AA68" s="37">
        <v>24</v>
      </c>
      <c r="AB68" s="37">
        <v>22</v>
      </c>
      <c r="AC68" s="37">
        <v>1</v>
      </c>
      <c r="AD68" s="37" t="s">
        <v>597</v>
      </c>
      <c r="AE68" s="37">
        <v>0.9</v>
      </c>
      <c r="AF68" s="37" t="s">
        <v>601</v>
      </c>
    </row>
    <row r="69" spans="1:32" customFormat="1" x14ac:dyDescent="0.2">
      <c r="A69" s="37"/>
      <c r="B69" s="37">
        <v>16</v>
      </c>
      <c r="C69" s="37" t="s">
        <v>26</v>
      </c>
      <c r="D69" s="37">
        <v>24</v>
      </c>
      <c r="E69" s="37">
        <v>8</v>
      </c>
      <c r="F69" s="37">
        <v>1</v>
      </c>
      <c r="G69" s="37">
        <v>5.9</v>
      </c>
      <c r="H69" s="37" t="s">
        <v>56</v>
      </c>
      <c r="I69" s="37" t="s">
        <v>23</v>
      </c>
      <c r="J69" s="37" t="s">
        <v>18</v>
      </c>
      <c r="K69" s="37">
        <v>235</v>
      </c>
      <c r="L69" s="37">
        <v>233</v>
      </c>
      <c r="M69" s="37">
        <v>13</v>
      </c>
      <c r="N69" s="37">
        <v>481</v>
      </c>
      <c r="O69" s="37">
        <v>282</v>
      </c>
      <c r="P69" s="37"/>
      <c r="Q69" s="37">
        <v>763</v>
      </c>
      <c r="R69" s="37">
        <v>8747</v>
      </c>
      <c r="S69" s="37"/>
      <c r="T69" s="37" t="s">
        <v>181</v>
      </c>
      <c r="U69" s="37" t="s">
        <v>195</v>
      </c>
      <c r="V69" s="37">
        <v>45</v>
      </c>
      <c r="W69" s="37" t="s">
        <v>18</v>
      </c>
      <c r="X69" s="37" t="s">
        <v>190</v>
      </c>
      <c r="Y69" s="37">
        <v>1239</v>
      </c>
      <c r="Z69" s="37" t="s">
        <v>26</v>
      </c>
      <c r="AA69" s="37">
        <v>24</v>
      </c>
      <c r="AB69" s="37">
        <v>8</v>
      </c>
      <c r="AC69" s="37">
        <v>1</v>
      </c>
      <c r="AD69" s="37" t="s">
        <v>602</v>
      </c>
      <c r="AE69" s="37">
        <v>1.4</v>
      </c>
      <c r="AF69" s="37" t="s">
        <v>603</v>
      </c>
    </row>
    <row r="70" spans="1:32" customFormat="1" x14ac:dyDescent="0.2">
      <c r="A70" s="37"/>
      <c r="B70" s="37" t="s">
        <v>166</v>
      </c>
      <c r="C70" s="37"/>
      <c r="D70" s="37"/>
      <c r="E70" s="37"/>
      <c r="F70" s="37"/>
      <c r="G70" s="37"/>
      <c r="H70" s="37" t="s">
        <v>36</v>
      </c>
      <c r="I70" s="37"/>
      <c r="J70" s="37" t="s">
        <v>17</v>
      </c>
      <c r="K70" s="37">
        <v>20</v>
      </c>
      <c r="L70" s="37">
        <v>50</v>
      </c>
      <c r="M70" s="37">
        <v>4</v>
      </c>
      <c r="N70" s="37">
        <v>74</v>
      </c>
      <c r="O70" s="37">
        <v>49</v>
      </c>
      <c r="P70" s="37"/>
      <c r="Q70" s="37">
        <v>123</v>
      </c>
      <c r="R70" s="37">
        <v>6465</v>
      </c>
      <c r="S70" s="37"/>
      <c r="T70" s="37"/>
      <c r="U70" s="37"/>
      <c r="V70" s="37"/>
      <c r="W70" s="37" t="s">
        <v>18</v>
      </c>
      <c r="X70" s="37"/>
      <c r="Y70" s="37"/>
      <c r="Z70" s="37" t="s">
        <v>26</v>
      </c>
      <c r="AA70" s="37">
        <v>24</v>
      </c>
      <c r="AB70" s="37">
        <v>8</v>
      </c>
      <c r="AC70" s="37">
        <v>1</v>
      </c>
      <c r="AD70" s="37" t="s">
        <v>602</v>
      </c>
      <c r="AE70" s="37">
        <v>1.4</v>
      </c>
      <c r="AF70" s="37" t="s">
        <v>604</v>
      </c>
    </row>
    <row r="71" spans="1:32" customFormat="1" x14ac:dyDescent="0.2">
      <c r="A71" s="37"/>
      <c r="B71" s="37" t="s">
        <v>166</v>
      </c>
      <c r="C71" s="37"/>
      <c r="D71" s="37"/>
      <c r="E71" s="37"/>
      <c r="F71" s="37"/>
      <c r="G71" s="37"/>
      <c r="H71" s="37">
        <v>45</v>
      </c>
      <c r="I71" s="37"/>
      <c r="J71" s="37" t="s">
        <v>19</v>
      </c>
      <c r="K71" s="37">
        <v>0</v>
      </c>
      <c r="L71" s="37">
        <v>15</v>
      </c>
      <c r="M71" s="37">
        <v>4</v>
      </c>
      <c r="N71" s="37">
        <v>19</v>
      </c>
      <c r="O71" s="37">
        <v>24</v>
      </c>
      <c r="P71" s="37"/>
      <c r="Q71" s="37">
        <v>43</v>
      </c>
      <c r="R71" s="37">
        <v>842</v>
      </c>
      <c r="S71" s="37"/>
      <c r="T71" s="37"/>
      <c r="U71" s="37"/>
      <c r="V71" s="37"/>
      <c r="W71" s="37" t="s">
        <v>18</v>
      </c>
      <c r="X71" s="37"/>
      <c r="Y71" s="37"/>
      <c r="Z71" s="37" t="s">
        <v>26</v>
      </c>
      <c r="AA71" s="37">
        <v>24</v>
      </c>
      <c r="AB71" s="37">
        <v>8</v>
      </c>
      <c r="AC71" s="37">
        <v>1</v>
      </c>
      <c r="AD71" s="37" t="s">
        <v>602</v>
      </c>
      <c r="AE71" s="37">
        <v>1.4</v>
      </c>
      <c r="AF71" s="37" t="s">
        <v>605</v>
      </c>
    </row>
    <row r="72" spans="1:32" customFormat="1" x14ac:dyDescent="0.2">
      <c r="A72" s="37"/>
      <c r="B72" s="37" t="s">
        <v>166</v>
      </c>
      <c r="C72" s="37"/>
      <c r="D72" s="37"/>
      <c r="E72" s="37"/>
      <c r="F72" s="37"/>
      <c r="G72" s="37"/>
      <c r="H72" s="37"/>
      <c r="I72" s="37"/>
      <c r="J72" s="37" t="s">
        <v>15</v>
      </c>
      <c r="K72" s="37">
        <v>255</v>
      </c>
      <c r="L72" s="37">
        <v>298</v>
      </c>
      <c r="M72" s="37">
        <v>21</v>
      </c>
      <c r="N72" s="37">
        <v>574</v>
      </c>
      <c r="O72" s="37">
        <v>355</v>
      </c>
      <c r="P72" s="37">
        <v>0</v>
      </c>
      <c r="Q72" s="37">
        <v>929</v>
      </c>
      <c r="R72" s="37">
        <v>16054</v>
      </c>
      <c r="S72" s="37"/>
      <c r="T72" s="37"/>
      <c r="U72" s="37"/>
      <c r="V72" s="37"/>
      <c r="W72" s="37" t="s">
        <v>18</v>
      </c>
      <c r="X72" s="37"/>
      <c r="Y72" s="37"/>
      <c r="Z72" s="37" t="s">
        <v>26</v>
      </c>
      <c r="AA72" s="37">
        <v>24</v>
      </c>
      <c r="AB72" s="37">
        <v>8</v>
      </c>
      <c r="AC72" s="37">
        <v>1</v>
      </c>
      <c r="AD72" s="37" t="s">
        <v>602</v>
      </c>
      <c r="AE72" s="37">
        <v>1.4</v>
      </c>
      <c r="AF72" s="37" t="s">
        <v>606</v>
      </c>
    </row>
    <row r="73" spans="1:32" customFormat="1" x14ac:dyDescent="0.2">
      <c r="A73" s="37"/>
      <c r="B73" s="37">
        <v>17</v>
      </c>
      <c r="C73" s="37" t="s">
        <v>26</v>
      </c>
      <c r="D73" s="37">
        <v>26</v>
      </c>
      <c r="E73" s="37">
        <v>11</v>
      </c>
      <c r="F73" s="37">
        <v>1</v>
      </c>
      <c r="G73" s="37">
        <v>5.3</v>
      </c>
      <c r="H73" s="37" t="s">
        <v>56</v>
      </c>
      <c r="I73" s="37" t="s">
        <v>23</v>
      </c>
      <c r="J73" s="37" t="s">
        <v>18</v>
      </c>
      <c r="K73" s="37">
        <v>134</v>
      </c>
      <c r="L73" s="37">
        <v>82</v>
      </c>
      <c r="M73" s="37">
        <v>0</v>
      </c>
      <c r="N73" s="37">
        <v>216</v>
      </c>
      <c r="O73" s="37">
        <v>140</v>
      </c>
      <c r="P73" s="37"/>
      <c r="Q73" s="37">
        <v>356</v>
      </c>
      <c r="R73" s="37">
        <v>4126</v>
      </c>
      <c r="S73" s="37"/>
      <c r="T73" s="37" t="s">
        <v>181</v>
      </c>
      <c r="U73" s="37" t="s">
        <v>219</v>
      </c>
      <c r="V73" s="37">
        <v>60</v>
      </c>
      <c r="W73" s="37" t="s">
        <v>18</v>
      </c>
      <c r="X73" s="37" t="s">
        <v>190</v>
      </c>
      <c r="Y73" s="37">
        <v>689</v>
      </c>
      <c r="Z73" s="37" t="s">
        <v>26</v>
      </c>
      <c r="AA73" s="37">
        <v>26</v>
      </c>
      <c r="AB73" s="37">
        <v>11</v>
      </c>
      <c r="AC73" s="37">
        <v>1</v>
      </c>
      <c r="AD73" s="37" t="s">
        <v>607</v>
      </c>
      <c r="AE73" s="37">
        <v>1.1000000000000001</v>
      </c>
      <c r="AF73" s="37" t="s">
        <v>608</v>
      </c>
    </row>
    <row r="74" spans="1:32" customFormat="1" x14ac:dyDescent="0.2">
      <c r="A74" s="37"/>
      <c r="B74" s="37" t="s">
        <v>166</v>
      </c>
      <c r="C74" s="37"/>
      <c r="D74" s="37"/>
      <c r="E74" s="37"/>
      <c r="F74" s="37"/>
      <c r="G74" s="37"/>
      <c r="H74" s="37" t="s">
        <v>75</v>
      </c>
      <c r="I74" s="37"/>
      <c r="J74" s="37" t="s">
        <v>17</v>
      </c>
      <c r="K74" s="37">
        <v>29</v>
      </c>
      <c r="L74" s="37">
        <v>53</v>
      </c>
      <c r="M74" s="37">
        <v>0</v>
      </c>
      <c r="N74" s="37">
        <v>82</v>
      </c>
      <c r="O74" s="37">
        <v>54</v>
      </c>
      <c r="P74" s="37"/>
      <c r="Q74" s="37">
        <v>136</v>
      </c>
      <c r="R74" s="37">
        <v>7551</v>
      </c>
      <c r="S74" s="37"/>
      <c r="T74" s="37"/>
      <c r="U74" s="37"/>
      <c r="V74" s="37"/>
      <c r="W74" s="37" t="s">
        <v>18</v>
      </c>
      <c r="X74" s="37"/>
      <c r="Y74" s="37"/>
      <c r="Z74" s="37" t="s">
        <v>26</v>
      </c>
      <c r="AA74" s="37">
        <v>26</v>
      </c>
      <c r="AB74" s="37">
        <v>11</v>
      </c>
      <c r="AC74" s="37">
        <v>1</v>
      </c>
      <c r="AD74" s="37" t="s">
        <v>607</v>
      </c>
      <c r="AE74" s="37">
        <v>1.1000000000000001</v>
      </c>
      <c r="AF74" s="37" t="s">
        <v>609</v>
      </c>
    </row>
    <row r="75" spans="1:32" customFormat="1" x14ac:dyDescent="0.2">
      <c r="A75" s="37"/>
      <c r="B75" s="37" t="s">
        <v>166</v>
      </c>
      <c r="C75" s="37"/>
      <c r="D75" s="37"/>
      <c r="E75" s="37"/>
      <c r="F75" s="37"/>
      <c r="G75" s="37"/>
      <c r="H75" s="37">
        <v>60</v>
      </c>
      <c r="I75" s="37"/>
      <c r="J75" s="37" t="s">
        <v>19</v>
      </c>
      <c r="K75" s="37">
        <v>1</v>
      </c>
      <c r="L75" s="37">
        <v>11</v>
      </c>
      <c r="M75" s="37">
        <v>1</v>
      </c>
      <c r="N75" s="37">
        <v>13</v>
      </c>
      <c r="O75" s="37">
        <v>19</v>
      </c>
      <c r="P75" s="37"/>
      <c r="Q75" s="37">
        <v>32</v>
      </c>
      <c r="R75" s="37">
        <v>637</v>
      </c>
      <c r="S75" s="37"/>
      <c r="T75" s="37"/>
      <c r="U75" s="37"/>
      <c r="V75" s="37"/>
      <c r="W75" s="37" t="s">
        <v>18</v>
      </c>
      <c r="X75" s="37"/>
      <c r="Y75" s="37"/>
      <c r="Z75" s="37" t="s">
        <v>26</v>
      </c>
      <c r="AA75" s="37">
        <v>26</v>
      </c>
      <c r="AB75" s="37">
        <v>11</v>
      </c>
      <c r="AC75" s="37">
        <v>1</v>
      </c>
      <c r="AD75" s="37" t="s">
        <v>607</v>
      </c>
      <c r="AE75" s="37">
        <v>1.1000000000000001</v>
      </c>
      <c r="AF75" s="37" t="s">
        <v>610</v>
      </c>
    </row>
    <row r="76" spans="1:32" customFormat="1" x14ac:dyDescent="0.2">
      <c r="A76" s="37"/>
      <c r="B76" s="37" t="s">
        <v>166</v>
      </c>
      <c r="C76" s="37"/>
      <c r="D76" s="37"/>
      <c r="E76" s="37"/>
      <c r="F76" s="37"/>
      <c r="G76" s="37"/>
      <c r="H76" s="37"/>
      <c r="I76" s="37"/>
      <c r="J76" s="37" t="s">
        <v>15</v>
      </c>
      <c r="K76" s="37">
        <v>164</v>
      </c>
      <c r="L76" s="37">
        <v>146</v>
      </c>
      <c r="M76" s="37">
        <v>1</v>
      </c>
      <c r="N76" s="37">
        <v>311</v>
      </c>
      <c r="O76" s="37">
        <v>213</v>
      </c>
      <c r="P76" s="37">
        <v>0</v>
      </c>
      <c r="Q76" s="37">
        <v>524</v>
      </c>
      <c r="R76" s="37">
        <v>12314</v>
      </c>
      <c r="S76" s="37"/>
      <c r="T76" s="37"/>
      <c r="U76" s="37"/>
      <c r="V76" s="37"/>
      <c r="W76" s="37" t="s">
        <v>18</v>
      </c>
      <c r="X76" s="37"/>
      <c r="Y76" s="37"/>
      <c r="Z76" s="37" t="s">
        <v>26</v>
      </c>
      <c r="AA76" s="37">
        <v>26</v>
      </c>
      <c r="AB76" s="37">
        <v>11</v>
      </c>
      <c r="AC76" s="37">
        <v>1</v>
      </c>
      <c r="AD76" s="37" t="s">
        <v>607</v>
      </c>
      <c r="AE76" s="37">
        <v>1.1000000000000001</v>
      </c>
      <c r="AF76" s="37" t="s">
        <v>611</v>
      </c>
    </row>
    <row r="77" spans="1:32" customFormat="1" x14ac:dyDescent="0.2">
      <c r="A77" s="37"/>
      <c r="B77" s="37">
        <v>18</v>
      </c>
      <c r="C77" s="37" t="s">
        <v>26</v>
      </c>
      <c r="D77" s="37">
        <v>27</v>
      </c>
      <c r="E77" s="37">
        <v>9</v>
      </c>
      <c r="F77" s="37">
        <v>1</v>
      </c>
      <c r="G77" s="37">
        <v>7.1</v>
      </c>
      <c r="H77" s="37" t="s">
        <v>56</v>
      </c>
      <c r="I77" s="37" t="s">
        <v>23</v>
      </c>
      <c r="J77" s="37" t="s">
        <v>18</v>
      </c>
      <c r="K77" s="37">
        <v>239</v>
      </c>
      <c r="L77" s="37">
        <v>205</v>
      </c>
      <c r="M77" s="37">
        <v>0</v>
      </c>
      <c r="N77" s="37">
        <v>444</v>
      </c>
      <c r="O77" s="37">
        <v>256</v>
      </c>
      <c r="P77" s="37"/>
      <c r="Q77" s="37">
        <v>700</v>
      </c>
      <c r="R77" s="37">
        <v>8275</v>
      </c>
      <c r="S77" s="37"/>
      <c r="T77" s="37" t="s">
        <v>181</v>
      </c>
      <c r="U77" s="37" t="s">
        <v>248</v>
      </c>
      <c r="V77" s="37">
        <v>55</v>
      </c>
      <c r="W77" s="37" t="s">
        <v>18</v>
      </c>
      <c r="X77" s="37" t="s">
        <v>190</v>
      </c>
      <c r="Y77" s="37">
        <v>1633</v>
      </c>
      <c r="Z77" s="37" t="s">
        <v>26</v>
      </c>
      <c r="AA77" s="37">
        <v>27</v>
      </c>
      <c r="AB77" s="37">
        <v>9</v>
      </c>
      <c r="AC77" s="37">
        <v>1</v>
      </c>
      <c r="AD77" s="37" t="s">
        <v>612</v>
      </c>
      <c r="AE77" s="37">
        <v>1.1000000000000001</v>
      </c>
      <c r="AF77" s="37" t="s">
        <v>613</v>
      </c>
    </row>
    <row r="78" spans="1:32" customFormat="1" x14ac:dyDescent="0.2">
      <c r="A78" s="37"/>
      <c r="B78" s="37" t="s">
        <v>166</v>
      </c>
      <c r="C78" s="37"/>
      <c r="D78" s="37"/>
      <c r="E78" s="37"/>
      <c r="F78" s="37"/>
      <c r="G78" s="37"/>
      <c r="H78" s="37" t="s">
        <v>89</v>
      </c>
      <c r="I78" s="37"/>
      <c r="J78" s="37" t="s">
        <v>17</v>
      </c>
      <c r="K78" s="37">
        <v>94</v>
      </c>
      <c r="L78" s="37">
        <v>186</v>
      </c>
      <c r="M78" s="37">
        <v>10</v>
      </c>
      <c r="N78" s="37">
        <v>290</v>
      </c>
      <c r="O78" s="37">
        <v>176</v>
      </c>
      <c r="P78" s="37"/>
      <c r="Q78" s="37">
        <v>466</v>
      </c>
      <c r="R78" s="37">
        <v>26035</v>
      </c>
      <c r="S78" s="37"/>
      <c r="T78" s="37"/>
      <c r="U78" s="37"/>
      <c r="V78" s="37"/>
      <c r="W78" s="37" t="s">
        <v>18</v>
      </c>
      <c r="X78" s="37"/>
      <c r="Y78" s="37"/>
      <c r="Z78" s="37" t="s">
        <v>26</v>
      </c>
      <c r="AA78" s="37">
        <v>27</v>
      </c>
      <c r="AB78" s="37">
        <v>9</v>
      </c>
      <c r="AC78" s="37">
        <v>1</v>
      </c>
      <c r="AD78" s="37" t="s">
        <v>612</v>
      </c>
      <c r="AE78" s="37">
        <v>1.1000000000000001</v>
      </c>
      <c r="AF78" s="37" t="s">
        <v>614</v>
      </c>
    </row>
    <row r="79" spans="1:32" customFormat="1" x14ac:dyDescent="0.2">
      <c r="A79" s="37"/>
      <c r="B79" s="37" t="s">
        <v>166</v>
      </c>
      <c r="C79" s="37"/>
      <c r="D79" s="37"/>
      <c r="E79" s="37"/>
      <c r="F79" s="37"/>
      <c r="G79" s="37"/>
      <c r="H79" s="37">
        <v>55</v>
      </c>
      <c r="I79" s="37"/>
      <c r="J79" s="37" t="s">
        <v>19</v>
      </c>
      <c r="K79" s="37">
        <v>2</v>
      </c>
      <c r="L79" s="37">
        <v>21</v>
      </c>
      <c r="M79" s="37">
        <v>5</v>
      </c>
      <c r="N79" s="37">
        <v>28</v>
      </c>
      <c r="O79" s="37">
        <v>31</v>
      </c>
      <c r="P79" s="37"/>
      <c r="Q79" s="37">
        <v>59</v>
      </c>
      <c r="R79" s="37">
        <v>1255</v>
      </c>
      <c r="S79" s="37"/>
      <c r="T79" s="37"/>
      <c r="U79" s="37"/>
      <c r="V79" s="37"/>
      <c r="W79" s="37" t="s">
        <v>18</v>
      </c>
      <c r="X79" s="37"/>
      <c r="Y79" s="37"/>
      <c r="Z79" s="37" t="s">
        <v>26</v>
      </c>
      <c r="AA79" s="37">
        <v>27</v>
      </c>
      <c r="AB79" s="37">
        <v>9</v>
      </c>
      <c r="AC79" s="37">
        <v>1</v>
      </c>
      <c r="AD79" s="37" t="s">
        <v>612</v>
      </c>
      <c r="AE79" s="37">
        <v>1.1000000000000001</v>
      </c>
      <c r="AF79" s="37" t="s">
        <v>615</v>
      </c>
    </row>
    <row r="80" spans="1:32" customFormat="1" x14ac:dyDescent="0.2">
      <c r="A80" s="37"/>
      <c r="B80" s="37" t="s">
        <v>166</v>
      </c>
      <c r="C80" s="37"/>
      <c r="D80" s="37"/>
      <c r="E80" s="37"/>
      <c r="F80" s="37"/>
      <c r="G80" s="37"/>
      <c r="H80" s="37"/>
      <c r="I80" s="37"/>
      <c r="J80" s="37" t="s">
        <v>15</v>
      </c>
      <c r="K80" s="37">
        <v>335</v>
      </c>
      <c r="L80" s="37">
        <v>412</v>
      </c>
      <c r="M80" s="37">
        <v>15</v>
      </c>
      <c r="N80" s="37">
        <v>762</v>
      </c>
      <c r="O80" s="37">
        <v>463</v>
      </c>
      <c r="P80" s="37">
        <v>0</v>
      </c>
      <c r="Q80" s="37">
        <v>1225</v>
      </c>
      <c r="R80" s="37">
        <v>35565</v>
      </c>
      <c r="S80" s="37"/>
      <c r="T80" s="37"/>
      <c r="U80" s="37"/>
      <c r="V80" s="37"/>
      <c r="W80" s="37" t="s">
        <v>18</v>
      </c>
      <c r="X80" s="37"/>
      <c r="Y80" s="37"/>
      <c r="Z80" s="37" t="s">
        <v>26</v>
      </c>
      <c r="AA80" s="37">
        <v>27</v>
      </c>
      <c r="AB80" s="37">
        <v>9</v>
      </c>
      <c r="AC80" s="37">
        <v>1</v>
      </c>
      <c r="AD80" s="37" t="s">
        <v>612</v>
      </c>
      <c r="AE80" s="37">
        <v>1.1000000000000001</v>
      </c>
      <c r="AF80" s="37" t="s">
        <v>616</v>
      </c>
    </row>
    <row r="81" spans="1:32" customFormat="1" x14ac:dyDescent="0.2">
      <c r="A81" s="37"/>
      <c r="B81" s="37">
        <v>19</v>
      </c>
      <c r="C81" s="37" t="s">
        <v>26</v>
      </c>
      <c r="D81" s="37">
        <v>30</v>
      </c>
      <c r="E81" s="37">
        <v>9</v>
      </c>
      <c r="F81" s="37">
        <v>1</v>
      </c>
      <c r="G81" s="37">
        <v>8.9</v>
      </c>
      <c r="H81" s="37" t="s">
        <v>56</v>
      </c>
      <c r="I81" s="37" t="s">
        <v>23</v>
      </c>
      <c r="J81" s="37" t="s">
        <v>18</v>
      </c>
      <c r="K81" s="37">
        <v>495</v>
      </c>
      <c r="L81" s="37">
        <v>122</v>
      </c>
      <c r="M81" s="37">
        <v>0</v>
      </c>
      <c r="N81" s="37">
        <v>617</v>
      </c>
      <c r="O81" s="37">
        <v>344</v>
      </c>
      <c r="P81" s="37"/>
      <c r="Q81" s="37">
        <v>961</v>
      </c>
      <c r="R81" s="37">
        <v>12291</v>
      </c>
      <c r="S81" s="37"/>
      <c r="T81" s="37" t="s">
        <v>181</v>
      </c>
      <c r="U81" s="37" t="s">
        <v>273</v>
      </c>
      <c r="V81" s="37">
        <v>60</v>
      </c>
      <c r="W81" s="37" t="s">
        <v>18</v>
      </c>
      <c r="X81" s="37" t="s">
        <v>190</v>
      </c>
      <c r="Y81" s="37">
        <v>1958</v>
      </c>
      <c r="Z81" s="37" t="s">
        <v>26</v>
      </c>
      <c r="AA81" s="37">
        <v>30</v>
      </c>
      <c r="AB81" s="37">
        <v>9</v>
      </c>
      <c r="AC81" s="37">
        <v>1</v>
      </c>
      <c r="AD81" s="37" t="s">
        <v>617</v>
      </c>
      <c r="AE81" s="37">
        <v>2.2000000000000002</v>
      </c>
      <c r="AF81" s="37" t="s">
        <v>618</v>
      </c>
    </row>
    <row r="82" spans="1:32" customFormat="1" x14ac:dyDescent="0.2">
      <c r="A82" s="37"/>
      <c r="B82" s="37" t="s">
        <v>166</v>
      </c>
      <c r="C82" s="37"/>
      <c r="D82" s="37"/>
      <c r="E82" s="37"/>
      <c r="F82" s="37"/>
      <c r="G82" s="37"/>
      <c r="H82" s="37" t="s">
        <v>90</v>
      </c>
      <c r="I82" s="37"/>
      <c r="J82" s="37" t="s">
        <v>17</v>
      </c>
      <c r="K82" s="37">
        <v>12</v>
      </c>
      <c r="L82" s="37">
        <v>83</v>
      </c>
      <c r="M82" s="37">
        <v>8</v>
      </c>
      <c r="N82" s="37">
        <v>103</v>
      </c>
      <c r="O82" s="37">
        <v>64</v>
      </c>
      <c r="P82" s="37"/>
      <c r="Q82" s="37">
        <v>167</v>
      </c>
      <c r="R82" s="37">
        <v>8432</v>
      </c>
      <c r="S82" s="37"/>
      <c r="T82" s="37"/>
      <c r="U82" s="37"/>
      <c r="V82" s="37"/>
      <c r="W82" s="37" t="s">
        <v>18</v>
      </c>
      <c r="X82" s="37"/>
      <c r="Y82" s="37"/>
      <c r="Z82" s="37" t="s">
        <v>26</v>
      </c>
      <c r="AA82" s="37">
        <v>30</v>
      </c>
      <c r="AB82" s="37">
        <v>9</v>
      </c>
      <c r="AC82" s="37">
        <v>1</v>
      </c>
      <c r="AD82" s="37" t="s">
        <v>617</v>
      </c>
      <c r="AE82" s="37">
        <v>2.2000000000000002</v>
      </c>
      <c r="AF82" s="37" t="s">
        <v>619</v>
      </c>
    </row>
    <row r="83" spans="1:32" customFormat="1" x14ac:dyDescent="0.2">
      <c r="A83" s="37"/>
      <c r="B83" s="37" t="s">
        <v>166</v>
      </c>
      <c r="C83" s="37"/>
      <c r="D83" s="37"/>
      <c r="E83" s="37"/>
      <c r="F83" s="37"/>
      <c r="G83" s="37"/>
      <c r="H83" s="37">
        <v>60</v>
      </c>
      <c r="I83" s="37"/>
      <c r="J83" s="37" t="s">
        <v>19</v>
      </c>
      <c r="K83" s="37">
        <v>11</v>
      </c>
      <c r="L83" s="37">
        <v>131</v>
      </c>
      <c r="M83" s="37">
        <v>18</v>
      </c>
      <c r="N83" s="37">
        <v>160</v>
      </c>
      <c r="O83" s="37">
        <v>161</v>
      </c>
      <c r="P83" s="37"/>
      <c r="Q83" s="37">
        <v>321</v>
      </c>
      <c r="R83" s="37">
        <v>7493</v>
      </c>
      <c r="S83" s="37"/>
      <c r="T83" s="37"/>
      <c r="U83" s="37"/>
      <c r="V83" s="37"/>
      <c r="W83" s="37" t="s">
        <v>18</v>
      </c>
      <c r="X83" s="37"/>
      <c r="Y83" s="37"/>
      <c r="Z83" s="37" t="s">
        <v>26</v>
      </c>
      <c r="AA83" s="37">
        <v>30</v>
      </c>
      <c r="AB83" s="37">
        <v>9</v>
      </c>
      <c r="AC83" s="37">
        <v>1</v>
      </c>
      <c r="AD83" s="37" t="s">
        <v>617</v>
      </c>
      <c r="AE83" s="37">
        <v>2.2000000000000002</v>
      </c>
      <c r="AF83" s="37" t="s">
        <v>620</v>
      </c>
    </row>
    <row r="84" spans="1:32" customFormat="1" x14ac:dyDescent="0.2">
      <c r="A84" s="37"/>
      <c r="B84" s="37" t="s">
        <v>166</v>
      </c>
      <c r="C84" s="37"/>
      <c r="D84" s="37"/>
      <c r="E84" s="37"/>
      <c r="F84" s="37"/>
      <c r="G84" s="37"/>
      <c r="H84" s="37"/>
      <c r="I84" s="37"/>
      <c r="J84" s="37" t="s">
        <v>15</v>
      </c>
      <c r="K84" s="37">
        <v>518</v>
      </c>
      <c r="L84" s="37">
        <v>336</v>
      </c>
      <c r="M84" s="37">
        <v>26</v>
      </c>
      <c r="N84" s="37">
        <v>880</v>
      </c>
      <c r="O84" s="37">
        <v>569</v>
      </c>
      <c r="P84" s="37">
        <v>0</v>
      </c>
      <c r="Q84" s="37">
        <v>1449</v>
      </c>
      <c r="R84" s="37">
        <v>28216</v>
      </c>
      <c r="S84" s="37"/>
      <c r="T84" s="37"/>
      <c r="U84" s="37"/>
      <c r="V84" s="37"/>
      <c r="W84" s="37" t="s">
        <v>18</v>
      </c>
      <c r="X84" s="37"/>
      <c r="Y84" s="37"/>
      <c r="Z84" s="37" t="s">
        <v>26</v>
      </c>
      <c r="AA84" s="37">
        <v>30</v>
      </c>
      <c r="AB84" s="37">
        <v>9</v>
      </c>
      <c r="AC84" s="37">
        <v>1</v>
      </c>
      <c r="AD84" s="37" t="s">
        <v>617</v>
      </c>
      <c r="AE84" s="37">
        <v>2.2000000000000002</v>
      </c>
      <c r="AF84" s="37" t="s">
        <v>621</v>
      </c>
    </row>
    <row r="85" spans="1:32" customFormat="1" x14ac:dyDescent="0.2">
      <c r="A85" s="37"/>
      <c r="B85" s="37">
        <v>20</v>
      </c>
      <c r="C85" s="37" t="s">
        <v>26</v>
      </c>
      <c r="D85" s="37">
        <v>30</v>
      </c>
      <c r="E85" s="37">
        <v>11</v>
      </c>
      <c r="F85" s="37">
        <v>1</v>
      </c>
      <c r="G85" s="37">
        <v>8.1</v>
      </c>
      <c r="H85" s="37" t="s">
        <v>56</v>
      </c>
      <c r="I85" s="37" t="s">
        <v>23</v>
      </c>
      <c r="J85" s="37" t="s">
        <v>18</v>
      </c>
      <c r="K85" s="37">
        <v>478</v>
      </c>
      <c r="L85" s="37">
        <v>133</v>
      </c>
      <c r="M85" s="37">
        <v>0</v>
      </c>
      <c r="N85" s="37">
        <v>611</v>
      </c>
      <c r="O85" s="37">
        <v>345</v>
      </c>
      <c r="P85" s="37"/>
      <c r="Q85" s="37">
        <v>956</v>
      </c>
      <c r="R85" s="37">
        <v>12114</v>
      </c>
      <c r="S85" s="37"/>
      <c r="T85" s="37" t="s">
        <v>181</v>
      </c>
      <c r="U85" s="37" t="s">
        <v>213</v>
      </c>
      <c r="V85" s="37">
        <v>55</v>
      </c>
      <c r="W85" s="37" t="s">
        <v>18</v>
      </c>
      <c r="X85" s="37" t="s">
        <v>190</v>
      </c>
      <c r="Y85" s="37">
        <v>1620</v>
      </c>
      <c r="Z85" s="37" t="s">
        <v>26</v>
      </c>
      <c r="AA85" s="37">
        <v>30</v>
      </c>
      <c r="AB85" s="37">
        <v>11</v>
      </c>
      <c r="AC85" s="37">
        <v>1</v>
      </c>
      <c r="AD85" s="37" t="s">
        <v>622</v>
      </c>
      <c r="AE85" s="37">
        <v>2.2000000000000002</v>
      </c>
      <c r="AF85" s="37" t="s">
        <v>623</v>
      </c>
    </row>
    <row r="86" spans="1:32" customFormat="1" x14ac:dyDescent="0.2">
      <c r="A86" s="37"/>
      <c r="B86" s="37" t="s">
        <v>166</v>
      </c>
      <c r="C86" s="37"/>
      <c r="D86" s="37"/>
      <c r="E86" s="37"/>
      <c r="F86" s="37"/>
      <c r="G86" s="37"/>
      <c r="H86" s="37" t="s">
        <v>60</v>
      </c>
      <c r="I86" s="37"/>
      <c r="J86" s="37" t="s">
        <v>17</v>
      </c>
      <c r="K86" s="37">
        <v>11</v>
      </c>
      <c r="L86" s="37">
        <v>53</v>
      </c>
      <c r="M86" s="37">
        <v>9</v>
      </c>
      <c r="N86" s="37">
        <v>73</v>
      </c>
      <c r="O86" s="37">
        <v>40</v>
      </c>
      <c r="P86" s="37"/>
      <c r="Q86" s="37">
        <v>113</v>
      </c>
      <c r="R86" s="37">
        <v>5884</v>
      </c>
      <c r="S86" s="37"/>
      <c r="T86" s="37"/>
      <c r="U86" s="37"/>
      <c r="V86" s="37"/>
      <c r="W86" s="37" t="s">
        <v>18</v>
      </c>
      <c r="X86" s="37"/>
      <c r="Y86" s="37"/>
      <c r="Z86" s="37" t="s">
        <v>26</v>
      </c>
      <c r="AA86" s="37">
        <v>30</v>
      </c>
      <c r="AB86" s="37">
        <v>11</v>
      </c>
      <c r="AC86" s="37">
        <v>1</v>
      </c>
      <c r="AD86" s="37" t="s">
        <v>622</v>
      </c>
      <c r="AE86" s="37">
        <v>2.2000000000000002</v>
      </c>
      <c r="AF86" s="37" t="s">
        <v>624</v>
      </c>
    </row>
    <row r="87" spans="1:32" customFormat="1" x14ac:dyDescent="0.2">
      <c r="A87" s="37"/>
      <c r="B87" s="37" t="s">
        <v>166</v>
      </c>
      <c r="C87" s="37"/>
      <c r="D87" s="37"/>
      <c r="E87" s="37"/>
      <c r="F87" s="37"/>
      <c r="G87" s="37"/>
      <c r="H87" s="37">
        <v>55</v>
      </c>
      <c r="I87" s="37"/>
      <c r="J87" s="37" t="s">
        <v>19</v>
      </c>
      <c r="K87" s="37">
        <v>5</v>
      </c>
      <c r="L87" s="37">
        <v>46</v>
      </c>
      <c r="M87" s="37">
        <v>9</v>
      </c>
      <c r="N87" s="37">
        <v>60</v>
      </c>
      <c r="O87" s="37">
        <v>69</v>
      </c>
      <c r="P87" s="37"/>
      <c r="Q87" s="37">
        <v>129</v>
      </c>
      <c r="R87" s="37">
        <v>2779</v>
      </c>
      <c r="S87" s="37"/>
      <c r="T87" s="37"/>
      <c r="U87" s="37"/>
      <c r="V87" s="37"/>
      <c r="W87" s="37" t="s">
        <v>18</v>
      </c>
      <c r="X87" s="37"/>
      <c r="Y87" s="37"/>
      <c r="Z87" s="37" t="s">
        <v>26</v>
      </c>
      <c r="AA87" s="37">
        <v>30</v>
      </c>
      <c r="AB87" s="37">
        <v>11</v>
      </c>
      <c r="AC87" s="37">
        <v>1</v>
      </c>
      <c r="AD87" s="37" t="s">
        <v>622</v>
      </c>
      <c r="AE87" s="37">
        <v>2.2000000000000002</v>
      </c>
      <c r="AF87" s="37" t="s">
        <v>625</v>
      </c>
    </row>
    <row r="88" spans="1:32" customFormat="1" x14ac:dyDescent="0.2">
      <c r="A88" s="37"/>
      <c r="B88" s="37" t="s">
        <v>166</v>
      </c>
      <c r="C88" s="37"/>
      <c r="D88" s="37"/>
      <c r="E88" s="37"/>
      <c r="F88" s="37"/>
      <c r="G88" s="37"/>
      <c r="H88" s="37"/>
      <c r="I88" s="37"/>
      <c r="J88" s="37" t="s">
        <v>15</v>
      </c>
      <c r="K88" s="37">
        <v>494</v>
      </c>
      <c r="L88" s="37">
        <v>232</v>
      </c>
      <c r="M88" s="37">
        <v>18</v>
      </c>
      <c r="N88" s="37">
        <v>744</v>
      </c>
      <c r="O88" s="37">
        <v>454</v>
      </c>
      <c r="P88" s="37">
        <v>0</v>
      </c>
      <c r="Q88" s="37">
        <v>1198</v>
      </c>
      <c r="R88" s="37">
        <v>20777</v>
      </c>
      <c r="S88" s="37"/>
      <c r="T88" s="37"/>
      <c r="U88" s="37"/>
      <c r="V88" s="37"/>
      <c r="W88" s="37" t="s">
        <v>18</v>
      </c>
      <c r="X88" s="37"/>
      <c r="Y88" s="37"/>
      <c r="Z88" s="37" t="s">
        <v>26</v>
      </c>
      <c r="AA88" s="37">
        <v>30</v>
      </c>
      <c r="AB88" s="37">
        <v>11</v>
      </c>
      <c r="AC88" s="37">
        <v>1</v>
      </c>
      <c r="AD88" s="37" t="s">
        <v>622</v>
      </c>
      <c r="AE88" s="37">
        <v>2.2000000000000002</v>
      </c>
      <c r="AF88" s="37" t="s">
        <v>626</v>
      </c>
    </row>
    <row r="89" spans="1:32" customFormat="1" x14ac:dyDescent="0.2">
      <c r="A89" s="37"/>
      <c r="B89" s="37">
        <v>21</v>
      </c>
      <c r="C89" s="37" t="s">
        <v>26</v>
      </c>
      <c r="D89" s="37">
        <v>30</v>
      </c>
      <c r="E89" s="37">
        <v>14</v>
      </c>
      <c r="F89" s="37">
        <v>1</v>
      </c>
      <c r="G89" s="37">
        <v>6.1</v>
      </c>
      <c r="H89" s="37" t="s">
        <v>56</v>
      </c>
      <c r="I89" s="37" t="s">
        <v>23</v>
      </c>
      <c r="J89" s="37" t="s">
        <v>18</v>
      </c>
      <c r="K89" s="37">
        <v>389</v>
      </c>
      <c r="L89" s="37">
        <v>193</v>
      </c>
      <c r="M89" s="37">
        <v>0</v>
      </c>
      <c r="N89" s="37">
        <v>582</v>
      </c>
      <c r="O89" s="37">
        <v>316</v>
      </c>
      <c r="P89" s="37"/>
      <c r="Q89" s="37">
        <v>898</v>
      </c>
      <c r="R89" s="37">
        <v>11200</v>
      </c>
      <c r="S89" s="37"/>
      <c r="T89" s="37" t="s">
        <v>181</v>
      </c>
      <c r="U89" s="37" t="s">
        <v>203</v>
      </c>
      <c r="V89" s="37">
        <v>60</v>
      </c>
      <c r="W89" s="37" t="s">
        <v>18</v>
      </c>
      <c r="X89" s="37" t="s">
        <v>190</v>
      </c>
      <c r="Y89" s="37">
        <v>1464</v>
      </c>
      <c r="Z89" s="37" t="s">
        <v>26</v>
      </c>
      <c r="AA89" s="37">
        <v>30</v>
      </c>
      <c r="AB89" s="37">
        <v>14</v>
      </c>
      <c r="AC89" s="37">
        <v>1</v>
      </c>
      <c r="AD89" s="37" t="s">
        <v>627</v>
      </c>
      <c r="AE89" s="37">
        <v>2.2000000000000002</v>
      </c>
      <c r="AF89" s="37" t="s">
        <v>628</v>
      </c>
    </row>
    <row r="90" spans="1:32" customFormat="1" x14ac:dyDescent="0.2">
      <c r="A90" s="37"/>
      <c r="B90" s="37" t="s">
        <v>166</v>
      </c>
      <c r="C90" s="37"/>
      <c r="D90" s="37"/>
      <c r="E90" s="37"/>
      <c r="F90" s="37"/>
      <c r="G90" s="37"/>
      <c r="H90" s="37" t="s">
        <v>54</v>
      </c>
      <c r="I90" s="37"/>
      <c r="J90" s="37" t="s">
        <v>19</v>
      </c>
      <c r="K90" s="37">
        <v>15</v>
      </c>
      <c r="L90" s="37">
        <v>62</v>
      </c>
      <c r="M90" s="37">
        <v>9</v>
      </c>
      <c r="N90" s="37">
        <v>86</v>
      </c>
      <c r="O90" s="37">
        <v>114</v>
      </c>
      <c r="P90" s="37"/>
      <c r="Q90" s="37">
        <v>200</v>
      </c>
      <c r="R90" s="37">
        <v>4207</v>
      </c>
      <c r="S90" s="37"/>
      <c r="T90" s="37"/>
      <c r="U90" s="37"/>
      <c r="V90" s="37"/>
      <c r="W90" s="37" t="s">
        <v>18</v>
      </c>
      <c r="X90" s="37"/>
      <c r="Y90" s="37"/>
      <c r="Z90" s="37" t="s">
        <v>26</v>
      </c>
      <c r="AA90" s="37">
        <v>30</v>
      </c>
      <c r="AB90" s="37">
        <v>14</v>
      </c>
      <c r="AC90" s="37">
        <v>1</v>
      </c>
      <c r="AD90" s="37" t="s">
        <v>627</v>
      </c>
      <c r="AE90" s="37">
        <v>2.2000000000000002</v>
      </c>
      <c r="AF90" s="37" t="s">
        <v>629</v>
      </c>
    </row>
    <row r="91" spans="1:32" customFormat="1" x14ac:dyDescent="0.2">
      <c r="A91" s="37"/>
      <c r="B91" s="37" t="s">
        <v>166</v>
      </c>
      <c r="C91" s="37"/>
      <c r="D91" s="37"/>
      <c r="E91" s="37"/>
      <c r="F91" s="37"/>
      <c r="G91" s="37"/>
      <c r="H91" s="37">
        <v>60</v>
      </c>
      <c r="I91" s="37"/>
      <c r="J91" s="37" t="s">
        <v>15</v>
      </c>
      <c r="K91" s="37">
        <v>404</v>
      </c>
      <c r="L91" s="37">
        <v>255</v>
      </c>
      <c r="M91" s="37">
        <v>9</v>
      </c>
      <c r="N91" s="37">
        <v>668</v>
      </c>
      <c r="O91" s="37">
        <v>430</v>
      </c>
      <c r="P91" s="37">
        <v>0</v>
      </c>
      <c r="Q91" s="37">
        <v>1098</v>
      </c>
      <c r="R91" s="37">
        <v>15407</v>
      </c>
      <c r="S91" s="37"/>
      <c r="T91" s="37"/>
      <c r="U91" s="37"/>
      <c r="V91" s="37"/>
      <c r="W91" s="37" t="s">
        <v>18</v>
      </c>
      <c r="X91" s="37"/>
      <c r="Y91" s="37"/>
      <c r="Z91" s="37" t="s">
        <v>26</v>
      </c>
      <c r="AA91" s="37">
        <v>30</v>
      </c>
      <c r="AB91" s="37">
        <v>14</v>
      </c>
      <c r="AC91" s="37">
        <v>1</v>
      </c>
      <c r="AD91" s="37" t="s">
        <v>627</v>
      </c>
      <c r="AE91" s="37">
        <v>2.2000000000000002</v>
      </c>
      <c r="AF91" s="37" t="s">
        <v>630</v>
      </c>
    </row>
    <row r="92" spans="1:32" customFormat="1" x14ac:dyDescent="0.2">
      <c r="A92" s="37"/>
      <c r="B92" s="37">
        <v>22</v>
      </c>
      <c r="C92" s="37" t="s">
        <v>26</v>
      </c>
      <c r="D92" s="37">
        <v>37</v>
      </c>
      <c r="E92" s="37">
        <v>14</v>
      </c>
      <c r="F92" s="37">
        <v>1</v>
      </c>
      <c r="G92" s="37">
        <v>6.2</v>
      </c>
      <c r="H92" s="37" t="s">
        <v>56</v>
      </c>
      <c r="I92" s="37" t="s">
        <v>23</v>
      </c>
      <c r="J92" s="37" t="s">
        <v>18</v>
      </c>
      <c r="K92" s="37">
        <v>343</v>
      </c>
      <c r="L92" s="37">
        <v>178</v>
      </c>
      <c r="M92" s="37">
        <v>0</v>
      </c>
      <c r="N92" s="37">
        <v>521</v>
      </c>
      <c r="O92" s="37">
        <v>361</v>
      </c>
      <c r="P92" s="37"/>
      <c r="Q92" s="37">
        <v>882</v>
      </c>
      <c r="R92" s="37">
        <v>10051</v>
      </c>
      <c r="S92" s="37"/>
      <c r="T92" s="37" t="s">
        <v>181</v>
      </c>
      <c r="U92" s="37" t="s">
        <v>195</v>
      </c>
      <c r="V92" s="37">
        <v>55</v>
      </c>
      <c r="W92" s="37" t="s">
        <v>18</v>
      </c>
      <c r="X92" s="37" t="s">
        <v>190</v>
      </c>
      <c r="Y92" s="37">
        <v>1488</v>
      </c>
      <c r="Z92" s="37" t="s">
        <v>26</v>
      </c>
      <c r="AA92" s="37">
        <v>37</v>
      </c>
      <c r="AB92" s="37">
        <v>14</v>
      </c>
      <c r="AC92" s="37">
        <v>1</v>
      </c>
      <c r="AD92" s="37" t="s">
        <v>631</v>
      </c>
      <c r="AE92" s="37">
        <v>1</v>
      </c>
      <c r="AF92" s="37" t="s">
        <v>632</v>
      </c>
    </row>
    <row r="93" spans="1:32" customFormat="1" x14ac:dyDescent="0.2">
      <c r="A93" s="37"/>
      <c r="B93" s="37" t="s">
        <v>166</v>
      </c>
      <c r="C93" s="37"/>
      <c r="D93" s="37"/>
      <c r="E93" s="37"/>
      <c r="F93" s="37"/>
      <c r="G93" s="37"/>
      <c r="H93" s="37" t="s">
        <v>36</v>
      </c>
      <c r="I93" s="37"/>
      <c r="J93" s="37" t="s">
        <v>17</v>
      </c>
      <c r="K93" s="37">
        <v>78</v>
      </c>
      <c r="L93" s="37">
        <v>69</v>
      </c>
      <c r="M93" s="37">
        <v>0</v>
      </c>
      <c r="N93" s="37">
        <v>147</v>
      </c>
      <c r="O93" s="37">
        <v>102</v>
      </c>
      <c r="P93" s="37"/>
      <c r="Q93" s="37">
        <v>249</v>
      </c>
      <c r="R93" s="37">
        <v>14432</v>
      </c>
      <c r="S93" s="37"/>
      <c r="T93" s="37"/>
      <c r="U93" s="37"/>
      <c r="V93" s="37"/>
      <c r="W93" s="37" t="s">
        <v>18</v>
      </c>
      <c r="X93" s="37"/>
      <c r="Y93" s="37"/>
      <c r="Z93" s="37" t="s">
        <v>26</v>
      </c>
      <c r="AA93" s="37">
        <v>37</v>
      </c>
      <c r="AB93" s="37">
        <v>14</v>
      </c>
      <c r="AC93" s="37">
        <v>1</v>
      </c>
      <c r="AD93" s="37" t="s">
        <v>631</v>
      </c>
      <c r="AE93" s="37">
        <v>1</v>
      </c>
      <c r="AF93" s="37" t="s">
        <v>633</v>
      </c>
    </row>
    <row r="94" spans="1:32" customFormat="1" x14ac:dyDescent="0.2">
      <c r="A94" s="37"/>
      <c r="B94" s="37" t="s">
        <v>166</v>
      </c>
      <c r="C94" s="37"/>
      <c r="D94" s="37"/>
      <c r="E94" s="37"/>
      <c r="F94" s="37"/>
      <c r="G94" s="37"/>
      <c r="H94" s="37">
        <v>55</v>
      </c>
      <c r="I94" s="37"/>
      <c r="J94" s="37" t="s">
        <v>15</v>
      </c>
      <c r="K94" s="37">
        <v>421</v>
      </c>
      <c r="L94" s="37">
        <v>247</v>
      </c>
      <c r="M94" s="37">
        <v>0</v>
      </c>
      <c r="N94" s="37">
        <v>668</v>
      </c>
      <c r="O94" s="37">
        <v>463</v>
      </c>
      <c r="P94" s="37">
        <v>0</v>
      </c>
      <c r="Q94" s="37">
        <v>1131</v>
      </c>
      <c r="R94" s="37">
        <v>24483</v>
      </c>
      <c r="S94" s="37"/>
      <c r="T94" s="37"/>
      <c r="U94" s="37"/>
      <c r="V94" s="37"/>
      <c r="W94" s="37" t="s">
        <v>18</v>
      </c>
      <c r="X94" s="37"/>
      <c r="Y94" s="37"/>
      <c r="Z94" s="37" t="s">
        <v>26</v>
      </c>
      <c r="AA94" s="37">
        <v>37</v>
      </c>
      <c r="AB94" s="37">
        <v>14</v>
      </c>
      <c r="AC94" s="37">
        <v>1</v>
      </c>
      <c r="AD94" s="37" t="s">
        <v>631</v>
      </c>
      <c r="AE94" s="37">
        <v>1</v>
      </c>
      <c r="AF94" s="37" t="s">
        <v>634</v>
      </c>
    </row>
    <row r="95" spans="1:32" customFormat="1" x14ac:dyDescent="0.2">
      <c r="A95" s="37"/>
      <c r="B95" s="37">
        <v>23</v>
      </c>
      <c r="C95" s="37" t="s">
        <v>26</v>
      </c>
      <c r="D95" s="37">
        <v>40</v>
      </c>
      <c r="E95" s="37">
        <v>3</v>
      </c>
      <c r="F95" s="37">
        <v>1</v>
      </c>
      <c r="G95" s="37">
        <v>2</v>
      </c>
      <c r="H95" s="37" t="s">
        <v>56</v>
      </c>
      <c r="I95" s="37" t="s">
        <v>23</v>
      </c>
      <c r="J95" s="37" t="s">
        <v>18</v>
      </c>
      <c r="K95" s="37">
        <v>37</v>
      </c>
      <c r="L95" s="37">
        <v>26</v>
      </c>
      <c r="M95" s="37">
        <v>0</v>
      </c>
      <c r="N95" s="37">
        <v>63</v>
      </c>
      <c r="O95" s="37">
        <v>49</v>
      </c>
      <c r="P95" s="37"/>
      <c r="Q95" s="37">
        <v>112</v>
      </c>
      <c r="R95" s="37">
        <v>1203</v>
      </c>
      <c r="S95" s="37"/>
      <c r="T95" s="37" t="s">
        <v>181</v>
      </c>
      <c r="U95" s="37" t="s">
        <v>249</v>
      </c>
      <c r="V95" s="37">
        <v>65</v>
      </c>
      <c r="W95" s="37" t="s">
        <v>17</v>
      </c>
      <c r="X95" s="37" t="s">
        <v>190</v>
      </c>
      <c r="Y95" s="37">
        <v>420</v>
      </c>
      <c r="Z95" s="37" t="s">
        <v>26</v>
      </c>
      <c r="AA95" s="37">
        <v>40</v>
      </c>
      <c r="AB95" s="37">
        <v>3</v>
      </c>
      <c r="AC95" s="37">
        <v>1</v>
      </c>
      <c r="AD95" s="37" t="s">
        <v>635</v>
      </c>
      <c r="AE95" s="37">
        <v>0.5</v>
      </c>
      <c r="AF95" s="37" t="s">
        <v>636</v>
      </c>
    </row>
    <row r="96" spans="1:32" customFormat="1" x14ac:dyDescent="0.2">
      <c r="A96" s="37"/>
      <c r="B96" s="37" t="s">
        <v>166</v>
      </c>
      <c r="C96" s="37"/>
      <c r="D96" s="37"/>
      <c r="E96" s="37"/>
      <c r="F96" s="37"/>
      <c r="G96" s="37"/>
      <c r="H96" s="37" t="s">
        <v>84</v>
      </c>
      <c r="I96" s="37"/>
      <c r="J96" s="37" t="s">
        <v>17</v>
      </c>
      <c r="K96" s="37">
        <v>67</v>
      </c>
      <c r="L96" s="37">
        <v>52</v>
      </c>
      <c r="M96" s="37">
        <v>7</v>
      </c>
      <c r="N96" s="37">
        <v>126</v>
      </c>
      <c r="O96" s="37">
        <v>90</v>
      </c>
      <c r="P96" s="37"/>
      <c r="Q96" s="37">
        <v>216</v>
      </c>
      <c r="R96" s="37">
        <v>12111</v>
      </c>
      <c r="S96" s="37"/>
      <c r="T96" s="37"/>
      <c r="U96" s="37"/>
      <c r="V96" s="37"/>
      <c r="W96" s="37" t="s">
        <v>17</v>
      </c>
      <c r="X96" s="37"/>
      <c r="Y96" s="37"/>
      <c r="Z96" s="37" t="s">
        <v>26</v>
      </c>
      <c r="AA96" s="37">
        <v>40</v>
      </c>
      <c r="AB96" s="37">
        <v>3</v>
      </c>
      <c r="AC96" s="37">
        <v>1</v>
      </c>
      <c r="AD96" s="37" t="s">
        <v>635</v>
      </c>
      <c r="AE96" s="37">
        <v>0.5</v>
      </c>
      <c r="AF96" s="37" t="s">
        <v>637</v>
      </c>
    </row>
    <row r="97" spans="1:32" customFormat="1" x14ac:dyDescent="0.2">
      <c r="A97" s="37"/>
      <c r="B97" s="37" t="s">
        <v>166</v>
      </c>
      <c r="C97" s="37"/>
      <c r="D97" s="37"/>
      <c r="E97" s="37"/>
      <c r="F97" s="37"/>
      <c r="G97" s="37"/>
      <c r="H97" s="37">
        <v>65</v>
      </c>
      <c r="I97" s="37"/>
      <c r="J97" s="37" t="s">
        <v>15</v>
      </c>
      <c r="K97" s="37">
        <v>104</v>
      </c>
      <c r="L97" s="37">
        <v>78</v>
      </c>
      <c r="M97" s="37">
        <v>7</v>
      </c>
      <c r="N97" s="37">
        <v>189</v>
      </c>
      <c r="O97" s="37">
        <v>139</v>
      </c>
      <c r="P97" s="37">
        <v>0</v>
      </c>
      <c r="Q97" s="37">
        <v>328</v>
      </c>
      <c r="R97" s="37">
        <v>13314</v>
      </c>
      <c r="S97" s="37"/>
      <c r="T97" s="37"/>
      <c r="U97" s="37"/>
      <c r="V97" s="37"/>
      <c r="W97" s="37" t="s">
        <v>17</v>
      </c>
      <c r="X97" s="37"/>
      <c r="Y97" s="37"/>
      <c r="Z97" s="37" t="s">
        <v>26</v>
      </c>
      <c r="AA97" s="37">
        <v>40</v>
      </c>
      <c r="AB97" s="37">
        <v>3</v>
      </c>
      <c r="AC97" s="37">
        <v>1</v>
      </c>
      <c r="AD97" s="37" t="s">
        <v>635</v>
      </c>
      <c r="AE97" s="37">
        <v>0.5</v>
      </c>
      <c r="AF97" s="37" t="s">
        <v>638</v>
      </c>
    </row>
    <row r="98" spans="1:32" customFormat="1" x14ac:dyDescent="0.2">
      <c r="A98" s="37"/>
      <c r="B98" s="37">
        <v>24</v>
      </c>
      <c r="C98" s="37" t="s">
        <v>26</v>
      </c>
      <c r="D98" s="37">
        <v>43</v>
      </c>
      <c r="E98" s="37">
        <v>14</v>
      </c>
      <c r="F98" s="37">
        <v>1</v>
      </c>
      <c r="G98" s="37">
        <v>9.1</v>
      </c>
      <c r="H98" s="37" t="s">
        <v>56</v>
      </c>
      <c r="I98" s="37" t="s">
        <v>23</v>
      </c>
      <c r="J98" s="37" t="s">
        <v>18</v>
      </c>
      <c r="K98" s="37">
        <v>293</v>
      </c>
      <c r="L98" s="37">
        <v>145</v>
      </c>
      <c r="M98" s="37">
        <v>0</v>
      </c>
      <c r="N98" s="37">
        <v>438</v>
      </c>
      <c r="O98" s="37">
        <v>262</v>
      </c>
      <c r="P98" s="37"/>
      <c r="Q98" s="37">
        <v>700</v>
      </c>
      <c r="R98" s="37">
        <v>8450</v>
      </c>
      <c r="S98" s="37"/>
      <c r="T98" s="37" t="s">
        <v>181</v>
      </c>
      <c r="U98" s="37" t="s">
        <v>284</v>
      </c>
      <c r="V98" s="37">
        <v>70</v>
      </c>
      <c r="W98" s="37" t="s">
        <v>18</v>
      </c>
      <c r="X98" s="37" t="s">
        <v>190</v>
      </c>
      <c r="Y98" s="37">
        <v>1911</v>
      </c>
      <c r="Z98" s="37" t="s">
        <v>26</v>
      </c>
      <c r="AA98" s="37">
        <v>43</v>
      </c>
      <c r="AB98" s="37">
        <v>14</v>
      </c>
      <c r="AC98" s="37">
        <v>1</v>
      </c>
      <c r="AD98" s="37" t="s">
        <v>639</v>
      </c>
      <c r="AE98" s="37">
        <v>1.4</v>
      </c>
      <c r="AF98" s="37" t="s">
        <v>640</v>
      </c>
    </row>
    <row r="99" spans="1:32" customFormat="1" x14ac:dyDescent="0.2">
      <c r="A99" s="37"/>
      <c r="B99" s="37" t="s">
        <v>166</v>
      </c>
      <c r="C99" s="37"/>
      <c r="D99" s="37"/>
      <c r="E99" s="37"/>
      <c r="F99" s="37"/>
      <c r="G99" s="37"/>
      <c r="H99" s="37" t="s">
        <v>91</v>
      </c>
      <c r="I99" s="37"/>
      <c r="J99" s="37" t="s">
        <v>17</v>
      </c>
      <c r="K99" s="37">
        <v>87</v>
      </c>
      <c r="L99" s="37">
        <v>112</v>
      </c>
      <c r="M99" s="37">
        <v>0</v>
      </c>
      <c r="N99" s="37">
        <v>199</v>
      </c>
      <c r="O99" s="37">
        <v>161</v>
      </c>
      <c r="P99" s="37"/>
      <c r="Q99" s="37">
        <v>360</v>
      </c>
      <c r="R99" s="37">
        <v>19036</v>
      </c>
      <c r="S99" s="37"/>
      <c r="T99" s="37"/>
      <c r="U99" s="37"/>
      <c r="V99" s="37"/>
      <c r="W99" s="37" t="s">
        <v>18</v>
      </c>
      <c r="X99" s="37"/>
      <c r="Y99" s="37"/>
      <c r="Z99" s="37" t="s">
        <v>26</v>
      </c>
      <c r="AA99" s="37">
        <v>43</v>
      </c>
      <c r="AB99" s="37">
        <v>14</v>
      </c>
      <c r="AC99" s="37">
        <v>1</v>
      </c>
      <c r="AD99" s="37" t="s">
        <v>639</v>
      </c>
      <c r="AE99" s="37">
        <v>1.4</v>
      </c>
      <c r="AF99" s="37" t="s">
        <v>641</v>
      </c>
    </row>
    <row r="100" spans="1:32" customFormat="1" x14ac:dyDescent="0.2">
      <c r="A100" s="37"/>
      <c r="B100" s="37" t="s">
        <v>166</v>
      </c>
      <c r="C100" s="37"/>
      <c r="D100" s="37"/>
      <c r="E100" s="37"/>
      <c r="F100" s="37"/>
      <c r="G100" s="37"/>
      <c r="H100" s="37">
        <v>70</v>
      </c>
      <c r="I100" s="37"/>
      <c r="J100" s="37" t="s">
        <v>19</v>
      </c>
      <c r="K100" s="37">
        <v>24</v>
      </c>
      <c r="L100" s="37">
        <v>109</v>
      </c>
      <c r="M100" s="37">
        <v>14</v>
      </c>
      <c r="N100" s="37">
        <v>147</v>
      </c>
      <c r="O100" s="37">
        <v>162</v>
      </c>
      <c r="P100" s="37"/>
      <c r="Q100" s="37">
        <v>309</v>
      </c>
      <c r="R100" s="37">
        <v>7224</v>
      </c>
      <c r="S100" s="37"/>
      <c r="T100" s="37"/>
      <c r="U100" s="37"/>
      <c r="V100" s="37"/>
      <c r="W100" s="37" t="s">
        <v>18</v>
      </c>
      <c r="X100" s="37"/>
      <c r="Y100" s="37"/>
      <c r="Z100" s="37" t="s">
        <v>26</v>
      </c>
      <c r="AA100" s="37">
        <v>43</v>
      </c>
      <c r="AB100" s="37">
        <v>14</v>
      </c>
      <c r="AC100" s="37">
        <v>1</v>
      </c>
      <c r="AD100" s="37" t="s">
        <v>639</v>
      </c>
      <c r="AE100" s="37">
        <v>1.4</v>
      </c>
      <c r="AF100" s="37" t="s">
        <v>642</v>
      </c>
    </row>
    <row r="101" spans="1:32" customFormat="1" x14ac:dyDescent="0.2">
      <c r="A101" s="37"/>
      <c r="B101" s="37" t="s">
        <v>166</v>
      </c>
      <c r="C101" s="37"/>
      <c r="D101" s="37"/>
      <c r="E101" s="37"/>
      <c r="F101" s="37"/>
      <c r="G101" s="37"/>
      <c r="H101" s="37"/>
      <c r="I101" s="37"/>
      <c r="J101" s="37" t="s">
        <v>25</v>
      </c>
      <c r="K101" s="37">
        <v>9</v>
      </c>
      <c r="L101" s="37">
        <v>68</v>
      </c>
      <c r="M101" s="37">
        <v>0</v>
      </c>
      <c r="N101" s="37">
        <v>77</v>
      </c>
      <c r="O101" s="37">
        <v>44</v>
      </c>
      <c r="P101" s="37"/>
      <c r="Q101" s="37">
        <v>121</v>
      </c>
      <c r="R101" s="37">
        <v>47595</v>
      </c>
      <c r="S101" s="37"/>
      <c r="T101" s="37"/>
      <c r="U101" s="37"/>
      <c r="V101" s="37"/>
      <c r="W101" s="37" t="s">
        <v>18</v>
      </c>
      <c r="X101" s="37"/>
      <c r="Y101" s="37"/>
      <c r="Z101" s="37" t="s">
        <v>26</v>
      </c>
      <c r="AA101" s="37">
        <v>43</v>
      </c>
      <c r="AB101" s="37">
        <v>14</v>
      </c>
      <c r="AC101" s="37">
        <v>1</v>
      </c>
      <c r="AD101" s="37" t="s">
        <v>639</v>
      </c>
      <c r="AE101" s="37">
        <v>1.4</v>
      </c>
      <c r="AF101" s="37" t="s">
        <v>643</v>
      </c>
    </row>
    <row r="102" spans="1:32" customFormat="1" x14ac:dyDescent="0.2">
      <c r="A102" s="37"/>
      <c r="B102" s="37" t="s">
        <v>166</v>
      </c>
      <c r="C102" s="37"/>
      <c r="D102" s="37"/>
      <c r="E102" s="37"/>
      <c r="F102" s="37"/>
      <c r="G102" s="37"/>
      <c r="H102" s="37"/>
      <c r="I102" s="37"/>
      <c r="J102" s="37" t="s">
        <v>15</v>
      </c>
      <c r="K102" s="37">
        <v>413</v>
      </c>
      <c r="L102" s="37">
        <v>434</v>
      </c>
      <c r="M102" s="37">
        <v>14</v>
      </c>
      <c r="N102" s="37">
        <v>861</v>
      </c>
      <c r="O102" s="37">
        <v>629</v>
      </c>
      <c r="P102" s="37">
        <v>0</v>
      </c>
      <c r="Q102" s="37">
        <v>1490</v>
      </c>
      <c r="R102" s="37">
        <v>82305</v>
      </c>
      <c r="S102" s="37"/>
      <c r="T102" s="37"/>
      <c r="U102" s="37"/>
      <c r="V102" s="37"/>
      <c r="W102" s="37" t="s">
        <v>18</v>
      </c>
      <c r="X102" s="37"/>
      <c r="Y102" s="37"/>
      <c r="Z102" s="37" t="s">
        <v>26</v>
      </c>
      <c r="AA102" s="37">
        <v>43</v>
      </c>
      <c r="AB102" s="37">
        <v>14</v>
      </c>
      <c r="AC102" s="37">
        <v>1</v>
      </c>
      <c r="AD102" s="37" t="s">
        <v>639</v>
      </c>
      <c r="AE102" s="37">
        <v>1.4</v>
      </c>
      <c r="AF102" s="37" t="s">
        <v>644</v>
      </c>
    </row>
    <row r="103" spans="1:32" customFormat="1" x14ac:dyDescent="0.2">
      <c r="A103" s="37"/>
      <c r="B103" s="37">
        <v>25</v>
      </c>
      <c r="C103" s="37" t="s">
        <v>26</v>
      </c>
      <c r="D103" s="37">
        <v>60</v>
      </c>
      <c r="E103" s="37">
        <v>9</v>
      </c>
      <c r="F103" s="37">
        <v>1</v>
      </c>
      <c r="G103" s="37">
        <v>2.7</v>
      </c>
      <c r="H103" s="37" t="s">
        <v>95</v>
      </c>
      <c r="I103" s="37" t="s">
        <v>23</v>
      </c>
      <c r="J103" s="37" t="s">
        <v>18</v>
      </c>
      <c r="K103" s="37">
        <v>31</v>
      </c>
      <c r="L103" s="37">
        <v>32</v>
      </c>
      <c r="M103" s="37">
        <v>0</v>
      </c>
      <c r="N103" s="37">
        <v>63</v>
      </c>
      <c r="O103" s="37">
        <v>39</v>
      </c>
      <c r="P103" s="37"/>
      <c r="Q103" s="37">
        <v>102</v>
      </c>
      <c r="R103" s="37">
        <v>1160</v>
      </c>
      <c r="S103" s="37"/>
      <c r="T103" s="37" t="s">
        <v>174</v>
      </c>
      <c r="U103" s="37" t="s">
        <v>272</v>
      </c>
      <c r="V103" s="37">
        <v>80</v>
      </c>
      <c r="W103" s="37" t="s">
        <v>178</v>
      </c>
      <c r="X103" s="37" t="s">
        <v>190</v>
      </c>
      <c r="Y103" s="37">
        <v>432</v>
      </c>
      <c r="Z103" s="37" t="s">
        <v>26</v>
      </c>
      <c r="AA103" s="37">
        <v>60</v>
      </c>
      <c r="AB103" s="37">
        <v>9</v>
      </c>
      <c r="AC103" s="37">
        <v>1</v>
      </c>
      <c r="AD103" s="37" t="s">
        <v>645</v>
      </c>
      <c r="AE103" s="37">
        <v>0.7</v>
      </c>
      <c r="AF103" s="37" t="s">
        <v>646</v>
      </c>
    </row>
    <row r="104" spans="1:32" customFormat="1" x14ac:dyDescent="0.2">
      <c r="A104" s="37"/>
      <c r="B104" s="37" t="s">
        <v>166</v>
      </c>
      <c r="C104" s="37"/>
      <c r="D104" s="37"/>
      <c r="E104" s="37"/>
      <c r="F104" s="37"/>
      <c r="G104" s="37"/>
      <c r="H104" s="37" t="s">
        <v>96</v>
      </c>
      <c r="I104" s="37"/>
      <c r="J104" s="37" t="s">
        <v>25</v>
      </c>
      <c r="K104" s="37">
        <v>31</v>
      </c>
      <c r="L104" s="37">
        <v>46</v>
      </c>
      <c r="M104" s="37">
        <v>0</v>
      </c>
      <c r="N104" s="37">
        <v>77</v>
      </c>
      <c r="O104" s="37">
        <v>42</v>
      </c>
      <c r="P104" s="37"/>
      <c r="Q104" s="37">
        <v>119</v>
      </c>
      <c r="R104" s="37">
        <v>52787</v>
      </c>
      <c r="S104" s="37"/>
      <c r="T104" s="37"/>
      <c r="U104" s="37"/>
      <c r="V104" s="37"/>
      <c r="W104" s="37" t="s">
        <v>178</v>
      </c>
      <c r="X104" s="37"/>
      <c r="Y104" s="37"/>
      <c r="Z104" s="37" t="s">
        <v>26</v>
      </c>
      <c r="AA104" s="37">
        <v>60</v>
      </c>
      <c r="AB104" s="37">
        <v>9</v>
      </c>
      <c r="AC104" s="37">
        <v>1</v>
      </c>
      <c r="AD104" s="37" t="s">
        <v>645</v>
      </c>
      <c r="AE104" s="37">
        <v>0.7</v>
      </c>
      <c r="AF104" s="37" t="s">
        <v>647</v>
      </c>
    </row>
    <row r="105" spans="1:32" customFormat="1" x14ac:dyDescent="0.2">
      <c r="A105" s="37"/>
      <c r="B105" s="37" t="s">
        <v>166</v>
      </c>
      <c r="C105" s="37"/>
      <c r="D105" s="37"/>
      <c r="E105" s="37"/>
      <c r="F105" s="37"/>
      <c r="G105" s="37"/>
      <c r="H105" s="37">
        <v>80</v>
      </c>
      <c r="I105" s="37"/>
      <c r="J105" s="37" t="s">
        <v>19</v>
      </c>
      <c r="K105" s="37">
        <v>7</v>
      </c>
      <c r="L105" s="37">
        <v>37</v>
      </c>
      <c r="M105" s="37">
        <v>4</v>
      </c>
      <c r="N105" s="37">
        <v>48</v>
      </c>
      <c r="O105" s="37">
        <v>55</v>
      </c>
      <c r="P105" s="37"/>
      <c r="Q105" s="37">
        <v>103</v>
      </c>
      <c r="R105" s="37">
        <v>2367</v>
      </c>
      <c r="S105" s="37"/>
      <c r="T105" s="37"/>
      <c r="U105" s="37"/>
      <c r="V105" s="37"/>
      <c r="W105" s="37" t="s">
        <v>178</v>
      </c>
      <c r="X105" s="37"/>
      <c r="Y105" s="37"/>
      <c r="Z105" s="37" t="s">
        <v>26</v>
      </c>
      <c r="AA105" s="37">
        <v>60</v>
      </c>
      <c r="AB105" s="37">
        <v>9</v>
      </c>
      <c r="AC105" s="37">
        <v>1</v>
      </c>
      <c r="AD105" s="37" t="s">
        <v>645</v>
      </c>
      <c r="AE105" s="37">
        <v>0.7</v>
      </c>
      <c r="AF105" s="37" t="s">
        <v>648</v>
      </c>
    </row>
    <row r="106" spans="1:32" customFormat="1" x14ac:dyDescent="0.2">
      <c r="A106" s="37"/>
      <c r="B106" s="37" t="s">
        <v>166</v>
      </c>
      <c r="C106" s="37"/>
      <c r="D106" s="37"/>
      <c r="E106" s="37"/>
      <c r="F106" s="37"/>
      <c r="G106" s="37"/>
      <c r="H106" s="37"/>
      <c r="I106" s="37"/>
      <c r="J106" s="37" t="s">
        <v>15</v>
      </c>
      <c r="K106" s="37">
        <v>69</v>
      </c>
      <c r="L106" s="37">
        <v>115</v>
      </c>
      <c r="M106" s="37">
        <v>4</v>
      </c>
      <c r="N106" s="37">
        <v>188</v>
      </c>
      <c r="O106" s="37">
        <v>136</v>
      </c>
      <c r="P106" s="37">
        <v>0</v>
      </c>
      <c r="Q106" s="37">
        <v>324</v>
      </c>
      <c r="R106" s="37">
        <v>56314</v>
      </c>
      <c r="S106" s="37"/>
      <c r="T106" s="37"/>
      <c r="U106" s="37"/>
      <c r="V106" s="37"/>
      <c r="W106" s="37" t="s">
        <v>178</v>
      </c>
      <c r="X106" s="37"/>
      <c r="Y106" s="37"/>
      <c r="Z106" s="37" t="s">
        <v>26</v>
      </c>
      <c r="AA106" s="37">
        <v>60</v>
      </c>
      <c r="AB106" s="37">
        <v>9</v>
      </c>
      <c r="AC106" s="37">
        <v>1</v>
      </c>
      <c r="AD106" s="37" t="s">
        <v>645</v>
      </c>
      <c r="AE106" s="37">
        <v>0.7</v>
      </c>
      <c r="AF106" s="37" t="s">
        <v>649</v>
      </c>
    </row>
    <row r="107" spans="1:32" customFormat="1" x14ac:dyDescent="0.2">
      <c r="A107" s="37"/>
      <c r="B107" s="37">
        <v>26</v>
      </c>
      <c r="C107" s="37" t="s">
        <v>26</v>
      </c>
      <c r="D107" s="37">
        <v>87</v>
      </c>
      <c r="E107" s="37">
        <v>14</v>
      </c>
      <c r="F107" s="37">
        <v>1</v>
      </c>
      <c r="G107" s="37">
        <v>6.5</v>
      </c>
      <c r="H107" s="37" t="s">
        <v>56</v>
      </c>
      <c r="I107" s="37" t="s">
        <v>23</v>
      </c>
      <c r="J107" s="37" t="s">
        <v>18</v>
      </c>
      <c r="K107" s="37">
        <v>147</v>
      </c>
      <c r="L107" s="37">
        <v>97</v>
      </c>
      <c r="M107" s="37">
        <v>0</v>
      </c>
      <c r="N107" s="37">
        <v>244</v>
      </c>
      <c r="O107" s="37">
        <v>133</v>
      </c>
      <c r="P107" s="37"/>
      <c r="Q107" s="37">
        <v>377</v>
      </c>
      <c r="R107" s="37">
        <v>4624</v>
      </c>
      <c r="S107" s="37"/>
      <c r="T107" s="37" t="s">
        <v>181</v>
      </c>
      <c r="U107" s="37" t="s">
        <v>298</v>
      </c>
      <c r="V107" s="37">
        <v>70</v>
      </c>
      <c r="W107" s="37" t="s">
        <v>17</v>
      </c>
      <c r="X107" s="37" t="s">
        <v>190</v>
      </c>
      <c r="Y107" s="37">
        <v>1040</v>
      </c>
      <c r="Z107" s="37" t="s">
        <v>26</v>
      </c>
      <c r="AA107" s="37">
        <v>87</v>
      </c>
      <c r="AB107" s="37">
        <v>14</v>
      </c>
      <c r="AC107" s="37">
        <v>1</v>
      </c>
      <c r="AD107" s="37" t="s">
        <v>650</v>
      </c>
      <c r="AE107" s="37">
        <v>1.1000000000000001</v>
      </c>
      <c r="AF107" s="37" t="s">
        <v>651</v>
      </c>
    </row>
    <row r="108" spans="1:32" customFormat="1" x14ac:dyDescent="0.2">
      <c r="A108" s="37"/>
      <c r="B108" s="37" t="s">
        <v>166</v>
      </c>
      <c r="C108" s="37"/>
      <c r="D108" s="37"/>
      <c r="E108" s="37"/>
      <c r="F108" s="37"/>
      <c r="G108" s="37"/>
      <c r="H108" s="37" t="s">
        <v>94</v>
      </c>
      <c r="I108" s="37"/>
      <c r="J108" s="37" t="s">
        <v>17</v>
      </c>
      <c r="K108" s="37">
        <v>86</v>
      </c>
      <c r="L108" s="37">
        <v>199</v>
      </c>
      <c r="M108" s="37">
        <v>12</v>
      </c>
      <c r="N108" s="37">
        <v>297</v>
      </c>
      <c r="O108" s="37">
        <v>166</v>
      </c>
      <c r="P108" s="37"/>
      <c r="Q108" s="37">
        <v>463</v>
      </c>
      <c r="R108" s="37">
        <v>26152</v>
      </c>
      <c r="S108" s="37"/>
      <c r="T108" s="37"/>
      <c r="U108" s="37"/>
      <c r="V108" s="37"/>
      <c r="W108" s="37" t="s">
        <v>17</v>
      </c>
      <c r="X108" s="37"/>
      <c r="Y108" s="37"/>
      <c r="Z108" s="37" t="s">
        <v>26</v>
      </c>
      <c r="AA108" s="37">
        <v>87</v>
      </c>
      <c r="AB108" s="37">
        <v>14</v>
      </c>
      <c r="AC108" s="37">
        <v>1</v>
      </c>
      <c r="AD108" s="37" t="s">
        <v>650</v>
      </c>
      <c r="AE108" s="37">
        <v>1.1000000000000001</v>
      </c>
      <c r="AF108" s="37" t="s">
        <v>652</v>
      </c>
    </row>
    <row r="109" spans="1:32" customFormat="1" x14ac:dyDescent="0.2">
      <c r="A109" s="37"/>
      <c r="B109" s="37" t="s">
        <v>166</v>
      </c>
      <c r="C109" s="37"/>
      <c r="D109" s="37"/>
      <c r="E109" s="37"/>
      <c r="F109" s="37"/>
      <c r="G109" s="37"/>
      <c r="H109" s="37">
        <v>70</v>
      </c>
      <c r="I109" s="37"/>
      <c r="J109" s="37" t="s">
        <v>19</v>
      </c>
      <c r="K109" s="37">
        <v>4</v>
      </c>
      <c r="L109" s="37">
        <v>42</v>
      </c>
      <c r="M109" s="37">
        <v>13</v>
      </c>
      <c r="N109" s="37">
        <v>59</v>
      </c>
      <c r="O109" s="37">
        <v>57</v>
      </c>
      <c r="P109" s="37"/>
      <c r="Q109" s="37">
        <v>116</v>
      </c>
      <c r="R109" s="37">
        <v>2597</v>
      </c>
      <c r="S109" s="37"/>
      <c r="T109" s="37"/>
      <c r="U109" s="37"/>
      <c r="V109" s="37"/>
      <c r="W109" s="37" t="s">
        <v>17</v>
      </c>
      <c r="X109" s="37"/>
      <c r="Y109" s="37"/>
      <c r="Z109" s="37" t="s">
        <v>26</v>
      </c>
      <c r="AA109" s="37">
        <v>87</v>
      </c>
      <c r="AB109" s="37">
        <v>14</v>
      </c>
      <c r="AC109" s="37">
        <v>1</v>
      </c>
      <c r="AD109" s="37" t="s">
        <v>650</v>
      </c>
      <c r="AE109" s="37">
        <v>1.1000000000000001</v>
      </c>
      <c r="AF109" s="37" t="s">
        <v>653</v>
      </c>
    </row>
    <row r="110" spans="1:32" customFormat="1" x14ac:dyDescent="0.2">
      <c r="A110" s="37"/>
      <c r="B110" s="37" t="s">
        <v>166</v>
      </c>
      <c r="C110" s="37"/>
      <c r="D110" s="37"/>
      <c r="E110" s="37"/>
      <c r="F110" s="37"/>
      <c r="G110" s="37"/>
      <c r="H110" s="37"/>
      <c r="I110" s="37"/>
      <c r="J110" s="37" t="s">
        <v>25</v>
      </c>
      <c r="K110" s="37">
        <v>6</v>
      </c>
      <c r="L110" s="37">
        <v>46</v>
      </c>
      <c r="M110" s="37">
        <v>0</v>
      </c>
      <c r="N110" s="37">
        <v>52</v>
      </c>
      <c r="O110" s="37">
        <v>32</v>
      </c>
      <c r="P110" s="37"/>
      <c r="Q110" s="37">
        <v>84</v>
      </c>
      <c r="R110" s="37">
        <v>32674</v>
      </c>
      <c r="S110" s="37"/>
      <c r="T110" s="37"/>
      <c r="U110" s="37"/>
      <c r="V110" s="37"/>
      <c r="W110" s="37" t="s">
        <v>17</v>
      </c>
      <c r="X110" s="37"/>
      <c r="Y110" s="37"/>
      <c r="Z110" s="37" t="s">
        <v>26</v>
      </c>
      <c r="AA110" s="37">
        <v>87</v>
      </c>
      <c r="AB110" s="37">
        <v>14</v>
      </c>
      <c r="AC110" s="37">
        <v>1</v>
      </c>
      <c r="AD110" s="37" t="s">
        <v>650</v>
      </c>
      <c r="AE110" s="37">
        <v>1.1000000000000001</v>
      </c>
      <c r="AF110" s="37" t="s">
        <v>654</v>
      </c>
    </row>
    <row r="111" spans="1:32" customFormat="1" x14ac:dyDescent="0.2">
      <c r="A111" s="37"/>
      <c r="B111" s="37" t="s">
        <v>166</v>
      </c>
      <c r="C111" s="37"/>
      <c r="D111" s="37"/>
      <c r="E111" s="37"/>
      <c r="F111" s="37"/>
      <c r="G111" s="37"/>
      <c r="H111" s="37"/>
      <c r="I111" s="37"/>
      <c r="J111" s="37" t="s">
        <v>15</v>
      </c>
      <c r="K111" s="37">
        <v>243</v>
      </c>
      <c r="L111" s="37">
        <v>384</v>
      </c>
      <c r="M111" s="37">
        <v>25</v>
      </c>
      <c r="N111" s="37">
        <v>652</v>
      </c>
      <c r="O111" s="37">
        <v>388</v>
      </c>
      <c r="P111" s="37">
        <v>0</v>
      </c>
      <c r="Q111" s="37">
        <v>1040</v>
      </c>
      <c r="R111" s="37">
        <v>66047</v>
      </c>
      <c r="S111" s="37"/>
      <c r="T111" s="37"/>
      <c r="U111" s="37"/>
      <c r="V111" s="37"/>
      <c r="W111" s="37" t="s">
        <v>17</v>
      </c>
      <c r="X111" s="37"/>
      <c r="Y111" s="37"/>
      <c r="Z111" s="37" t="s">
        <v>26</v>
      </c>
      <c r="AA111" s="37">
        <v>87</v>
      </c>
      <c r="AB111" s="37">
        <v>14</v>
      </c>
      <c r="AC111" s="37">
        <v>1</v>
      </c>
      <c r="AD111" s="37" t="s">
        <v>650</v>
      </c>
      <c r="AE111" s="37">
        <v>1.1000000000000001</v>
      </c>
      <c r="AF111" s="37" t="s">
        <v>655</v>
      </c>
    </row>
    <row r="112" spans="1:32" customFormat="1" x14ac:dyDescent="0.2">
      <c r="A112" s="37"/>
      <c r="B112" s="37">
        <v>27</v>
      </c>
      <c r="C112" s="37" t="s">
        <v>26</v>
      </c>
      <c r="D112" s="37">
        <v>104</v>
      </c>
      <c r="E112" s="37">
        <v>6</v>
      </c>
      <c r="F112" s="37">
        <v>1</v>
      </c>
      <c r="G112" s="37">
        <v>4.7</v>
      </c>
      <c r="H112" s="37" t="s">
        <v>56</v>
      </c>
      <c r="I112" s="37" t="s">
        <v>23</v>
      </c>
      <c r="J112" s="37" t="s">
        <v>18</v>
      </c>
      <c r="K112" s="37">
        <v>92</v>
      </c>
      <c r="L112" s="37">
        <v>48</v>
      </c>
      <c r="M112" s="37">
        <v>0</v>
      </c>
      <c r="N112" s="37">
        <v>140</v>
      </c>
      <c r="O112" s="37">
        <v>99</v>
      </c>
      <c r="P112" s="37"/>
      <c r="Q112" s="37">
        <v>239</v>
      </c>
      <c r="R112" s="37">
        <v>2704</v>
      </c>
      <c r="S112" s="37"/>
      <c r="T112" s="37" t="s">
        <v>181</v>
      </c>
      <c r="U112" s="37" t="s">
        <v>305</v>
      </c>
      <c r="V112" s="37">
        <v>70</v>
      </c>
      <c r="W112" s="37" t="s">
        <v>19</v>
      </c>
      <c r="X112" s="37" t="s">
        <v>190</v>
      </c>
      <c r="Y112" s="37">
        <v>987</v>
      </c>
      <c r="Z112" s="37" t="s">
        <v>26</v>
      </c>
      <c r="AA112" s="37">
        <v>104</v>
      </c>
      <c r="AB112" s="37">
        <v>6</v>
      </c>
      <c r="AC112" s="37">
        <v>1</v>
      </c>
      <c r="AD112" s="37" t="s">
        <v>656</v>
      </c>
      <c r="AE112" s="37">
        <v>1</v>
      </c>
      <c r="AF112" s="37" t="s">
        <v>657</v>
      </c>
    </row>
    <row r="113" spans="1:32" customFormat="1" x14ac:dyDescent="0.2">
      <c r="A113" s="37"/>
      <c r="B113" s="37" t="s">
        <v>166</v>
      </c>
      <c r="C113" s="37"/>
      <c r="D113" s="37"/>
      <c r="E113" s="37"/>
      <c r="F113" s="37"/>
      <c r="G113" s="37"/>
      <c r="H113" s="37" t="s">
        <v>97</v>
      </c>
      <c r="I113" s="37"/>
      <c r="J113" s="37" t="s">
        <v>25</v>
      </c>
      <c r="K113" s="37">
        <v>63</v>
      </c>
      <c r="L113" s="37">
        <v>92</v>
      </c>
      <c r="M113" s="37">
        <v>2</v>
      </c>
      <c r="N113" s="37">
        <v>157</v>
      </c>
      <c r="O113" s="37">
        <v>70</v>
      </c>
      <c r="P113" s="37"/>
      <c r="Q113" s="37">
        <v>227</v>
      </c>
      <c r="R113" s="37">
        <v>106811</v>
      </c>
      <c r="S113" s="37"/>
      <c r="T113" s="37"/>
      <c r="U113" s="37"/>
      <c r="V113" s="37"/>
      <c r="W113" s="37" t="s">
        <v>19</v>
      </c>
      <c r="X113" s="37"/>
      <c r="Y113" s="37"/>
      <c r="Z113" s="37" t="s">
        <v>26</v>
      </c>
      <c r="AA113" s="37">
        <v>104</v>
      </c>
      <c r="AB113" s="37">
        <v>6</v>
      </c>
      <c r="AC113" s="37">
        <v>1</v>
      </c>
      <c r="AD113" s="37" t="s">
        <v>656</v>
      </c>
      <c r="AE113" s="37">
        <v>1</v>
      </c>
      <c r="AF113" s="37" t="s">
        <v>658</v>
      </c>
    </row>
    <row r="114" spans="1:32" customFormat="1" x14ac:dyDescent="0.2">
      <c r="A114" s="37"/>
      <c r="B114" s="37" t="s">
        <v>166</v>
      </c>
      <c r="C114" s="37"/>
      <c r="D114" s="37"/>
      <c r="E114" s="37"/>
      <c r="F114" s="37"/>
      <c r="G114" s="37"/>
      <c r="H114" s="37">
        <v>70</v>
      </c>
      <c r="I114" s="37"/>
      <c r="J114" s="37" t="s">
        <v>19</v>
      </c>
      <c r="K114" s="37">
        <v>38</v>
      </c>
      <c r="L114" s="37">
        <v>85</v>
      </c>
      <c r="M114" s="37">
        <v>10</v>
      </c>
      <c r="N114" s="37">
        <v>133</v>
      </c>
      <c r="O114" s="37">
        <v>152</v>
      </c>
      <c r="P114" s="37"/>
      <c r="Q114" s="37">
        <v>285</v>
      </c>
      <c r="R114" s="37">
        <v>6829</v>
      </c>
      <c r="S114" s="37"/>
      <c r="T114" s="37"/>
      <c r="U114" s="37"/>
      <c r="V114" s="37"/>
      <c r="W114" s="37" t="s">
        <v>19</v>
      </c>
      <c r="X114" s="37"/>
      <c r="Y114" s="37"/>
      <c r="Z114" s="37" t="s">
        <v>26</v>
      </c>
      <c r="AA114" s="37">
        <v>104</v>
      </c>
      <c r="AB114" s="37">
        <v>6</v>
      </c>
      <c r="AC114" s="37">
        <v>1</v>
      </c>
      <c r="AD114" s="37" t="s">
        <v>656</v>
      </c>
      <c r="AE114" s="37">
        <v>1</v>
      </c>
      <c r="AF114" s="37" t="s">
        <v>659</v>
      </c>
    </row>
    <row r="115" spans="1:32" customFormat="1" x14ac:dyDescent="0.2">
      <c r="A115" s="37"/>
      <c r="B115" s="37" t="s">
        <v>166</v>
      </c>
      <c r="C115" s="37"/>
      <c r="D115" s="37"/>
      <c r="E115" s="37"/>
      <c r="F115" s="37"/>
      <c r="G115" s="37"/>
      <c r="H115" s="37"/>
      <c r="I115" s="37"/>
      <c r="J115" s="37" t="s">
        <v>15</v>
      </c>
      <c r="K115" s="37">
        <v>193</v>
      </c>
      <c r="L115" s="37">
        <v>225</v>
      </c>
      <c r="M115" s="37">
        <v>12</v>
      </c>
      <c r="N115" s="37">
        <v>430</v>
      </c>
      <c r="O115" s="37">
        <v>321</v>
      </c>
      <c r="P115" s="37">
        <v>0</v>
      </c>
      <c r="Q115" s="37">
        <v>751</v>
      </c>
      <c r="R115" s="37">
        <v>116344</v>
      </c>
      <c r="S115" s="37"/>
      <c r="T115" s="37"/>
      <c r="U115" s="37"/>
      <c r="V115" s="37"/>
      <c r="W115" s="37" t="s">
        <v>19</v>
      </c>
      <c r="X115" s="37"/>
      <c r="Y115" s="37"/>
      <c r="Z115" s="37" t="s">
        <v>26</v>
      </c>
      <c r="AA115" s="37">
        <v>104</v>
      </c>
      <c r="AB115" s="37">
        <v>6</v>
      </c>
      <c r="AC115" s="37">
        <v>1</v>
      </c>
      <c r="AD115" s="37" t="s">
        <v>656</v>
      </c>
      <c r="AE115" s="37">
        <v>1</v>
      </c>
      <c r="AF115" s="37" t="s">
        <v>660</v>
      </c>
    </row>
    <row r="116" spans="1:32" customFormat="1" x14ac:dyDescent="0.2">
      <c r="A116" s="37"/>
      <c r="B116" s="37">
        <v>28</v>
      </c>
      <c r="C116" s="37" t="s">
        <v>310</v>
      </c>
      <c r="D116" s="37">
        <v>1</v>
      </c>
      <c r="E116" s="37">
        <v>6</v>
      </c>
      <c r="F116" s="37">
        <v>1</v>
      </c>
      <c r="G116" s="37">
        <v>18</v>
      </c>
      <c r="H116" s="37" t="s">
        <v>433</v>
      </c>
      <c r="I116" s="37" t="s">
        <v>23</v>
      </c>
      <c r="J116" s="37" t="s">
        <v>18</v>
      </c>
      <c r="K116" s="37">
        <v>1054</v>
      </c>
      <c r="L116" s="37">
        <v>214</v>
      </c>
      <c r="M116" s="37">
        <v>0</v>
      </c>
      <c r="N116" s="37">
        <v>1268</v>
      </c>
      <c r="O116" s="37">
        <v>2019</v>
      </c>
      <c r="P116" s="37"/>
      <c r="Q116" s="37">
        <v>3287</v>
      </c>
      <c r="R116" s="37">
        <v>26107</v>
      </c>
      <c r="S116" s="37"/>
      <c r="T116" s="37" t="s">
        <v>181</v>
      </c>
      <c r="U116" s="37" t="s">
        <v>207</v>
      </c>
      <c r="V116" s="37">
        <v>45</v>
      </c>
      <c r="W116" s="37" t="s">
        <v>18</v>
      </c>
      <c r="X116" s="37" t="s">
        <v>190</v>
      </c>
      <c r="Y116" s="37">
        <v>4320</v>
      </c>
      <c r="Z116" s="37" t="s">
        <v>310</v>
      </c>
      <c r="AA116" s="37">
        <v>1</v>
      </c>
      <c r="AB116" s="37">
        <v>6</v>
      </c>
      <c r="AC116" s="37">
        <v>1</v>
      </c>
      <c r="AD116" s="37" t="s">
        <v>661</v>
      </c>
      <c r="AE116" s="37">
        <v>2.6</v>
      </c>
      <c r="AF116" s="37" t="s">
        <v>662</v>
      </c>
    </row>
    <row r="117" spans="1:32" customFormat="1" x14ac:dyDescent="0.2">
      <c r="A117" s="37"/>
      <c r="B117" s="37" t="s">
        <v>166</v>
      </c>
      <c r="C117" s="37"/>
      <c r="D117" s="37"/>
      <c r="E117" s="37"/>
      <c r="F117" s="37"/>
      <c r="G117" s="37"/>
      <c r="H117" s="37" t="s">
        <v>32</v>
      </c>
      <c r="I117" s="37"/>
      <c r="J117" s="37" t="s">
        <v>17</v>
      </c>
      <c r="K117" s="37">
        <v>30</v>
      </c>
      <c r="L117" s="37">
        <v>87</v>
      </c>
      <c r="M117" s="37">
        <v>8</v>
      </c>
      <c r="N117" s="37">
        <v>125</v>
      </c>
      <c r="O117" s="37">
        <v>198</v>
      </c>
      <c r="P117" s="37"/>
      <c r="Q117" s="37">
        <v>323</v>
      </c>
      <c r="R117" s="37">
        <v>11421</v>
      </c>
      <c r="S117" s="37"/>
      <c r="T117" s="37"/>
      <c r="U117" s="37"/>
      <c r="V117" s="37"/>
      <c r="W117" s="37" t="s">
        <v>18</v>
      </c>
      <c r="X117" s="37"/>
      <c r="Y117" s="37"/>
      <c r="Z117" s="37" t="s">
        <v>310</v>
      </c>
      <c r="AA117" s="37">
        <v>1</v>
      </c>
      <c r="AB117" s="37">
        <v>6</v>
      </c>
      <c r="AC117" s="37">
        <v>1</v>
      </c>
      <c r="AD117" s="37" t="s">
        <v>661</v>
      </c>
      <c r="AE117" s="37">
        <v>2.6</v>
      </c>
      <c r="AF117" s="37" t="s">
        <v>663</v>
      </c>
    </row>
    <row r="118" spans="1:32" customFormat="1" x14ac:dyDescent="0.2">
      <c r="A118" s="37"/>
      <c r="B118" s="37" t="s">
        <v>166</v>
      </c>
      <c r="C118" s="37"/>
      <c r="D118" s="37"/>
      <c r="E118" s="37"/>
      <c r="F118" s="37"/>
      <c r="G118" s="37"/>
      <c r="H118" s="37">
        <v>45</v>
      </c>
      <c r="I118" s="37"/>
      <c r="J118" s="37" t="s">
        <v>15</v>
      </c>
      <c r="K118" s="37">
        <v>1084</v>
      </c>
      <c r="L118" s="37">
        <v>301</v>
      </c>
      <c r="M118" s="37">
        <v>8</v>
      </c>
      <c r="N118" s="37">
        <v>1393</v>
      </c>
      <c r="O118" s="37">
        <v>2217</v>
      </c>
      <c r="P118" s="37">
        <v>0</v>
      </c>
      <c r="Q118" s="37">
        <v>3610</v>
      </c>
      <c r="R118" s="37">
        <v>37528</v>
      </c>
      <c r="S118" s="37"/>
      <c r="T118" s="37"/>
      <c r="U118" s="37"/>
      <c r="V118" s="37"/>
      <c r="W118" s="37" t="s">
        <v>18</v>
      </c>
      <c r="X118" s="37"/>
      <c r="Y118" s="37"/>
      <c r="Z118" s="37" t="s">
        <v>310</v>
      </c>
      <c r="AA118" s="37">
        <v>1</v>
      </c>
      <c r="AB118" s="37">
        <v>6</v>
      </c>
      <c r="AC118" s="37">
        <v>1</v>
      </c>
      <c r="AD118" s="37" t="s">
        <v>661</v>
      </c>
      <c r="AE118" s="37">
        <v>2.6</v>
      </c>
      <c r="AF118" s="37" t="s">
        <v>664</v>
      </c>
    </row>
    <row r="119" spans="1:32" customFormat="1" x14ac:dyDescent="0.2">
      <c r="A119" s="37"/>
      <c r="B119" s="37">
        <v>29</v>
      </c>
      <c r="C119" s="37" t="s">
        <v>310</v>
      </c>
      <c r="D119" s="37">
        <v>15</v>
      </c>
      <c r="E119" s="37">
        <v>24</v>
      </c>
      <c r="F119" s="37">
        <v>1</v>
      </c>
      <c r="G119" s="37">
        <v>4.5</v>
      </c>
      <c r="H119" s="37" t="s">
        <v>433</v>
      </c>
      <c r="I119" s="37" t="s">
        <v>23</v>
      </c>
      <c r="J119" s="37" t="s">
        <v>17</v>
      </c>
      <c r="K119" s="37">
        <v>118</v>
      </c>
      <c r="L119" s="37">
        <v>101</v>
      </c>
      <c r="M119" s="37">
        <v>2</v>
      </c>
      <c r="N119" s="37">
        <v>221</v>
      </c>
      <c r="O119" s="37">
        <v>264</v>
      </c>
      <c r="P119" s="37"/>
      <c r="Q119" s="37">
        <v>485</v>
      </c>
      <c r="R119" s="37">
        <v>22265</v>
      </c>
      <c r="S119" s="37"/>
      <c r="T119" s="37" t="s">
        <v>181</v>
      </c>
      <c r="U119" s="37" t="s">
        <v>231</v>
      </c>
      <c r="V119" s="37">
        <v>65</v>
      </c>
      <c r="W119" s="37" t="s">
        <v>17</v>
      </c>
      <c r="X119" s="37" t="s">
        <v>190</v>
      </c>
      <c r="Y119" s="37">
        <v>990</v>
      </c>
      <c r="Z119" s="37" t="s">
        <v>310</v>
      </c>
      <c r="AA119" s="37">
        <v>15</v>
      </c>
      <c r="AB119" s="37">
        <v>24</v>
      </c>
      <c r="AC119" s="37">
        <v>1</v>
      </c>
      <c r="AD119" s="37" t="s">
        <v>665</v>
      </c>
      <c r="AE119" s="37">
        <v>1.4</v>
      </c>
      <c r="AF119" s="37" t="s">
        <v>666</v>
      </c>
    </row>
    <row r="120" spans="1:32" customFormat="1" x14ac:dyDescent="0.2">
      <c r="A120" s="37"/>
      <c r="B120" s="37" t="s">
        <v>166</v>
      </c>
      <c r="C120" s="37"/>
      <c r="D120" s="37"/>
      <c r="E120" s="37"/>
      <c r="F120" s="37"/>
      <c r="G120" s="37"/>
      <c r="H120" s="37" t="s">
        <v>28</v>
      </c>
      <c r="I120" s="37"/>
      <c r="J120" s="37" t="s">
        <v>19</v>
      </c>
      <c r="K120" s="37">
        <v>0</v>
      </c>
      <c r="L120" s="37">
        <v>16</v>
      </c>
      <c r="M120" s="37">
        <v>2</v>
      </c>
      <c r="N120" s="37">
        <v>18</v>
      </c>
      <c r="O120" s="37">
        <v>37</v>
      </c>
      <c r="P120" s="37"/>
      <c r="Q120" s="37">
        <v>55</v>
      </c>
      <c r="R120" s="37">
        <v>870</v>
      </c>
      <c r="S120" s="37"/>
      <c r="T120" s="37"/>
      <c r="U120" s="37"/>
      <c r="V120" s="37"/>
      <c r="W120" s="37" t="s">
        <v>17</v>
      </c>
      <c r="X120" s="37"/>
      <c r="Y120" s="37"/>
      <c r="Z120" s="37" t="s">
        <v>310</v>
      </c>
      <c r="AA120" s="37">
        <v>15</v>
      </c>
      <c r="AB120" s="37">
        <v>24</v>
      </c>
      <c r="AC120" s="37">
        <v>1</v>
      </c>
      <c r="AD120" s="37" t="s">
        <v>665</v>
      </c>
      <c r="AE120" s="37">
        <v>1.4</v>
      </c>
      <c r="AF120" s="37" t="s">
        <v>667</v>
      </c>
    </row>
    <row r="121" spans="1:32" customFormat="1" x14ac:dyDescent="0.2">
      <c r="A121" s="37"/>
      <c r="B121" s="37" t="s">
        <v>166</v>
      </c>
      <c r="C121" s="37"/>
      <c r="D121" s="37"/>
      <c r="E121" s="37"/>
      <c r="F121" s="37"/>
      <c r="G121" s="37"/>
      <c r="H121" s="37">
        <v>65</v>
      </c>
      <c r="I121" s="37"/>
      <c r="J121" s="37" t="s">
        <v>18</v>
      </c>
      <c r="K121" s="37">
        <v>104</v>
      </c>
      <c r="L121" s="37">
        <v>28</v>
      </c>
      <c r="M121" s="37">
        <v>0</v>
      </c>
      <c r="N121" s="37">
        <v>132</v>
      </c>
      <c r="O121" s="37">
        <v>183</v>
      </c>
      <c r="P121" s="37"/>
      <c r="Q121" s="37">
        <v>315</v>
      </c>
      <c r="R121" s="37">
        <v>2677</v>
      </c>
      <c r="S121" s="37"/>
      <c r="T121" s="37"/>
      <c r="U121" s="37"/>
      <c r="V121" s="37"/>
      <c r="W121" s="37" t="s">
        <v>17</v>
      </c>
      <c r="X121" s="37"/>
      <c r="Y121" s="37"/>
      <c r="Z121" s="37" t="s">
        <v>310</v>
      </c>
      <c r="AA121" s="37">
        <v>15</v>
      </c>
      <c r="AB121" s="37">
        <v>24</v>
      </c>
      <c r="AC121" s="37">
        <v>1</v>
      </c>
      <c r="AD121" s="37" t="s">
        <v>665</v>
      </c>
      <c r="AE121" s="37">
        <v>1.4</v>
      </c>
      <c r="AF121" s="37" t="s">
        <v>668</v>
      </c>
    </row>
    <row r="122" spans="1:32" customFormat="1" x14ac:dyDescent="0.2">
      <c r="A122" s="37"/>
      <c r="B122" s="37" t="s">
        <v>166</v>
      </c>
      <c r="C122" s="37"/>
      <c r="D122" s="37"/>
      <c r="E122" s="37"/>
      <c r="F122" s="37"/>
      <c r="G122" s="37"/>
      <c r="H122" s="37"/>
      <c r="I122" s="37"/>
      <c r="J122" s="37" t="s">
        <v>15</v>
      </c>
      <c r="K122" s="37">
        <v>222</v>
      </c>
      <c r="L122" s="37">
        <v>145</v>
      </c>
      <c r="M122" s="37">
        <v>4</v>
      </c>
      <c r="N122" s="37">
        <v>371</v>
      </c>
      <c r="O122" s="37">
        <v>484</v>
      </c>
      <c r="P122" s="37">
        <v>0</v>
      </c>
      <c r="Q122" s="37">
        <v>855</v>
      </c>
      <c r="R122" s="37">
        <v>25812</v>
      </c>
      <c r="S122" s="37"/>
      <c r="T122" s="37"/>
      <c r="U122" s="37"/>
      <c r="V122" s="37"/>
      <c r="W122" s="37" t="s">
        <v>17</v>
      </c>
      <c r="X122" s="37"/>
      <c r="Y122" s="37"/>
      <c r="Z122" s="37" t="s">
        <v>310</v>
      </c>
      <c r="AA122" s="37">
        <v>15</v>
      </c>
      <c r="AB122" s="37">
        <v>24</v>
      </c>
      <c r="AC122" s="37">
        <v>1</v>
      </c>
      <c r="AD122" s="37" t="s">
        <v>665</v>
      </c>
      <c r="AE122" s="37">
        <v>1.4</v>
      </c>
      <c r="AF122" s="37" t="s">
        <v>669</v>
      </c>
    </row>
    <row r="123" spans="1:32" customFormat="1" x14ac:dyDescent="0.2">
      <c r="A123" s="37"/>
      <c r="B123" s="37">
        <v>30</v>
      </c>
      <c r="C123" s="37" t="s">
        <v>310</v>
      </c>
      <c r="D123" s="37">
        <v>15</v>
      </c>
      <c r="E123" s="37">
        <v>39</v>
      </c>
      <c r="F123" s="37">
        <v>1</v>
      </c>
      <c r="G123" s="37">
        <v>3.5</v>
      </c>
      <c r="H123" s="37" t="s">
        <v>433</v>
      </c>
      <c r="I123" s="37" t="s">
        <v>23</v>
      </c>
      <c r="J123" s="37" t="s">
        <v>17</v>
      </c>
      <c r="K123" s="37">
        <v>86</v>
      </c>
      <c r="L123" s="37">
        <v>96</v>
      </c>
      <c r="M123" s="37">
        <v>3</v>
      </c>
      <c r="N123" s="37">
        <v>185</v>
      </c>
      <c r="O123" s="37">
        <v>222</v>
      </c>
      <c r="P123" s="37"/>
      <c r="Q123" s="37">
        <v>407</v>
      </c>
      <c r="R123" s="37">
        <v>18244</v>
      </c>
      <c r="S123" s="37"/>
      <c r="T123" s="37" t="s">
        <v>181</v>
      </c>
      <c r="U123" s="37" t="s">
        <v>231</v>
      </c>
      <c r="V123" s="37">
        <v>65</v>
      </c>
      <c r="W123" s="37" t="s">
        <v>17</v>
      </c>
      <c r="X123" s="37" t="s">
        <v>190</v>
      </c>
      <c r="Y123" s="37">
        <v>770</v>
      </c>
      <c r="Z123" s="37" t="s">
        <v>310</v>
      </c>
      <c r="AA123" s="37">
        <v>15</v>
      </c>
      <c r="AB123" s="37">
        <v>39</v>
      </c>
      <c r="AC123" s="37">
        <v>1</v>
      </c>
      <c r="AD123" s="37" t="s">
        <v>670</v>
      </c>
      <c r="AE123" s="37">
        <v>0.9</v>
      </c>
      <c r="AF123" s="37" t="s">
        <v>671</v>
      </c>
    </row>
    <row r="124" spans="1:32" customFormat="1" x14ac:dyDescent="0.2">
      <c r="A124" s="37"/>
      <c r="B124" s="37" t="s">
        <v>166</v>
      </c>
      <c r="C124" s="37"/>
      <c r="D124" s="37"/>
      <c r="E124" s="37"/>
      <c r="F124" s="37"/>
      <c r="G124" s="37"/>
      <c r="H124" s="37" t="s">
        <v>28</v>
      </c>
      <c r="I124" s="37"/>
      <c r="J124" s="37" t="s">
        <v>19</v>
      </c>
      <c r="K124" s="37">
        <v>0</v>
      </c>
      <c r="L124" s="37">
        <v>3</v>
      </c>
      <c r="M124" s="37">
        <v>1</v>
      </c>
      <c r="N124" s="37">
        <v>4</v>
      </c>
      <c r="O124" s="37">
        <v>6</v>
      </c>
      <c r="P124" s="37"/>
      <c r="Q124" s="37">
        <v>10</v>
      </c>
      <c r="R124" s="37">
        <v>160</v>
      </c>
      <c r="S124" s="37"/>
      <c r="T124" s="37"/>
      <c r="U124" s="37"/>
      <c r="V124" s="37"/>
      <c r="W124" s="37" t="s">
        <v>17</v>
      </c>
      <c r="X124" s="37"/>
      <c r="Y124" s="37"/>
      <c r="Z124" s="37" t="s">
        <v>310</v>
      </c>
      <c r="AA124" s="37">
        <v>15</v>
      </c>
      <c r="AB124" s="37">
        <v>39</v>
      </c>
      <c r="AC124" s="37">
        <v>1</v>
      </c>
      <c r="AD124" s="37" t="s">
        <v>670</v>
      </c>
      <c r="AE124" s="37">
        <v>0.9</v>
      </c>
      <c r="AF124" s="37" t="s">
        <v>672</v>
      </c>
    </row>
    <row r="125" spans="1:32" customFormat="1" x14ac:dyDescent="0.2">
      <c r="A125" s="37"/>
      <c r="B125" s="37" t="s">
        <v>166</v>
      </c>
      <c r="C125" s="37"/>
      <c r="D125" s="37"/>
      <c r="E125" s="37"/>
      <c r="F125" s="37"/>
      <c r="G125" s="37"/>
      <c r="H125" s="37">
        <v>65</v>
      </c>
      <c r="I125" s="37"/>
      <c r="J125" s="37" t="s">
        <v>18</v>
      </c>
      <c r="K125" s="37">
        <v>72</v>
      </c>
      <c r="L125" s="37">
        <v>28</v>
      </c>
      <c r="M125" s="37">
        <v>0</v>
      </c>
      <c r="N125" s="37">
        <v>100</v>
      </c>
      <c r="O125" s="37">
        <v>149</v>
      </c>
      <c r="P125" s="37"/>
      <c r="Q125" s="37">
        <v>249</v>
      </c>
      <c r="R125" s="37">
        <v>1999</v>
      </c>
      <c r="S125" s="37"/>
      <c r="T125" s="37"/>
      <c r="U125" s="37"/>
      <c r="V125" s="37"/>
      <c r="W125" s="37" t="s">
        <v>17</v>
      </c>
      <c r="X125" s="37"/>
      <c r="Y125" s="37"/>
      <c r="Z125" s="37" t="s">
        <v>310</v>
      </c>
      <c r="AA125" s="37">
        <v>15</v>
      </c>
      <c r="AB125" s="37">
        <v>39</v>
      </c>
      <c r="AC125" s="37">
        <v>1</v>
      </c>
      <c r="AD125" s="37" t="s">
        <v>670</v>
      </c>
      <c r="AE125" s="37">
        <v>0.9</v>
      </c>
      <c r="AF125" s="37" t="s">
        <v>673</v>
      </c>
    </row>
    <row r="126" spans="1:32" customFormat="1" x14ac:dyDescent="0.2">
      <c r="A126" s="37"/>
      <c r="B126" s="37" t="s">
        <v>166</v>
      </c>
      <c r="C126" s="37"/>
      <c r="D126" s="37"/>
      <c r="E126" s="37"/>
      <c r="F126" s="37"/>
      <c r="G126" s="37"/>
      <c r="H126" s="37"/>
      <c r="I126" s="37"/>
      <c r="J126" s="37" t="s">
        <v>15</v>
      </c>
      <c r="K126" s="37">
        <v>158</v>
      </c>
      <c r="L126" s="37">
        <v>127</v>
      </c>
      <c r="M126" s="37">
        <v>4</v>
      </c>
      <c r="N126" s="37">
        <v>289</v>
      </c>
      <c r="O126" s="37">
        <v>377</v>
      </c>
      <c r="P126" s="37">
        <v>0</v>
      </c>
      <c r="Q126" s="37">
        <v>666</v>
      </c>
      <c r="R126" s="37">
        <v>20403</v>
      </c>
      <c r="S126" s="37"/>
      <c r="T126" s="37"/>
      <c r="U126" s="37"/>
      <c r="V126" s="37"/>
      <c r="W126" s="37" t="s">
        <v>17</v>
      </c>
      <c r="X126" s="37"/>
      <c r="Y126" s="37"/>
      <c r="Z126" s="37" t="s">
        <v>310</v>
      </c>
      <c r="AA126" s="37">
        <v>15</v>
      </c>
      <c r="AB126" s="37">
        <v>39</v>
      </c>
      <c r="AC126" s="37">
        <v>1</v>
      </c>
      <c r="AD126" s="37" t="s">
        <v>670</v>
      </c>
      <c r="AE126" s="37">
        <v>0.9</v>
      </c>
      <c r="AF126" s="37" t="s">
        <v>674</v>
      </c>
    </row>
    <row r="127" spans="1:32" customFormat="1" x14ac:dyDescent="0.2">
      <c r="A127" s="37"/>
      <c r="B127" s="37">
        <v>31</v>
      </c>
      <c r="C127" s="37" t="s">
        <v>310</v>
      </c>
      <c r="D127" s="37">
        <v>15</v>
      </c>
      <c r="E127" s="37">
        <v>42</v>
      </c>
      <c r="F127" s="37">
        <v>1</v>
      </c>
      <c r="G127" s="37">
        <v>8</v>
      </c>
      <c r="H127" s="37" t="s">
        <v>433</v>
      </c>
      <c r="I127" s="37" t="s">
        <v>23</v>
      </c>
      <c r="J127" s="37" t="s">
        <v>18</v>
      </c>
      <c r="K127" s="37">
        <v>408</v>
      </c>
      <c r="L127" s="37">
        <v>87</v>
      </c>
      <c r="M127" s="37">
        <v>0</v>
      </c>
      <c r="N127" s="37">
        <v>495</v>
      </c>
      <c r="O127" s="37">
        <v>830</v>
      </c>
      <c r="P127" s="37"/>
      <c r="Q127" s="37">
        <v>1325</v>
      </c>
      <c r="R127" s="37">
        <v>10204</v>
      </c>
      <c r="S127" s="37"/>
      <c r="T127" s="37" t="s">
        <v>181</v>
      </c>
      <c r="U127" s="37" t="s">
        <v>312</v>
      </c>
      <c r="V127" s="37">
        <v>60</v>
      </c>
      <c r="W127" s="37" t="s">
        <v>18</v>
      </c>
      <c r="X127" s="37" t="s">
        <v>190</v>
      </c>
      <c r="Y127" s="37">
        <v>2000</v>
      </c>
      <c r="Z127" s="37" t="s">
        <v>310</v>
      </c>
      <c r="AA127" s="37">
        <v>15</v>
      </c>
      <c r="AB127" s="37">
        <v>42</v>
      </c>
      <c r="AC127" s="37">
        <v>1</v>
      </c>
      <c r="AD127" s="37" t="s">
        <v>675</v>
      </c>
      <c r="AE127" s="37">
        <v>1.4</v>
      </c>
      <c r="AF127" s="37" t="s">
        <v>676</v>
      </c>
    </row>
    <row r="128" spans="1:32" customFormat="1" x14ac:dyDescent="0.2">
      <c r="A128" s="37"/>
      <c r="B128" s="37" t="s">
        <v>166</v>
      </c>
      <c r="C128" s="37"/>
      <c r="D128" s="37"/>
      <c r="E128" s="37"/>
      <c r="F128" s="37"/>
      <c r="G128" s="37"/>
      <c r="H128" s="37" t="s">
        <v>312</v>
      </c>
      <c r="I128" s="37"/>
      <c r="J128" s="37" t="s">
        <v>17</v>
      </c>
      <c r="K128" s="37">
        <v>27</v>
      </c>
      <c r="L128" s="37">
        <v>73</v>
      </c>
      <c r="M128" s="37">
        <v>1</v>
      </c>
      <c r="N128" s="37">
        <v>101</v>
      </c>
      <c r="O128" s="37">
        <v>136</v>
      </c>
      <c r="P128" s="37"/>
      <c r="Q128" s="37">
        <v>237</v>
      </c>
      <c r="R128" s="37">
        <v>9442</v>
      </c>
      <c r="S128" s="37"/>
      <c r="T128" s="37"/>
      <c r="U128" s="37"/>
      <c r="V128" s="37"/>
      <c r="W128" s="37" t="s">
        <v>18</v>
      </c>
      <c r="X128" s="37"/>
      <c r="Y128" s="37"/>
      <c r="Z128" s="37" t="s">
        <v>310</v>
      </c>
      <c r="AA128" s="37">
        <v>15</v>
      </c>
      <c r="AB128" s="37">
        <v>42</v>
      </c>
      <c r="AC128" s="37">
        <v>1</v>
      </c>
      <c r="AD128" s="37" t="s">
        <v>675</v>
      </c>
      <c r="AE128" s="37">
        <v>1.4</v>
      </c>
      <c r="AF128" s="37" t="s">
        <v>677</v>
      </c>
    </row>
    <row r="129" spans="1:32" customFormat="1" x14ac:dyDescent="0.2">
      <c r="A129" s="37"/>
      <c r="B129" s="37" t="s">
        <v>166</v>
      </c>
      <c r="C129" s="37"/>
      <c r="D129" s="37"/>
      <c r="E129" s="37"/>
      <c r="F129" s="37"/>
      <c r="G129" s="37"/>
      <c r="H129" s="37">
        <v>60</v>
      </c>
      <c r="I129" s="37"/>
      <c r="J129" s="37" t="s">
        <v>19</v>
      </c>
      <c r="K129" s="37">
        <v>3</v>
      </c>
      <c r="L129" s="37">
        <v>37</v>
      </c>
      <c r="M129" s="37">
        <v>7</v>
      </c>
      <c r="N129" s="37">
        <v>47</v>
      </c>
      <c r="O129" s="37">
        <v>69</v>
      </c>
      <c r="P129" s="37"/>
      <c r="Q129" s="37">
        <v>116</v>
      </c>
      <c r="R129" s="37">
        <v>2185</v>
      </c>
      <c r="S129" s="37"/>
      <c r="T129" s="37"/>
      <c r="U129" s="37"/>
      <c r="V129" s="37"/>
      <c r="W129" s="37" t="s">
        <v>18</v>
      </c>
      <c r="X129" s="37"/>
      <c r="Y129" s="37"/>
      <c r="Z129" s="37" t="s">
        <v>310</v>
      </c>
      <c r="AA129" s="37">
        <v>15</v>
      </c>
      <c r="AB129" s="37">
        <v>42</v>
      </c>
      <c r="AC129" s="37">
        <v>1</v>
      </c>
      <c r="AD129" s="37" t="s">
        <v>675</v>
      </c>
      <c r="AE129" s="37">
        <v>1.4</v>
      </c>
      <c r="AF129" s="37" t="s">
        <v>678</v>
      </c>
    </row>
    <row r="130" spans="1:32" customFormat="1" x14ac:dyDescent="0.2">
      <c r="A130" s="37"/>
      <c r="B130" s="37" t="s">
        <v>166</v>
      </c>
      <c r="C130" s="37"/>
      <c r="D130" s="37"/>
      <c r="E130" s="37"/>
      <c r="F130" s="37"/>
      <c r="G130" s="37"/>
      <c r="H130" s="37"/>
      <c r="I130" s="37"/>
      <c r="J130" s="37" t="s">
        <v>15</v>
      </c>
      <c r="K130" s="37">
        <v>438</v>
      </c>
      <c r="L130" s="37">
        <v>197</v>
      </c>
      <c r="M130" s="37">
        <v>8</v>
      </c>
      <c r="N130" s="37">
        <v>643</v>
      </c>
      <c r="O130" s="37">
        <v>1035</v>
      </c>
      <c r="P130" s="37">
        <v>0</v>
      </c>
      <c r="Q130" s="37">
        <v>1678</v>
      </c>
      <c r="R130" s="37">
        <v>21831</v>
      </c>
      <c r="S130" s="37"/>
      <c r="T130" s="37"/>
      <c r="U130" s="37"/>
      <c r="V130" s="37"/>
      <c r="W130" s="37" t="s">
        <v>18</v>
      </c>
      <c r="X130" s="37"/>
      <c r="Y130" s="37"/>
      <c r="Z130" s="37" t="s">
        <v>310</v>
      </c>
      <c r="AA130" s="37">
        <v>15</v>
      </c>
      <c r="AB130" s="37">
        <v>42</v>
      </c>
      <c r="AC130" s="37">
        <v>1</v>
      </c>
      <c r="AD130" s="37" t="s">
        <v>675</v>
      </c>
      <c r="AE130" s="37">
        <v>1.4</v>
      </c>
      <c r="AF130" s="37" t="s">
        <v>679</v>
      </c>
    </row>
    <row r="131" spans="1:32" customFormat="1" x14ac:dyDescent="0.2">
      <c r="A131" s="37"/>
      <c r="B131" s="37">
        <v>32</v>
      </c>
      <c r="C131" s="37" t="s">
        <v>310</v>
      </c>
      <c r="D131" s="37">
        <v>16</v>
      </c>
      <c r="E131" s="37">
        <v>29</v>
      </c>
      <c r="F131" s="37">
        <v>1</v>
      </c>
      <c r="G131" s="37">
        <v>24</v>
      </c>
      <c r="H131" s="37" t="s">
        <v>433</v>
      </c>
      <c r="I131" s="37" t="s">
        <v>23</v>
      </c>
      <c r="J131" s="37" t="s">
        <v>18</v>
      </c>
      <c r="K131" s="37">
        <v>1225</v>
      </c>
      <c r="L131" s="37">
        <v>262</v>
      </c>
      <c r="M131" s="37">
        <v>0</v>
      </c>
      <c r="N131" s="37">
        <v>1487</v>
      </c>
      <c r="O131" s="37">
        <v>2803</v>
      </c>
      <c r="P131" s="37"/>
      <c r="Q131" s="37">
        <v>4290</v>
      </c>
      <c r="R131" s="37">
        <v>30774</v>
      </c>
      <c r="S131" s="37"/>
      <c r="T131" s="37" t="s">
        <v>181</v>
      </c>
      <c r="U131" s="37" t="s">
        <v>189</v>
      </c>
      <c r="V131" s="37">
        <v>45</v>
      </c>
      <c r="W131" s="37" t="s">
        <v>18</v>
      </c>
      <c r="X131" s="37" t="s">
        <v>190</v>
      </c>
      <c r="Y131" s="37">
        <v>6240</v>
      </c>
      <c r="Z131" s="37" t="s">
        <v>310</v>
      </c>
      <c r="AA131" s="37">
        <v>16</v>
      </c>
      <c r="AB131" s="37">
        <v>29</v>
      </c>
      <c r="AC131" s="37">
        <v>1</v>
      </c>
      <c r="AD131" s="37" t="s">
        <v>680</v>
      </c>
      <c r="AE131" s="37">
        <v>3.4</v>
      </c>
      <c r="AF131" s="37" t="s">
        <v>681</v>
      </c>
    </row>
    <row r="132" spans="1:32" customFormat="1" x14ac:dyDescent="0.2">
      <c r="A132" s="37"/>
      <c r="B132" s="37" t="s">
        <v>166</v>
      </c>
      <c r="C132" s="37"/>
      <c r="D132" s="37"/>
      <c r="E132" s="37"/>
      <c r="F132" s="37"/>
      <c r="G132" s="37"/>
      <c r="H132" s="37" t="s">
        <v>33</v>
      </c>
      <c r="I132" s="37"/>
      <c r="J132" s="37" t="s">
        <v>17</v>
      </c>
      <c r="K132" s="37">
        <v>82</v>
      </c>
      <c r="L132" s="37">
        <v>217</v>
      </c>
      <c r="M132" s="37">
        <v>4</v>
      </c>
      <c r="N132" s="37">
        <v>303</v>
      </c>
      <c r="O132" s="37">
        <v>409</v>
      </c>
      <c r="P132" s="37"/>
      <c r="Q132" s="37">
        <v>712</v>
      </c>
      <c r="R132" s="37">
        <v>28327</v>
      </c>
      <c r="S132" s="37"/>
      <c r="T132" s="37"/>
      <c r="U132" s="37"/>
      <c r="V132" s="37"/>
      <c r="W132" s="37" t="s">
        <v>18</v>
      </c>
      <c r="X132" s="37"/>
      <c r="Y132" s="37"/>
      <c r="Z132" s="37" t="s">
        <v>310</v>
      </c>
      <c r="AA132" s="37">
        <v>16</v>
      </c>
      <c r="AB132" s="37">
        <v>29</v>
      </c>
      <c r="AC132" s="37">
        <v>1</v>
      </c>
      <c r="AD132" s="37" t="s">
        <v>680</v>
      </c>
      <c r="AE132" s="37">
        <v>3.4</v>
      </c>
      <c r="AF132" s="37" t="s">
        <v>682</v>
      </c>
    </row>
    <row r="133" spans="1:32" customFormat="1" x14ac:dyDescent="0.2">
      <c r="A133" s="37"/>
      <c r="B133" s="37" t="s">
        <v>166</v>
      </c>
      <c r="C133" s="37"/>
      <c r="D133" s="37"/>
      <c r="E133" s="37"/>
      <c r="F133" s="37"/>
      <c r="G133" s="37"/>
      <c r="H133" s="37">
        <v>45</v>
      </c>
      <c r="I133" s="37"/>
      <c r="J133" s="37" t="s">
        <v>15</v>
      </c>
      <c r="K133" s="37">
        <v>1307</v>
      </c>
      <c r="L133" s="37">
        <v>479</v>
      </c>
      <c r="M133" s="37">
        <v>4</v>
      </c>
      <c r="N133" s="37">
        <v>1790</v>
      </c>
      <c r="O133" s="37">
        <v>3212</v>
      </c>
      <c r="P133" s="37">
        <v>0</v>
      </c>
      <c r="Q133" s="37">
        <v>5002</v>
      </c>
      <c r="R133" s="37">
        <v>59101</v>
      </c>
      <c r="S133" s="37"/>
      <c r="T133" s="37"/>
      <c r="U133" s="37"/>
      <c r="V133" s="37"/>
      <c r="W133" s="37" t="s">
        <v>18</v>
      </c>
      <c r="X133" s="37"/>
      <c r="Y133" s="37"/>
      <c r="Z133" s="37" t="s">
        <v>310</v>
      </c>
      <c r="AA133" s="37">
        <v>16</v>
      </c>
      <c r="AB133" s="37">
        <v>29</v>
      </c>
      <c r="AC133" s="37">
        <v>1</v>
      </c>
      <c r="AD133" s="37" t="s">
        <v>680</v>
      </c>
      <c r="AE133" s="37">
        <v>3.4</v>
      </c>
      <c r="AF133" s="37" t="s">
        <v>683</v>
      </c>
    </row>
    <row r="134" spans="1:32" customFormat="1" x14ac:dyDescent="0.2">
      <c r="A134" s="37"/>
      <c r="B134" s="37">
        <v>33</v>
      </c>
      <c r="C134" s="37" t="s">
        <v>310</v>
      </c>
      <c r="D134" s="37">
        <v>23</v>
      </c>
      <c r="E134" s="37">
        <v>7</v>
      </c>
      <c r="F134" s="37">
        <v>1</v>
      </c>
      <c r="G134" s="37">
        <v>6</v>
      </c>
      <c r="H134" s="37" t="s">
        <v>433</v>
      </c>
      <c r="I134" s="37" t="s">
        <v>23</v>
      </c>
      <c r="J134" s="37" t="s">
        <v>18</v>
      </c>
      <c r="K134" s="37">
        <v>344</v>
      </c>
      <c r="L134" s="37">
        <v>66</v>
      </c>
      <c r="M134" s="37">
        <v>0</v>
      </c>
      <c r="N134" s="37">
        <v>410</v>
      </c>
      <c r="O134" s="37">
        <v>665</v>
      </c>
      <c r="P134" s="37"/>
      <c r="Q134" s="37">
        <v>1075</v>
      </c>
      <c r="R134" s="37">
        <v>8451</v>
      </c>
      <c r="S134" s="37"/>
      <c r="T134" s="37" t="s">
        <v>181</v>
      </c>
      <c r="U134" s="37" t="s">
        <v>198</v>
      </c>
      <c r="V134" s="37">
        <v>45</v>
      </c>
      <c r="W134" s="37" t="s">
        <v>18</v>
      </c>
      <c r="X134" s="37" t="s">
        <v>190</v>
      </c>
      <c r="Y134" s="37">
        <v>1560</v>
      </c>
      <c r="Z134" s="37" t="s">
        <v>310</v>
      </c>
      <c r="AA134" s="37">
        <v>23</v>
      </c>
      <c r="AB134" s="37">
        <v>7</v>
      </c>
      <c r="AC134" s="37">
        <v>1</v>
      </c>
      <c r="AD134" s="37" t="s">
        <v>684</v>
      </c>
      <c r="AE134" s="37">
        <v>1</v>
      </c>
      <c r="AF134" s="37" t="s">
        <v>685</v>
      </c>
    </row>
    <row r="135" spans="1:32" customFormat="1" x14ac:dyDescent="0.2">
      <c r="A135" s="37"/>
      <c r="B135" s="37" t="s">
        <v>166</v>
      </c>
      <c r="C135" s="37"/>
      <c r="D135" s="37"/>
      <c r="E135" s="37"/>
      <c r="F135" s="37"/>
      <c r="G135" s="37"/>
      <c r="H135" s="37" t="s">
        <v>34</v>
      </c>
      <c r="I135" s="37"/>
      <c r="J135" s="37" t="s">
        <v>17</v>
      </c>
      <c r="K135" s="37">
        <v>25</v>
      </c>
      <c r="L135" s="37">
        <v>70</v>
      </c>
      <c r="M135" s="37">
        <v>1</v>
      </c>
      <c r="N135" s="37">
        <v>96</v>
      </c>
      <c r="O135" s="37">
        <v>125</v>
      </c>
      <c r="P135" s="37"/>
      <c r="Q135" s="37">
        <v>221</v>
      </c>
      <c r="R135" s="37">
        <v>8855</v>
      </c>
      <c r="S135" s="37"/>
      <c r="T135" s="37"/>
      <c r="U135" s="37"/>
      <c r="V135" s="37"/>
      <c r="W135" s="37" t="s">
        <v>18</v>
      </c>
      <c r="X135" s="37"/>
      <c r="Y135" s="37"/>
      <c r="Z135" s="37" t="s">
        <v>310</v>
      </c>
      <c r="AA135" s="37">
        <v>23</v>
      </c>
      <c r="AB135" s="37">
        <v>7</v>
      </c>
      <c r="AC135" s="37">
        <v>1</v>
      </c>
      <c r="AD135" s="37" t="s">
        <v>684</v>
      </c>
      <c r="AE135" s="37">
        <v>1</v>
      </c>
      <c r="AF135" s="37" t="s">
        <v>686</v>
      </c>
    </row>
    <row r="136" spans="1:32" customFormat="1" x14ac:dyDescent="0.2">
      <c r="A136" s="37"/>
      <c r="B136" s="37" t="s">
        <v>166</v>
      </c>
      <c r="C136" s="37"/>
      <c r="D136" s="37"/>
      <c r="E136" s="37"/>
      <c r="F136" s="37"/>
      <c r="G136" s="37"/>
      <c r="H136" s="37">
        <v>45</v>
      </c>
      <c r="I136" s="37"/>
      <c r="J136" s="37" t="s">
        <v>19</v>
      </c>
      <c r="K136" s="37">
        <v>0</v>
      </c>
      <c r="L136" s="37">
        <v>1</v>
      </c>
      <c r="M136" s="37">
        <v>1</v>
      </c>
      <c r="N136" s="37">
        <v>2</v>
      </c>
      <c r="O136" s="37">
        <v>6</v>
      </c>
      <c r="P136" s="37"/>
      <c r="Q136" s="37">
        <v>8</v>
      </c>
      <c r="R136" s="37">
        <v>74</v>
      </c>
      <c r="S136" s="37"/>
      <c r="T136" s="37"/>
      <c r="U136" s="37"/>
      <c r="V136" s="37"/>
      <c r="W136" s="37" t="s">
        <v>18</v>
      </c>
      <c r="X136" s="37"/>
      <c r="Y136" s="37"/>
      <c r="Z136" s="37" t="s">
        <v>310</v>
      </c>
      <c r="AA136" s="37">
        <v>23</v>
      </c>
      <c r="AB136" s="37">
        <v>7</v>
      </c>
      <c r="AC136" s="37">
        <v>1</v>
      </c>
      <c r="AD136" s="37" t="s">
        <v>684</v>
      </c>
      <c r="AE136" s="37">
        <v>1</v>
      </c>
      <c r="AF136" s="37" t="s">
        <v>687</v>
      </c>
    </row>
    <row r="137" spans="1:32" customFormat="1" x14ac:dyDescent="0.2">
      <c r="A137" s="37"/>
      <c r="B137" s="37" t="s">
        <v>166</v>
      </c>
      <c r="C137" s="37"/>
      <c r="D137" s="37"/>
      <c r="E137" s="37"/>
      <c r="F137" s="37"/>
      <c r="G137" s="37"/>
      <c r="H137" s="37"/>
      <c r="I137" s="37"/>
      <c r="J137" s="37" t="s">
        <v>15</v>
      </c>
      <c r="K137" s="37">
        <v>369</v>
      </c>
      <c r="L137" s="37">
        <v>137</v>
      </c>
      <c r="M137" s="37">
        <v>2</v>
      </c>
      <c r="N137" s="37">
        <v>508</v>
      </c>
      <c r="O137" s="37">
        <v>796</v>
      </c>
      <c r="P137" s="37">
        <v>0</v>
      </c>
      <c r="Q137" s="37">
        <v>1304</v>
      </c>
      <c r="R137" s="37">
        <v>17380</v>
      </c>
      <c r="S137" s="37"/>
      <c r="T137" s="37"/>
      <c r="U137" s="37"/>
      <c r="V137" s="37"/>
      <c r="W137" s="37" t="s">
        <v>18</v>
      </c>
      <c r="X137" s="37"/>
      <c r="Y137" s="37"/>
      <c r="Z137" s="37" t="s">
        <v>310</v>
      </c>
      <c r="AA137" s="37">
        <v>23</v>
      </c>
      <c r="AB137" s="37">
        <v>7</v>
      </c>
      <c r="AC137" s="37">
        <v>1</v>
      </c>
      <c r="AD137" s="37" t="s">
        <v>684</v>
      </c>
      <c r="AE137" s="37">
        <v>1</v>
      </c>
      <c r="AF137" s="37" t="s">
        <v>688</v>
      </c>
    </row>
    <row r="138" spans="1:32" customFormat="1" x14ac:dyDescent="0.2">
      <c r="A138" s="37"/>
      <c r="B138" s="37">
        <v>34</v>
      </c>
      <c r="C138" s="37" t="s">
        <v>310</v>
      </c>
      <c r="D138" s="37">
        <v>46</v>
      </c>
      <c r="E138" s="37">
        <v>3</v>
      </c>
      <c r="F138" s="37">
        <v>1</v>
      </c>
      <c r="G138" s="37">
        <v>5</v>
      </c>
      <c r="H138" s="37" t="s">
        <v>433</v>
      </c>
      <c r="I138" s="37" t="s">
        <v>23</v>
      </c>
      <c r="J138" s="37" t="s">
        <v>18</v>
      </c>
      <c r="K138" s="37">
        <v>443</v>
      </c>
      <c r="L138" s="37">
        <v>347</v>
      </c>
      <c r="M138" s="37">
        <v>2</v>
      </c>
      <c r="N138" s="37">
        <v>792</v>
      </c>
      <c r="O138" s="37">
        <v>321</v>
      </c>
      <c r="P138" s="37"/>
      <c r="Q138" s="37">
        <v>1113</v>
      </c>
      <c r="R138" s="37">
        <v>14751</v>
      </c>
      <c r="S138" s="37"/>
      <c r="T138" s="37" t="s">
        <v>181</v>
      </c>
      <c r="U138" s="37" t="s">
        <v>207</v>
      </c>
      <c r="V138" s="37">
        <v>55</v>
      </c>
      <c r="W138" s="37" t="s">
        <v>18</v>
      </c>
      <c r="X138" s="37" t="s">
        <v>190</v>
      </c>
      <c r="Y138" s="37">
        <v>1300</v>
      </c>
      <c r="Z138" s="37" t="s">
        <v>310</v>
      </c>
      <c r="AA138" s="37">
        <v>46</v>
      </c>
      <c r="AB138" s="37">
        <v>3</v>
      </c>
      <c r="AC138" s="37">
        <v>1</v>
      </c>
      <c r="AD138" s="37" t="s">
        <v>689</v>
      </c>
      <c r="AE138" s="37">
        <v>0.9</v>
      </c>
      <c r="AF138" s="37" t="s">
        <v>690</v>
      </c>
    </row>
    <row r="139" spans="1:32" customFormat="1" x14ac:dyDescent="0.2">
      <c r="A139" s="37"/>
      <c r="B139" s="37" t="s">
        <v>166</v>
      </c>
      <c r="C139" s="37"/>
      <c r="D139" s="37"/>
      <c r="E139" s="37"/>
      <c r="F139" s="37"/>
      <c r="G139" s="37"/>
      <c r="H139" s="37" t="s">
        <v>35</v>
      </c>
      <c r="I139" s="37"/>
      <c r="J139" s="37" t="s">
        <v>17</v>
      </c>
      <c r="K139" s="37">
        <v>10</v>
      </c>
      <c r="L139" s="37">
        <v>36</v>
      </c>
      <c r="M139" s="37">
        <v>8</v>
      </c>
      <c r="N139" s="37">
        <v>54</v>
      </c>
      <c r="O139" s="37">
        <v>14</v>
      </c>
      <c r="P139" s="37"/>
      <c r="Q139" s="37">
        <v>68</v>
      </c>
      <c r="R139" s="37">
        <v>4288</v>
      </c>
      <c r="S139" s="37"/>
      <c r="T139" s="37"/>
      <c r="U139" s="37"/>
      <c r="V139" s="37"/>
      <c r="W139" s="37" t="s">
        <v>18</v>
      </c>
      <c r="X139" s="37"/>
      <c r="Y139" s="37"/>
      <c r="Z139" s="37" t="s">
        <v>310</v>
      </c>
      <c r="AA139" s="37">
        <v>46</v>
      </c>
      <c r="AB139" s="37">
        <v>3</v>
      </c>
      <c r="AC139" s="37">
        <v>1</v>
      </c>
      <c r="AD139" s="37" t="s">
        <v>689</v>
      </c>
      <c r="AE139" s="37">
        <v>0.9</v>
      </c>
      <c r="AF139" s="37" t="s">
        <v>691</v>
      </c>
    </row>
    <row r="140" spans="1:32" customFormat="1" x14ac:dyDescent="0.2">
      <c r="A140" s="37"/>
      <c r="B140" s="37" t="s">
        <v>166</v>
      </c>
      <c r="C140" s="37"/>
      <c r="D140" s="37"/>
      <c r="E140" s="37"/>
      <c r="F140" s="37"/>
      <c r="G140" s="37"/>
      <c r="H140" s="37">
        <v>55</v>
      </c>
      <c r="I140" s="37"/>
      <c r="J140" s="37" t="s">
        <v>19</v>
      </c>
      <c r="K140" s="37"/>
      <c r="L140" s="37">
        <v>17</v>
      </c>
      <c r="M140" s="37">
        <v>30</v>
      </c>
      <c r="N140" s="37">
        <v>47</v>
      </c>
      <c r="O140" s="37">
        <v>35</v>
      </c>
      <c r="P140" s="37"/>
      <c r="Q140" s="37">
        <v>82</v>
      </c>
      <c r="R140" s="37">
        <v>1546</v>
      </c>
      <c r="S140" s="37"/>
      <c r="T140" s="37"/>
      <c r="U140" s="37"/>
      <c r="V140" s="37"/>
      <c r="W140" s="37" t="s">
        <v>18</v>
      </c>
      <c r="X140" s="37"/>
      <c r="Y140" s="37"/>
      <c r="Z140" s="37" t="s">
        <v>310</v>
      </c>
      <c r="AA140" s="37">
        <v>46</v>
      </c>
      <c r="AB140" s="37">
        <v>3</v>
      </c>
      <c r="AC140" s="37">
        <v>1</v>
      </c>
      <c r="AD140" s="37" t="s">
        <v>689</v>
      </c>
      <c r="AE140" s="37">
        <v>0.9</v>
      </c>
      <c r="AF140" s="37" t="s">
        <v>692</v>
      </c>
    </row>
    <row r="141" spans="1:32" customFormat="1" x14ac:dyDescent="0.2">
      <c r="A141" s="37"/>
      <c r="B141" s="37"/>
      <c r="C141" s="37"/>
      <c r="D141" s="37"/>
      <c r="E141" s="37"/>
      <c r="F141" s="37"/>
      <c r="G141" s="37"/>
      <c r="H141" s="37"/>
      <c r="I141" s="37"/>
      <c r="J141" s="37" t="s">
        <v>25</v>
      </c>
      <c r="K141" s="37"/>
      <c r="L141" s="37">
        <v>3</v>
      </c>
      <c r="M141" s="37">
        <v>1</v>
      </c>
      <c r="N141" s="37">
        <v>4</v>
      </c>
      <c r="O141" s="37">
        <v>0</v>
      </c>
      <c r="P141" s="37"/>
      <c r="Q141" s="37">
        <v>4</v>
      </c>
      <c r="R141" s="37">
        <v>1870</v>
      </c>
      <c r="S141" s="37"/>
      <c r="T141" s="37"/>
      <c r="U141" s="37"/>
      <c r="V141" s="37"/>
      <c r="W141" s="37"/>
      <c r="X141" s="37"/>
      <c r="Y141" s="37"/>
      <c r="Z141" s="37"/>
      <c r="AA141" s="37"/>
      <c r="AB141" s="37"/>
      <c r="AC141" s="37"/>
      <c r="AD141" s="37"/>
      <c r="AE141" s="37"/>
      <c r="AF141" s="37"/>
    </row>
    <row r="142" spans="1:32" customFormat="1" x14ac:dyDescent="0.2">
      <c r="A142" s="37"/>
      <c r="B142" s="37" t="s">
        <v>166</v>
      </c>
      <c r="C142" s="37"/>
      <c r="D142" s="37"/>
      <c r="E142" s="37"/>
      <c r="F142" s="37"/>
      <c r="G142" s="37"/>
      <c r="H142" s="37"/>
      <c r="I142" s="37"/>
      <c r="J142" s="37" t="s">
        <v>15</v>
      </c>
      <c r="K142" s="37">
        <v>453</v>
      </c>
      <c r="L142" s="37">
        <v>403</v>
      </c>
      <c r="M142" s="37">
        <v>41</v>
      </c>
      <c r="N142" s="37">
        <v>897</v>
      </c>
      <c r="O142" s="37">
        <v>370</v>
      </c>
      <c r="P142" s="37">
        <v>0</v>
      </c>
      <c r="Q142" s="37">
        <v>1267</v>
      </c>
      <c r="R142" s="37">
        <v>22455</v>
      </c>
      <c r="S142" s="37"/>
      <c r="T142" s="37"/>
      <c r="U142" s="37"/>
      <c r="V142" s="37"/>
      <c r="W142" s="37" t="s">
        <v>18</v>
      </c>
      <c r="X142" s="37"/>
      <c r="Y142" s="37"/>
      <c r="Z142" s="37" t="s">
        <v>310</v>
      </c>
      <c r="AA142" s="37">
        <v>46</v>
      </c>
      <c r="AB142" s="37">
        <v>3</v>
      </c>
      <c r="AC142" s="37">
        <v>1</v>
      </c>
      <c r="AD142" s="37" t="s">
        <v>689</v>
      </c>
      <c r="AE142" s="37">
        <v>0.9</v>
      </c>
      <c r="AF142" s="37" t="s">
        <v>693</v>
      </c>
    </row>
    <row r="143" spans="1:32" customFormat="1" x14ac:dyDescent="0.2">
      <c r="A143" s="37"/>
      <c r="B143" s="37">
        <v>35</v>
      </c>
      <c r="C143" s="37" t="s">
        <v>310</v>
      </c>
      <c r="D143" s="37">
        <v>49</v>
      </c>
      <c r="E143" s="37">
        <v>29</v>
      </c>
      <c r="F143" s="37">
        <v>1</v>
      </c>
      <c r="G143" s="37">
        <v>9</v>
      </c>
      <c r="H143" s="37" t="s">
        <v>433</v>
      </c>
      <c r="I143" s="37" t="s">
        <v>23</v>
      </c>
      <c r="J143" s="37" t="s">
        <v>17</v>
      </c>
      <c r="K143" s="37">
        <v>8</v>
      </c>
      <c r="L143" s="37">
        <v>31</v>
      </c>
      <c r="M143" s="37">
        <v>2</v>
      </c>
      <c r="N143" s="37">
        <v>41</v>
      </c>
      <c r="O143" s="37">
        <v>98</v>
      </c>
      <c r="P143" s="37"/>
      <c r="Q143" s="37">
        <v>139</v>
      </c>
      <c r="R143" s="37">
        <v>3922</v>
      </c>
      <c r="S143" s="37"/>
      <c r="T143" s="37" t="s">
        <v>181</v>
      </c>
      <c r="U143" s="37" t="s">
        <v>321</v>
      </c>
      <c r="V143" s="37">
        <v>80</v>
      </c>
      <c r="W143" s="37" t="s">
        <v>19</v>
      </c>
      <c r="X143" s="37" t="s">
        <v>190</v>
      </c>
      <c r="Y143" s="37">
        <v>1530</v>
      </c>
      <c r="Z143" s="37" t="s">
        <v>310</v>
      </c>
      <c r="AA143" s="37">
        <v>49</v>
      </c>
      <c r="AB143" s="37">
        <v>29</v>
      </c>
      <c r="AC143" s="37">
        <v>1</v>
      </c>
      <c r="AD143" s="37" t="s">
        <v>694</v>
      </c>
      <c r="AE143" s="37">
        <v>1.3</v>
      </c>
      <c r="AF143" s="37" t="s">
        <v>695</v>
      </c>
    </row>
    <row r="144" spans="1:32" customFormat="1" x14ac:dyDescent="0.2">
      <c r="A144" s="37"/>
      <c r="B144" s="37" t="s">
        <v>166</v>
      </c>
      <c r="C144" s="37"/>
      <c r="D144" s="37"/>
      <c r="E144" s="37"/>
      <c r="F144" s="37"/>
      <c r="G144" s="37"/>
      <c r="H144" s="37" t="s">
        <v>38</v>
      </c>
      <c r="I144" s="37"/>
      <c r="J144" s="37" t="s">
        <v>19</v>
      </c>
      <c r="K144" s="37">
        <v>89</v>
      </c>
      <c r="L144" s="37">
        <v>294</v>
      </c>
      <c r="M144" s="37">
        <v>28</v>
      </c>
      <c r="N144" s="37">
        <v>411</v>
      </c>
      <c r="O144" s="37">
        <v>716</v>
      </c>
      <c r="P144" s="37"/>
      <c r="Q144" s="37">
        <v>1127</v>
      </c>
      <c r="R144" s="37">
        <v>21112</v>
      </c>
      <c r="S144" s="37"/>
      <c r="T144" s="37"/>
      <c r="U144" s="37"/>
      <c r="V144" s="37"/>
      <c r="W144" s="37" t="s">
        <v>19</v>
      </c>
      <c r="X144" s="37"/>
      <c r="Y144" s="37"/>
      <c r="Z144" s="37" t="s">
        <v>310</v>
      </c>
      <c r="AA144" s="37">
        <v>49</v>
      </c>
      <c r="AB144" s="37">
        <v>29</v>
      </c>
      <c r="AC144" s="37">
        <v>1</v>
      </c>
      <c r="AD144" s="37" t="s">
        <v>694</v>
      </c>
      <c r="AE144" s="37">
        <v>1.3</v>
      </c>
      <c r="AF144" s="37" t="s">
        <v>696</v>
      </c>
    </row>
    <row r="145" spans="1:32" customFormat="1" x14ac:dyDescent="0.2">
      <c r="A145" s="37"/>
      <c r="B145" s="37" t="s">
        <v>166</v>
      </c>
      <c r="C145" s="37"/>
      <c r="D145" s="37"/>
      <c r="E145" s="37"/>
      <c r="F145" s="37"/>
      <c r="G145" s="37"/>
      <c r="H145" s="37">
        <v>80</v>
      </c>
      <c r="I145" s="37"/>
      <c r="J145" s="37" t="s">
        <v>25</v>
      </c>
      <c r="K145" s="37">
        <v>0</v>
      </c>
      <c r="L145" s="37">
        <v>6</v>
      </c>
      <c r="M145" s="37">
        <v>1</v>
      </c>
      <c r="N145" s="37">
        <v>7</v>
      </c>
      <c r="O145" s="37">
        <v>71</v>
      </c>
      <c r="P145" s="37"/>
      <c r="Q145" s="37">
        <v>78</v>
      </c>
      <c r="R145" s="37">
        <v>5420</v>
      </c>
      <c r="S145" s="37"/>
      <c r="T145" s="37"/>
      <c r="U145" s="37"/>
      <c r="V145" s="37"/>
      <c r="W145" s="37" t="s">
        <v>19</v>
      </c>
      <c r="X145" s="37"/>
      <c r="Y145" s="37"/>
      <c r="Z145" s="37" t="s">
        <v>310</v>
      </c>
      <c r="AA145" s="37">
        <v>49</v>
      </c>
      <c r="AB145" s="37">
        <v>29</v>
      </c>
      <c r="AC145" s="37">
        <v>1</v>
      </c>
      <c r="AD145" s="37" t="s">
        <v>694</v>
      </c>
      <c r="AE145" s="37">
        <v>1.3</v>
      </c>
      <c r="AF145" s="37" t="s">
        <v>697</v>
      </c>
    </row>
    <row r="146" spans="1:32" customFormat="1" x14ac:dyDescent="0.2">
      <c r="A146" s="37"/>
      <c r="B146" s="37" t="s">
        <v>166</v>
      </c>
      <c r="C146" s="37"/>
      <c r="D146" s="37"/>
      <c r="E146" s="37"/>
      <c r="F146" s="37"/>
      <c r="G146" s="37"/>
      <c r="H146" s="37"/>
      <c r="I146" s="37"/>
      <c r="J146" s="37" t="s">
        <v>15</v>
      </c>
      <c r="K146" s="37">
        <v>97</v>
      </c>
      <c r="L146" s="37">
        <v>331</v>
      </c>
      <c r="M146" s="37">
        <v>31</v>
      </c>
      <c r="N146" s="37">
        <v>459</v>
      </c>
      <c r="O146" s="37">
        <v>885</v>
      </c>
      <c r="P146" s="37">
        <v>0</v>
      </c>
      <c r="Q146" s="37">
        <v>1344</v>
      </c>
      <c r="R146" s="37">
        <v>30454</v>
      </c>
      <c r="S146" s="37"/>
      <c r="T146" s="37"/>
      <c r="U146" s="37"/>
      <c r="V146" s="37"/>
      <c r="W146" s="37" t="s">
        <v>19</v>
      </c>
      <c r="X146" s="37"/>
      <c r="Y146" s="37"/>
      <c r="Z146" s="37" t="s">
        <v>310</v>
      </c>
      <c r="AA146" s="37">
        <v>49</v>
      </c>
      <c r="AB146" s="37">
        <v>29</v>
      </c>
      <c r="AC146" s="37">
        <v>1</v>
      </c>
      <c r="AD146" s="37" t="s">
        <v>694</v>
      </c>
      <c r="AE146" s="37">
        <v>1.3</v>
      </c>
      <c r="AF146" s="37" t="s">
        <v>698</v>
      </c>
    </row>
    <row r="147" spans="1:32" customFormat="1" x14ac:dyDescent="0.2">
      <c r="A147" s="37"/>
      <c r="B147" s="37">
        <v>36</v>
      </c>
      <c r="C147" s="37" t="s">
        <v>310</v>
      </c>
      <c r="D147" s="37">
        <v>54</v>
      </c>
      <c r="E147" s="37">
        <v>12</v>
      </c>
      <c r="F147" s="37">
        <v>1</v>
      </c>
      <c r="G147" s="37">
        <v>10</v>
      </c>
      <c r="H147" s="37" t="s">
        <v>433</v>
      </c>
      <c r="I147" s="37" t="s">
        <v>23</v>
      </c>
      <c r="J147" s="37" t="s">
        <v>18</v>
      </c>
      <c r="K147" s="37">
        <v>465</v>
      </c>
      <c r="L147" s="37">
        <v>1005</v>
      </c>
      <c r="M147" s="37">
        <v>74</v>
      </c>
      <c r="N147" s="37">
        <v>1544</v>
      </c>
      <c r="O147" s="37">
        <v>623</v>
      </c>
      <c r="P147" s="37"/>
      <c r="Q147" s="37">
        <v>2167</v>
      </c>
      <c r="R147" s="37">
        <v>26256</v>
      </c>
      <c r="S147" s="37"/>
      <c r="T147" s="37" t="s">
        <v>181</v>
      </c>
      <c r="U147" s="37" t="s">
        <v>225</v>
      </c>
      <c r="V147" s="37">
        <v>45</v>
      </c>
      <c r="W147" s="37" t="s">
        <v>18</v>
      </c>
      <c r="X147" s="37" t="s">
        <v>190</v>
      </c>
      <c r="Y147" s="37">
        <v>2600</v>
      </c>
      <c r="Z147" s="37" t="s">
        <v>310</v>
      </c>
      <c r="AA147" s="37">
        <v>54</v>
      </c>
      <c r="AB147" s="37">
        <v>12</v>
      </c>
      <c r="AC147" s="37">
        <v>1</v>
      </c>
      <c r="AD147" s="37" t="s">
        <v>699</v>
      </c>
      <c r="AE147" s="37">
        <v>1.3</v>
      </c>
      <c r="AF147" s="37" t="s">
        <v>700</v>
      </c>
    </row>
    <row r="148" spans="1:32" customFormat="1" x14ac:dyDescent="0.2">
      <c r="A148" s="37"/>
      <c r="B148" s="37" t="s">
        <v>166</v>
      </c>
      <c r="C148" s="37"/>
      <c r="D148" s="37"/>
      <c r="E148" s="37"/>
      <c r="F148" s="37"/>
      <c r="G148" s="37"/>
      <c r="H148" s="37" t="s">
        <v>37</v>
      </c>
      <c r="I148" s="37"/>
      <c r="J148" s="37" t="s">
        <v>17</v>
      </c>
      <c r="K148" s="37"/>
      <c r="L148" s="37">
        <v>38</v>
      </c>
      <c r="M148" s="37">
        <v>7</v>
      </c>
      <c r="N148" s="37">
        <v>45</v>
      </c>
      <c r="O148" s="37">
        <v>11</v>
      </c>
      <c r="P148" s="37"/>
      <c r="Q148" s="37">
        <v>56</v>
      </c>
      <c r="R148" s="37">
        <v>3284</v>
      </c>
      <c r="S148" s="37"/>
      <c r="T148" s="37"/>
      <c r="U148" s="37"/>
      <c r="V148" s="37"/>
      <c r="W148" s="37" t="s">
        <v>18</v>
      </c>
      <c r="X148" s="37"/>
      <c r="Y148" s="37"/>
      <c r="Z148" s="37" t="s">
        <v>310</v>
      </c>
      <c r="AA148" s="37">
        <v>54</v>
      </c>
      <c r="AB148" s="37">
        <v>12</v>
      </c>
      <c r="AC148" s="37">
        <v>1</v>
      </c>
      <c r="AD148" s="37" t="s">
        <v>699</v>
      </c>
      <c r="AE148" s="37">
        <v>1.3</v>
      </c>
      <c r="AF148" s="37" t="s">
        <v>701</v>
      </c>
    </row>
    <row r="149" spans="1:32" customFormat="1" x14ac:dyDescent="0.2">
      <c r="A149" s="37"/>
      <c r="B149" s="37"/>
      <c r="C149" s="37"/>
      <c r="D149" s="37"/>
      <c r="E149" s="37"/>
      <c r="F149" s="37"/>
      <c r="G149" s="37"/>
      <c r="H149" s="37"/>
      <c r="I149" s="37"/>
      <c r="J149" s="37" t="s">
        <v>19</v>
      </c>
      <c r="K149" s="37"/>
      <c r="L149" s="37">
        <v>13</v>
      </c>
      <c r="M149" s="37">
        <v>35</v>
      </c>
      <c r="N149" s="37">
        <v>48</v>
      </c>
      <c r="O149" s="37">
        <v>52</v>
      </c>
      <c r="P149" s="37"/>
      <c r="Q149" s="37">
        <v>100</v>
      </c>
      <c r="R149" s="37">
        <v>1535</v>
      </c>
      <c r="S149" s="37"/>
      <c r="T149" s="37"/>
      <c r="U149" s="37"/>
      <c r="V149" s="37"/>
      <c r="W149" s="37"/>
      <c r="X149" s="37"/>
      <c r="Y149" s="37"/>
      <c r="Z149" s="37"/>
      <c r="AA149" s="37"/>
      <c r="AB149" s="37"/>
      <c r="AC149" s="37"/>
      <c r="AD149" s="37"/>
      <c r="AE149" s="37"/>
      <c r="AF149" s="37"/>
    </row>
    <row r="150" spans="1:32" customFormat="1" x14ac:dyDescent="0.2">
      <c r="A150" s="37"/>
      <c r="B150" s="37" t="s">
        <v>166</v>
      </c>
      <c r="C150" s="37"/>
      <c r="D150" s="37"/>
      <c r="E150" s="37"/>
      <c r="F150" s="37"/>
      <c r="G150" s="37"/>
      <c r="H150" s="37">
        <v>45</v>
      </c>
      <c r="I150" s="37"/>
      <c r="J150" s="37" t="s">
        <v>15</v>
      </c>
      <c r="K150" s="37">
        <v>465</v>
      </c>
      <c r="L150" s="37">
        <v>1056</v>
      </c>
      <c r="M150" s="37">
        <v>116</v>
      </c>
      <c r="N150" s="37">
        <v>1637</v>
      </c>
      <c r="O150" s="37">
        <v>686</v>
      </c>
      <c r="P150" s="37">
        <v>0</v>
      </c>
      <c r="Q150" s="37">
        <v>2323</v>
      </c>
      <c r="R150" s="37">
        <v>31075</v>
      </c>
      <c r="S150" s="37"/>
      <c r="T150" s="37"/>
      <c r="U150" s="37"/>
      <c r="V150" s="37"/>
      <c r="W150" s="37" t="s">
        <v>18</v>
      </c>
      <c r="X150" s="37"/>
      <c r="Y150" s="37"/>
      <c r="Z150" s="37" t="s">
        <v>310</v>
      </c>
      <c r="AA150" s="37">
        <v>54</v>
      </c>
      <c r="AB150" s="37">
        <v>12</v>
      </c>
      <c r="AC150" s="37">
        <v>1</v>
      </c>
      <c r="AD150" s="37" t="s">
        <v>699</v>
      </c>
      <c r="AE150" s="37">
        <v>1.3</v>
      </c>
      <c r="AF150" s="37" t="s">
        <v>702</v>
      </c>
    </row>
    <row r="151" spans="1:32" customFormat="1" x14ac:dyDescent="0.2">
      <c r="A151" s="37"/>
      <c r="B151" s="37">
        <v>37</v>
      </c>
      <c r="C151" s="37" t="s">
        <v>310</v>
      </c>
      <c r="D151" s="37">
        <v>60</v>
      </c>
      <c r="E151" s="37">
        <v>23</v>
      </c>
      <c r="F151" s="37">
        <v>1</v>
      </c>
      <c r="G151" s="37">
        <v>7</v>
      </c>
      <c r="H151" s="37" t="s">
        <v>433</v>
      </c>
      <c r="I151" s="37" t="s">
        <v>23</v>
      </c>
      <c r="J151" s="37" t="s">
        <v>18</v>
      </c>
      <c r="K151" s="37">
        <v>111</v>
      </c>
      <c r="L151" s="37">
        <v>31</v>
      </c>
      <c r="M151" s="37">
        <v>0</v>
      </c>
      <c r="N151" s="37">
        <v>142</v>
      </c>
      <c r="O151" s="37">
        <v>218</v>
      </c>
      <c r="P151" s="37"/>
      <c r="Q151" s="37">
        <v>360</v>
      </c>
      <c r="R151" s="37">
        <v>2899</v>
      </c>
      <c r="S151" s="37"/>
      <c r="T151" s="37" t="s">
        <v>181</v>
      </c>
      <c r="U151" s="37" t="s">
        <v>193</v>
      </c>
      <c r="V151" s="37">
        <v>80</v>
      </c>
      <c r="W151" s="37" t="s">
        <v>17</v>
      </c>
      <c r="X151" s="37" t="s">
        <v>190</v>
      </c>
      <c r="Y151" s="37">
        <v>1330</v>
      </c>
      <c r="Z151" s="37" t="s">
        <v>310</v>
      </c>
      <c r="AA151" s="37">
        <v>60</v>
      </c>
      <c r="AB151" s="37">
        <v>23</v>
      </c>
      <c r="AC151" s="37">
        <v>1</v>
      </c>
      <c r="AD151" s="37" t="s">
        <v>703</v>
      </c>
      <c r="AE151" s="37">
        <v>1.8</v>
      </c>
      <c r="AF151" s="37" t="s">
        <v>704</v>
      </c>
    </row>
    <row r="152" spans="1:32" customFormat="1" x14ac:dyDescent="0.2">
      <c r="A152" s="37"/>
      <c r="B152" s="37" t="s">
        <v>166</v>
      </c>
      <c r="C152" s="37"/>
      <c r="D152" s="37"/>
      <c r="E152" s="37"/>
      <c r="F152" s="37"/>
      <c r="G152" s="37"/>
      <c r="H152" s="37" t="s">
        <v>29</v>
      </c>
      <c r="I152" s="37"/>
      <c r="J152" s="37" t="s">
        <v>17</v>
      </c>
      <c r="K152" s="37">
        <v>156</v>
      </c>
      <c r="L152" s="37">
        <v>157</v>
      </c>
      <c r="M152" s="37">
        <v>5</v>
      </c>
      <c r="N152" s="37">
        <v>318</v>
      </c>
      <c r="O152" s="37">
        <v>403</v>
      </c>
      <c r="P152" s="37"/>
      <c r="Q152" s="37">
        <v>721</v>
      </c>
      <c r="R152" s="37">
        <v>31678</v>
      </c>
      <c r="S152" s="37"/>
      <c r="T152" s="37"/>
      <c r="U152" s="37"/>
      <c r="V152" s="37"/>
      <c r="W152" s="37" t="s">
        <v>17</v>
      </c>
      <c r="X152" s="37"/>
      <c r="Y152" s="37"/>
      <c r="Z152" s="37" t="s">
        <v>310</v>
      </c>
      <c r="AA152" s="37">
        <v>60</v>
      </c>
      <c r="AB152" s="37">
        <v>23</v>
      </c>
      <c r="AC152" s="37">
        <v>1</v>
      </c>
      <c r="AD152" s="37" t="s">
        <v>703</v>
      </c>
      <c r="AE152" s="37">
        <v>1.8</v>
      </c>
      <c r="AF152" s="37" t="s">
        <v>705</v>
      </c>
    </row>
    <row r="153" spans="1:32" customFormat="1" x14ac:dyDescent="0.2">
      <c r="A153" s="37"/>
      <c r="B153" s="37" t="s">
        <v>166</v>
      </c>
      <c r="C153" s="37"/>
      <c r="D153" s="37"/>
      <c r="E153" s="37"/>
      <c r="F153" s="37"/>
      <c r="G153" s="37"/>
      <c r="H153" s="37">
        <v>80</v>
      </c>
      <c r="I153" s="37"/>
      <c r="J153" s="37" t="s">
        <v>19</v>
      </c>
      <c r="K153" s="37">
        <v>2</v>
      </c>
      <c r="L153" s="37">
        <v>13</v>
      </c>
      <c r="M153" s="37">
        <v>2</v>
      </c>
      <c r="N153" s="37">
        <v>17</v>
      </c>
      <c r="O153" s="37">
        <v>61</v>
      </c>
      <c r="P153" s="37"/>
      <c r="Q153" s="37">
        <v>78</v>
      </c>
      <c r="R153" s="37">
        <v>843</v>
      </c>
      <c r="S153" s="37"/>
      <c r="T153" s="37"/>
      <c r="U153" s="37"/>
      <c r="V153" s="37"/>
      <c r="W153" s="37" t="s">
        <v>17</v>
      </c>
      <c r="X153" s="37"/>
      <c r="Y153" s="37"/>
      <c r="Z153" s="37" t="s">
        <v>310</v>
      </c>
      <c r="AA153" s="37">
        <v>60</v>
      </c>
      <c r="AB153" s="37">
        <v>23</v>
      </c>
      <c r="AC153" s="37">
        <v>1</v>
      </c>
      <c r="AD153" s="37" t="s">
        <v>703</v>
      </c>
      <c r="AE153" s="37">
        <v>1.8</v>
      </c>
      <c r="AF153" s="37" t="s">
        <v>706</v>
      </c>
    </row>
    <row r="154" spans="1:32" customFormat="1" x14ac:dyDescent="0.2">
      <c r="A154" s="37"/>
      <c r="B154" s="37" t="s">
        <v>166</v>
      </c>
      <c r="C154" s="37"/>
      <c r="D154" s="37"/>
      <c r="E154" s="37"/>
      <c r="F154" s="37"/>
      <c r="G154" s="37"/>
      <c r="H154" s="37"/>
      <c r="I154" s="37"/>
      <c r="J154" s="37" t="s">
        <v>15</v>
      </c>
      <c r="K154" s="37">
        <v>269</v>
      </c>
      <c r="L154" s="37">
        <v>201</v>
      </c>
      <c r="M154" s="37">
        <v>7</v>
      </c>
      <c r="N154" s="37">
        <v>477</v>
      </c>
      <c r="O154" s="37">
        <v>682</v>
      </c>
      <c r="P154" s="37">
        <v>0</v>
      </c>
      <c r="Q154" s="37">
        <v>1159</v>
      </c>
      <c r="R154" s="37">
        <v>35420</v>
      </c>
      <c r="S154" s="37"/>
      <c r="T154" s="37"/>
      <c r="U154" s="37"/>
      <c r="V154" s="37"/>
      <c r="W154" s="37" t="s">
        <v>17</v>
      </c>
      <c r="X154" s="37"/>
      <c r="Y154" s="37"/>
      <c r="Z154" s="37" t="s">
        <v>310</v>
      </c>
      <c r="AA154" s="37">
        <v>60</v>
      </c>
      <c r="AB154" s="37">
        <v>23</v>
      </c>
      <c r="AC154" s="37">
        <v>1</v>
      </c>
      <c r="AD154" s="37" t="s">
        <v>703</v>
      </c>
      <c r="AE154" s="37">
        <v>1.8</v>
      </c>
      <c r="AF154" s="37" t="s">
        <v>707</v>
      </c>
    </row>
    <row r="155" spans="1:32" customFormat="1" x14ac:dyDescent="0.2">
      <c r="A155" s="37"/>
      <c r="B155" s="37">
        <v>38</v>
      </c>
      <c r="C155" s="37" t="s">
        <v>310</v>
      </c>
      <c r="D155" s="37">
        <v>69</v>
      </c>
      <c r="E155" s="37">
        <v>14</v>
      </c>
      <c r="F155" s="37">
        <v>1</v>
      </c>
      <c r="G155" s="37">
        <v>14</v>
      </c>
      <c r="H155" s="37" t="s">
        <v>433</v>
      </c>
      <c r="I155" s="37" t="s">
        <v>23</v>
      </c>
      <c r="J155" s="37" t="s">
        <v>18</v>
      </c>
      <c r="K155" s="37">
        <v>142</v>
      </c>
      <c r="L155" s="37">
        <v>45</v>
      </c>
      <c r="M155" s="37">
        <v>0</v>
      </c>
      <c r="N155" s="37">
        <v>187</v>
      </c>
      <c r="O155" s="37">
        <v>339</v>
      </c>
      <c r="P155" s="37"/>
      <c r="Q155" s="37">
        <v>526</v>
      </c>
      <c r="R155" s="37">
        <v>3811</v>
      </c>
      <c r="S155" s="37"/>
      <c r="T155" s="37" t="s">
        <v>181</v>
      </c>
      <c r="U155" s="37" t="s">
        <v>238</v>
      </c>
      <c r="V155" s="37">
        <v>65</v>
      </c>
      <c r="W155" s="37" t="s">
        <v>17</v>
      </c>
      <c r="X155" s="37" t="s">
        <v>190</v>
      </c>
      <c r="Y155" s="37">
        <v>2520</v>
      </c>
      <c r="Z155" s="37" t="s">
        <v>310</v>
      </c>
      <c r="AA155" s="37">
        <v>69</v>
      </c>
      <c r="AB155" s="37">
        <v>14</v>
      </c>
      <c r="AC155" s="37">
        <v>1</v>
      </c>
      <c r="AD155" s="37" t="s">
        <v>708</v>
      </c>
      <c r="AE155" s="37">
        <v>2.1</v>
      </c>
      <c r="AF155" s="37" t="s">
        <v>709</v>
      </c>
    </row>
    <row r="156" spans="1:32" customFormat="1" x14ac:dyDescent="0.2">
      <c r="A156" s="37"/>
      <c r="B156" s="37" t="s">
        <v>166</v>
      </c>
      <c r="C156" s="37"/>
      <c r="D156" s="37"/>
      <c r="E156" s="37"/>
      <c r="F156" s="37"/>
      <c r="G156" s="37"/>
      <c r="H156" s="37" t="s">
        <v>30</v>
      </c>
      <c r="I156" s="37"/>
      <c r="J156" s="37" t="s">
        <v>17</v>
      </c>
      <c r="K156" s="37">
        <v>200</v>
      </c>
      <c r="L156" s="37">
        <v>228</v>
      </c>
      <c r="M156" s="37">
        <v>10</v>
      </c>
      <c r="N156" s="37">
        <v>438</v>
      </c>
      <c r="O156" s="37">
        <v>1052</v>
      </c>
      <c r="P156" s="37"/>
      <c r="Q156" s="37">
        <v>1490</v>
      </c>
      <c r="R156" s="37">
        <v>46148</v>
      </c>
      <c r="S156" s="37"/>
      <c r="T156" s="37"/>
      <c r="U156" s="37"/>
      <c r="V156" s="37"/>
      <c r="W156" s="37" t="s">
        <v>17</v>
      </c>
      <c r="X156" s="37"/>
      <c r="Y156" s="37"/>
      <c r="Z156" s="37" t="s">
        <v>310</v>
      </c>
      <c r="AA156" s="37">
        <v>69</v>
      </c>
      <c r="AB156" s="37">
        <v>14</v>
      </c>
      <c r="AC156" s="37">
        <v>1</v>
      </c>
      <c r="AD156" s="37" t="s">
        <v>708</v>
      </c>
      <c r="AE156" s="37">
        <v>2.1</v>
      </c>
      <c r="AF156" s="37" t="s">
        <v>710</v>
      </c>
    </row>
    <row r="157" spans="1:32" customFormat="1" x14ac:dyDescent="0.2">
      <c r="A157" s="37"/>
      <c r="B157" s="37" t="s">
        <v>166</v>
      </c>
      <c r="C157" s="37"/>
      <c r="D157" s="37"/>
      <c r="E157" s="37"/>
      <c r="F157" s="37"/>
      <c r="G157" s="37"/>
      <c r="H157" s="37">
        <v>65</v>
      </c>
      <c r="I157" s="37"/>
      <c r="J157" s="37" t="s">
        <v>19</v>
      </c>
      <c r="K157" s="37">
        <v>3</v>
      </c>
      <c r="L157" s="37">
        <v>27</v>
      </c>
      <c r="M157" s="37">
        <v>3</v>
      </c>
      <c r="N157" s="37">
        <v>33</v>
      </c>
      <c r="O157" s="37">
        <v>128</v>
      </c>
      <c r="P157" s="37"/>
      <c r="Q157" s="37">
        <v>161</v>
      </c>
      <c r="R157" s="37">
        <v>1724</v>
      </c>
      <c r="S157" s="37"/>
      <c r="T157" s="37"/>
      <c r="U157" s="37"/>
      <c r="V157" s="37"/>
      <c r="W157" s="37" t="s">
        <v>17</v>
      </c>
      <c r="X157" s="37"/>
      <c r="Y157" s="37"/>
      <c r="Z157" s="37" t="s">
        <v>310</v>
      </c>
      <c r="AA157" s="37">
        <v>69</v>
      </c>
      <c r="AB157" s="37">
        <v>14</v>
      </c>
      <c r="AC157" s="37">
        <v>1</v>
      </c>
      <c r="AD157" s="37" t="s">
        <v>708</v>
      </c>
      <c r="AE157" s="37">
        <v>2.1</v>
      </c>
      <c r="AF157" s="37" t="s">
        <v>711</v>
      </c>
    </row>
    <row r="158" spans="1:32" customFormat="1" x14ac:dyDescent="0.2">
      <c r="A158" s="37"/>
      <c r="B158" s="37" t="s">
        <v>166</v>
      </c>
      <c r="C158" s="37"/>
      <c r="D158" s="37"/>
      <c r="E158" s="37"/>
      <c r="F158" s="37"/>
      <c r="G158" s="37"/>
      <c r="H158" s="37"/>
      <c r="I158" s="37"/>
      <c r="J158" s="37" t="s">
        <v>25</v>
      </c>
      <c r="K158" s="37">
        <v>0</v>
      </c>
      <c r="L158" s="37">
        <v>9</v>
      </c>
      <c r="M158" s="37">
        <v>1</v>
      </c>
      <c r="N158" s="37">
        <v>10</v>
      </c>
      <c r="O158" s="37">
        <v>18</v>
      </c>
      <c r="P158" s="37"/>
      <c r="Q158" s="37">
        <v>28</v>
      </c>
      <c r="R158" s="37">
        <v>6092</v>
      </c>
      <c r="S158" s="37"/>
      <c r="T158" s="37"/>
      <c r="U158" s="37"/>
      <c r="V158" s="37"/>
      <c r="W158" s="37" t="s">
        <v>17</v>
      </c>
      <c r="X158" s="37"/>
      <c r="Y158" s="37"/>
      <c r="Z158" s="37" t="s">
        <v>310</v>
      </c>
      <c r="AA158" s="37">
        <v>69</v>
      </c>
      <c r="AB158" s="37">
        <v>14</v>
      </c>
      <c r="AC158" s="37">
        <v>1</v>
      </c>
      <c r="AD158" s="37" t="s">
        <v>708</v>
      </c>
      <c r="AE158" s="37">
        <v>2.1</v>
      </c>
      <c r="AF158" s="37" t="s">
        <v>712</v>
      </c>
    </row>
    <row r="159" spans="1:32" customFormat="1" x14ac:dyDescent="0.2">
      <c r="A159" s="37"/>
      <c r="B159" s="37" t="s">
        <v>166</v>
      </c>
      <c r="C159" s="37"/>
      <c r="D159" s="37"/>
      <c r="E159" s="37"/>
      <c r="F159" s="37"/>
      <c r="G159" s="37"/>
      <c r="H159" s="37"/>
      <c r="I159" s="37"/>
      <c r="J159" s="37" t="s">
        <v>15</v>
      </c>
      <c r="K159" s="37">
        <v>345</v>
      </c>
      <c r="L159" s="37">
        <v>309</v>
      </c>
      <c r="M159" s="37">
        <v>14</v>
      </c>
      <c r="N159" s="37">
        <v>668</v>
      </c>
      <c r="O159" s="37">
        <v>1537</v>
      </c>
      <c r="P159" s="37">
        <v>0</v>
      </c>
      <c r="Q159" s="37">
        <v>2205</v>
      </c>
      <c r="R159" s="37">
        <v>57775</v>
      </c>
      <c r="S159" s="37"/>
      <c r="T159" s="37"/>
      <c r="U159" s="37"/>
      <c r="V159" s="37"/>
      <c r="W159" s="37" t="s">
        <v>17</v>
      </c>
      <c r="X159" s="37"/>
      <c r="Y159" s="37"/>
      <c r="Z159" s="37" t="s">
        <v>310</v>
      </c>
      <c r="AA159" s="37">
        <v>69</v>
      </c>
      <c r="AB159" s="37">
        <v>14</v>
      </c>
      <c r="AC159" s="37">
        <v>1</v>
      </c>
      <c r="AD159" s="37" t="s">
        <v>708</v>
      </c>
      <c r="AE159" s="37">
        <v>2.1</v>
      </c>
      <c r="AF159" s="37" t="s">
        <v>713</v>
      </c>
    </row>
    <row r="160" spans="1:32" customFormat="1" x14ac:dyDescent="0.2">
      <c r="A160" s="37"/>
      <c r="B160" s="37">
        <v>39</v>
      </c>
      <c r="C160" s="37" t="s">
        <v>310</v>
      </c>
      <c r="D160" s="37">
        <v>71</v>
      </c>
      <c r="E160" s="37">
        <v>13</v>
      </c>
      <c r="F160" s="37">
        <v>1</v>
      </c>
      <c r="G160" s="37">
        <v>5</v>
      </c>
      <c r="H160" s="37" t="s">
        <v>433</v>
      </c>
      <c r="I160" s="37" t="s">
        <v>23</v>
      </c>
      <c r="J160" s="37" t="s">
        <v>18</v>
      </c>
      <c r="K160" s="37">
        <v>293</v>
      </c>
      <c r="L160" s="37">
        <v>63</v>
      </c>
      <c r="M160" s="37">
        <v>1</v>
      </c>
      <c r="N160" s="37">
        <v>357</v>
      </c>
      <c r="O160" s="37">
        <v>525</v>
      </c>
      <c r="P160" s="37"/>
      <c r="Q160" s="37">
        <v>882</v>
      </c>
      <c r="R160" s="37">
        <v>7301</v>
      </c>
      <c r="S160" s="37"/>
      <c r="T160" s="37" t="s">
        <v>181</v>
      </c>
      <c r="U160" s="37" t="s">
        <v>195</v>
      </c>
      <c r="V160" s="37">
        <v>55</v>
      </c>
      <c r="W160" s="37" t="s">
        <v>18</v>
      </c>
      <c r="X160" s="37" t="s">
        <v>190</v>
      </c>
      <c r="Y160" s="37">
        <v>1250</v>
      </c>
      <c r="Z160" s="37" t="s">
        <v>310</v>
      </c>
      <c r="AA160" s="37">
        <v>71</v>
      </c>
      <c r="AB160" s="37">
        <v>13</v>
      </c>
      <c r="AC160" s="37">
        <v>1</v>
      </c>
      <c r="AD160" s="37" t="s">
        <v>714</v>
      </c>
      <c r="AE160" s="37">
        <v>0.9</v>
      </c>
      <c r="AF160" s="37" t="s">
        <v>715</v>
      </c>
    </row>
    <row r="161" spans="1:32" customFormat="1" x14ac:dyDescent="0.2">
      <c r="A161" s="37"/>
      <c r="B161" s="37" t="s">
        <v>166</v>
      </c>
      <c r="C161" s="37"/>
      <c r="D161" s="37"/>
      <c r="E161" s="37"/>
      <c r="F161" s="37"/>
      <c r="G161" s="37"/>
      <c r="H161" s="37" t="s">
        <v>36</v>
      </c>
      <c r="I161" s="37"/>
      <c r="J161" s="37" t="s">
        <v>17</v>
      </c>
      <c r="K161" s="37">
        <v>13</v>
      </c>
      <c r="L161" s="37">
        <v>34</v>
      </c>
      <c r="M161" s="37">
        <v>2</v>
      </c>
      <c r="N161" s="37">
        <v>49</v>
      </c>
      <c r="O161" s="37">
        <v>63</v>
      </c>
      <c r="P161" s="37"/>
      <c r="Q161" s="37">
        <v>112</v>
      </c>
      <c r="R161" s="37">
        <v>4550</v>
      </c>
      <c r="S161" s="37"/>
      <c r="T161" s="37"/>
      <c r="U161" s="37"/>
      <c r="V161" s="37"/>
      <c r="W161" s="37" t="s">
        <v>18</v>
      </c>
      <c r="X161" s="37"/>
      <c r="Y161" s="37"/>
      <c r="Z161" s="37" t="s">
        <v>310</v>
      </c>
      <c r="AA161" s="37">
        <v>71</v>
      </c>
      <c r="AB161" s="37">
        <v>13</v>
      </c>
      <c r="AC161" s="37">
        <v>1</v>
      </c>
      <c r="AD161" s="37" t="s">
        <v>714</v>
      </c>
      <c r="AE161" s="37">
        <v>0.9</v>
      </c>
      <c r="AF161" s="37" t="s">
        <v>716</v>
      </c>
    </row>
    <row r="162" spans="1:32" customFormat="1" x14ac:dyDescent="0.2">
      <c r="A162" s="37"/>
      <c r="B162" s="37" t="s">
        <v>166</v>
      </c>
      <c r="C162" s="37"/>
      <c r="D162" s="37"/>
      <c r="E162" s="37"/>
      <c r="F162" s="37"/>
      <c r="G162" s="37"/>
      <c r="H162" s="37">
        <v>55</v>
      </c>
      <c r="I162" s="37"/>
      <c r="J162" s="37" t="s">
        <v>19</v>
      </c>
      <c r="K162" s="37">
        <v>1</v>
      </c>
      <c r="L162" s="37">
        <v>12</v>
      </c>
      <c r="M162" s="37">
        <v>1</v>
      </c>
      <c r="N162" s="37">
        <v>14</v>
      </c>
      <c r="O162" s="37">
        <v>42</v>
      </c>
      <c r="P162" s="37"/>
      <c r="Q162" s="37">
        <v>56</v>
      </c>
      <c r="R162" s="37">
        <v>705</v>
      </c>
      <c r="S162" s="37"/>
      <c r="T162" s="37"/>
      <c r="U162" s="37"/>
      <c r="V162" s="37"/>
      <c r="W162" s="37" t="s">
        <v>18</v>
      </c>
      <c r="X162" s="37"/>
      <c r="Y162" s="37"/>
      <c r="Z162" s="37" t="s">
        <v>310</v>
      </c>
      <c r="AA162" s="37">
        <v>71</v>
      </c>
      <c r="AB162" s="37">
        <v>13</v>
      </c>
      <c r="AC162" s="37">
        <v>1</v>
      </c>
      <c r="AD162" s="37" t="s">
        <v>714</v>
      </c>
      <c r="AE162" s="37">
        <v>0.9</v>
      </c>
      <c r="AF162" s="37" t="s">
        <v>717</v>
      </c>
    </row>
    <row r="163" spans="1:32" customFormat="1" x14ac:dyDescent="0.2">
      <c r="A163" s="37"/>
      <c r="B163" s="37" t="s">
        <v>166</v>
      </c>
      <c r="C163" s="37"/>
      <c r="D163" s="37"/>
      <c r="E163" s="37"/>
      <c r="F163" s="37"/>
      <c r="G163" s="37"/>
      <c r="H163" s="37"/>
      <c r="I163" s="37"/>
      <c r="J163" s="37" t="s">
        <v>15</v>
      </c>
      <c r="K163" s="37">
        <v>307</v>
      </c>
      <c r="L163" s="37">
        <v>109</v>
      </c>
      <c r="M163" s="37">
        <v>4</v>
      </c>
      <c r="N163" s="37">
        <v>420</v>
      </c>
      <c r="O163" s="37">
        <v>630</v>
      </c>
      <c r="P163" s="37">
        <v>0</v>
      </c>
      <c r="Q163" s="37">
        <v>1050</v>
      </c>
      <c r="R163" s="37">
        <v>12556</v>
      </c>
      <c r="S163" s="37"/>
      <c r="T163" s="37"/>
      <c r="U163" s="37"/>
      <c r="V163" s="37"/>
      <c r="W163" s="37" t="s">
        <v>18</v>
      </c>
      <c r="X163" s="37"/>
      <c r="Y163" s="37"/>
      <c r="Z163" s="37" t="s">
        <v>310</v>
      </c>
      <c r="AA163" s="37">
        <v>71</v>
      </c>
      <c r="AB163" s="37">
        <v>13</v>
      </c>
      <c r="AC163" s="37">
        <v>1</v>
      </c>
      <c r="AD163" s="37" t="s">
        <v>714</v>
      </c>
      <c r="AE163" s="37">
        <v>0.9</v>
      </c>
      <c r="AF163" s="37" t="s">
        <v>718</v>
      </c>
    </row>
    <row r="164" spans="1:32" customFormat="1" x14ac:dyDescent="0.2">
      <c r="A164" s="37"/>
      <c r="B164" s="37">
        <v>40</v>
      </c>
      <c r="C164" s="37" t="s">
        <v>310</v>
      </c>
      <c r="D164" s="37">
        <v>77</v>
      </c>
      <c r="E164" s="37">
        <v>14</v>
      </c>
      <c r="F164" s="37">
        <v>1</v>
      </c>
      <c r="G164" s="37">
        <v>11</v>
      </c>
      <c r="H164" s="37" t="s">
        <v>433</v>
      </c>
      <c r="I164" s="37" t="s">
        <v>23</v>
      </c>
      <c r="J164" s="37" t="s">
        <v>18</v>
      </c>
      <c r="K164" s="37">
        <v>215</v>
      </c>
      <c r="L164" s="37">
        <v>49</v>
      </c>
      <c r="M164" s="37">
        <v>0</v>
      </c>
      <c r="N164" s="37">
        <v>264</v>
      </c>
      <c r="O164" s="37">
        <v>472</v>
      </c>
      <c r="P164" s="37"/>
      <c r="Q164" s="37">
        <v>736</v>
      </c>
      <c r="R164" s="37">
        <v>5438</v>
      </c>
      <c r="S164" s="37"/>
      <c r="T164" s="37" t="s">
        <v>181</v>
      </c>
      <c r="U164" s="37" t="s">
        <v>206</v>
      </c>
      <c r="V164" s="37">
        <v>70</v>
      </c>
      <c r="W164" s="37" t="s">
        <v>17</v>
      </c>
      <c r="X164" s="37" t="s">
        <v>190</v>
      </c>
      <c r="Y164" s="37">
        <v>2310</v>
      </c>
      <c r="Z164" s="37" t="s">
        <v>310</v>
      </c>
      <c r="AA164" s="37">
        <v>77</v>
      </c>
      <c r="AB164" s="37">
        <v>14</v>
      </c>
      <c r="AC164" s="37">
        <v>1</v>
      </c>
      <c r="AD164" s="37" t="s">
        <v>719</v>
      </c>
      <c r="AE164" s="37">
        <v>1.6</v>
      </c>
      <c r="AF164" s="37" t="s">
        <v>720</v>
      </c>
    </row>
    <row r="165" spans="1:32" customFormat="1" x14ac:dyDescent="0.2">
      <c r="A165" s="37"/>
      <c r="B165" s="37" t="s">
        <v>166</v>
      </c>
      <c r="C165" s="37"/>
      <c r="D165" s="37"/>
      <c r="E165" s="37"/>
      <c r="F165" s="37"/>
      <c r="G165" s="37"/>
      <c r="H165" s="37" t="s">
        <v>31</v>
      </c>
      <c r="I165" s="37"/>
      <c r="J165" s="37" t="s">
        <v>17</v>
      </c>
      <c r="K165" s="37">
        <v>245</v>
      </c>
      <c r="L165" s="37">
        <v>246</v>
      </c>
      <c r="M165" s="37">
        <v>8</v>
      </c>
      <c r="N165" s="37">
        <v>499</v>
      </c>
      <c r="O165" s="37">
        <v>634</v>
      </c>
      <c r="P165" s="37"/>
      <c r="Q165" s="37">
        <v>1133</v>
      </c>
      <c r="R165" s="37">
        <v>49779</v>
      </c>
      <c r="S165" s="37"/>
      <c r="T165" s="37"/>
      <c r="U165" s="37"/>
      <c r="V165" s="37"/>
      <c r="W165" s="37" t="s">
        <v>17</v>
      </c>
      <c r="X165" s="37"/>
      <c r="Y165" s="37"/>
      <c r="Z165" s="37" t="s">
        <v>310</v>
      </c>
      <c r="AA165" s="37">
        <v>77</v>
      </c>
      <c r="AB165" s="37">
        <v>14</v>
      </c>
      <c r="AC165" s="37">
        <v>1</v>
      </c>
      <c r="AD165" s="37" t="s">
        <v>719</v>
      </c>
      <c r="AE165" s="37">
        <v>1.6</v>
      </c>
      <c r="AF165" s="37" t="s">
        <v>721</v>
      </c>
    </row>
    <row r="166" spans="1:32" customFormat="1" x14ac:dyDescent="0.2">
      <c r="A166" s="37"/>
      <c r="B166" s="37" t="s">
        <v>166</v>
      </c>
      <c r="C166" s="37"/>
      <c r="D166" s="37"/>
      <c r="E166" s="37"/>
      <c r="F166" s="37"/>
      <c r="G166" s="37"/>
      <c r="H166" s="37">
        <v>70</v>
      </c>
      <c r="I166" s="37"/>
      <c r="J166" s="37" t="s">
        <v>19</v>
      </c>
      <c r="K166" s="37">
        <v>4</v>
      </c>
      <c r="L166" s="37">
        <v>22</v>
      </c>
      <c r="M166" s="37">
        <v>2</v>
      </c>
      <c r="N166" s="37">
        <v>28</v>
      </c>
      <c r="O166" s="37">
        <v>94</v>
      </c>
      <c r="P166" s="37"/>
      <c r="Q166" s="37">
        <v>122</v>
      </c>
      <c r="R166" s="37">
        <v>1464</v>
      </c>
      <c r="S166" s="37"/>
      <c r="T166" s="37"/>
      <c r="U166" s="37"/>
      <c r="V166" s="37"/>
      <c r="W166" s="37" t="s">
        <v>17</v>
      </c>
      <c r="X166" s="37"/>
      <c r="Y166" s="37"/>
      <c r="Z166" s="37" t="s">
        <v>310</v>
      </c>
      <c r="AA166" s="37">
        <v>77</v>
      </c>
      <c r="AB166" s="37">
        <v>14</v>
      </c>
      <c r="AC166" s="37">
        <v>1</v>
      </c>
      <c r="AD166" s="37" t="s">
        <v>719</v>
      </c>
      <c r="AE166" s="37">
        <v>1.6</v>
      </c>
      <c r="AF166" s="37" t="s">
        <v>722</v>
      </c>
    </row>
    <row r="167" spans="1:32" customFormat="1" x14ac:dyDescent="0.2">
      <c r="A167" s="37"/>
      <c r="B167" s="37" t="s">
        <v>166</v>
      </c>
      <c r="C167" s="37"/>
      <c r="D167" s="37"/>
      <c r="E167" s="37"/>
      <c r="F167" s="37"/>
      <c r="G167" s="37"/>
      <c r="H167" s="37"/>
      <c r="I167" s="37"/>
      <c r="J167" s="37" t="s">
        <v>15</v>
      </c>
      <c r="K167" s="37">
        <v>464</v>
      </c>
      <c r="L167" s="37">
        <v>317</v>
      </c>
      <c r="M167" s="37">
        <v>10</v>
      </c>
      <c r="N167" s="37">
        <v>791</v>
      </c>
      <c r="O167" s="37">
        <v>1200</v>
      </c>
      <c r="P167" s="37">
        <v>0</v>
      </c>
      <c r="Q167" s="37">
        <v>1991</v>
      </c>
      <c r="R167" s="37">
        <v>56681</v>
      </c>
      <c r="S167" s="37"/>
      <c r="T167" s="37"/>
      <c r="U167" s="37"/>
      <c r="V167" s="37"/>
      <c r="W167" s="37" t="s">
        <v>17</v>
      </c>
      <c r="X167" s="37"/>
      <c r="Y167" s="37"/>
      <c r="Z167" s="37" t="s">
        <v>310</v>
      </c>
      <c r="AA167" s="37">
        <v>77</v>
      </c>
      <c r="AB167" s="37">
        <v>14</v>
      </c>
      <c r="AC167" s="37">
        <v>1</v>
      </c>
      <c r="AD167" s="37" t="s">
        <v>719</v>
      </c>
      <c r="AE167" s="37">
        <v>1.6</v>
      </c>
      <c r="AF167" s="37" t="s">
        <v>723</v>
      </c>
    </row>
    <row r="168" spans="1:32" customFormat="1" x14ac:dyDescent="0.2">
      <c r="A168" s="37"/>
      <c r="B168" s="37">
        <v>41</v>
      </c>
      <c r="C168" s="37" t="s">
        <v>310</v>
      </c>
      <c r="D168" s="37">
        <v>86</v>
      </c>
      <c r="E168" s="37">
        <v>10</v>
      </c>
      <c r="F168" s="37">
        <v>1</v>
      </c>
      <c r="G168" s="37">
        <v>19</v>
      </c>
      <c r="H168" s="37" t="s">
        <v>433</v>
      </c>
      <c r="I168" s="37" t="s">
        <v>23</v>
      </c>
      <c r="J168" s="37" t="s">
        <v>18</v>
      </c>
      <c r="K168" s="37">
        <v>337</v>
      </c>
      <c r="L168" s="37">
        <v>325</v>
      </c>
      <c r="M168" s="37">
        <v>8</v>
      </c>
      <c r="N168" s="37">
        <v>670</v>
      </c>
      <c r="O168" s="37">
        <v>207</v>
      </c>
      <c r="P168" s="37"/>
      <c r="Q168" s="37">
        <v>877</v>
      </c>
      <c r="R168" s="37">
        <v>12216</v>
      </c>
      <c r="S168" s="37"/>
      <c r="T168" s="37" t="s">
        <v>181</v>
      </c>
      <c r="U168" s="37" t="s">
        <v>193</v>
      </c>
      <c r="V168" s="37">
        <v>70</v>
      </c>
      <c r="W168" s="37" t="s">
        <v>17</v>
      </c>
      <c r="X168" s="37" t="s">
        <v>190</v>
      </c>
      <c r="Y168" s="37">
        <v>3990</v>
      </c>
      <c r="Z168" s="37" t="s">
        <v>310</v>
      </c>
      <c r="AA168" s="37">
        <v>86</v>
      </c>
      <c r="AB168" s="37">
        <v>10</v>
      </c>
      <c r="AC168" s="37">
        <v>1</v>
      </c>
      <c r="AD168" s="37" t="s">
        <v>724</v>
      </c>
      <c r="AE168" s="37">
        <v>2.6</v>
      </c>
      <c r="AF168" s="37" t="s">
        <v>725</v>
      </c>
    </row>
    <row r="169" spans="1:32" customFormat="1" x14ac:dyDescent="0.2">
      <c r="A169" s="37"/>
      <c r="B169" s="37" t="s">
        <v>166</v>
      </c>
      <c r="C169" s="37"/>
      <c r="D169" s="37"/>
      <c r="E169" s="37"/>
      <c r="F169" s="37"/>
      <c r="G169" s="37"/>
      <c r="H169" s="37" t="s">
        <v>29</v>
      </c>
      <c r="I169" s="37"/>
      <c r="J169" s="37" t="s">
        <v>17</v>
      </c>
      <c r="K169" s="37">
        <v>144</v>
      </c>
      <c r="L169" s="37">
        <v>542</v>
      </c>
      <c r="M169" s="37">
        <v>104</v>
      </c>
      <c r="N169" s="37">
        <v>790</v>
      </c>
      <c r="O169" s="37">
        <v>313</v>
      </c>
      <c r="P169" s="37"/>
      <c r="Q169" s="37">
        <v>1103</v>
      </c>
      <c r="R169" s="37">
        <v>63508</v>
      </c>
      <c r="S169" s="37"/>
      <c r="T169" s="37"/>
      <c r="U169" s="37"/>
      <c r="V169" s="37"/>
      <c r="W169" s="37" t="s">
        <v>17</v>
      </c>
      <c r="X169" s="37"/>
      <c r="Y169" s="37"/>
      <c r="Z169" s="37" t="s">
        <v>310</v>
      </c>
      <c r="AA169" s="37">
        <v>86</v>
      </c>
      <c r="AB169" s="37">
        <v>10</v>
      </c>
      <c r="AC169" s="37">
        <v>1</v>
      </c>
      <c r="AD169" s="37" t="s">
        <v>724</v>
      </c>
      <c r="AE169" s="37">
        <v>2.6</v>
      </c>
      <c r="AF169" s="37" t="s">
        <v>726</v>
      </c>
    </row>
    <row r="170" spans="1:32" customFormat="1" x14ac:dyDescent="0.2">
      <c r="A170" s="37"/>
      <c r="B170" s="37" t="s">
        <v>166</v>
      </c>
      <c r="C170" s="37"/>
      <c r="D170" s="37"/>
      <c r="E170" s="37"/>
      <c r="F170" s="37"/>
      <c r="G170" s="37"/>
      <c r="H170" s="37">
        <v>70</v>
      </c>
      <c r="I170" s="37"/>
      <c r="J170" s="37" t="s">
        <v>19</v>
      </c>
      <c r="K170" s="37"/>
      <c r="L170" s="37">
        <v>63</v>
      </c>
      <c r="M170" s="37">
        <v>56</v>
      </c>
      <c r="N170" s="37">
        <v>119</v>
      </c>
      <c r="O170" s="37">
        <v>89</v>
      </c>
      <c r="P170" s="37"/>
      <c r="Q170" s="37">
        <v>208</v>
      </c>
      <c r="R170" s="37">
        <v>4400</v>
      </c>
      <c r="S170" s="37"/>
      <c r="T170" s="37"/>
      <c r="U170" s="37"/>
      <c r="V170" s="37"/>
      <c r="W170" s="37" t="s">
        <v>17</v>
      </c>
      <c r="X170" s="37"/>
      <c r="Y170" s="37"/>
      <c r="Z170" s="37" t="s">
        <v>310</v>
      </c>
      <c r="AA170" s="37">
        <v>86</v>
      </c>
      <c r="AB170" s="37">
        <v>10</v>
      </c>
      <c r="AC170" s="37">
        <v>1</v>
      </c>
      <c r="AD170" s="37" t="s">
        <v>724</v>
      </c>
      <c r="AE170" s="37">
        <v>2.6</v>
      </c>
      <c r="AF170" s="37" t="s">
        <v>727</v>
      </c>
    </row>
    <row r="171" spans="1:32" customFormat="1" x14ac:dyDescent="0.2">
      <c r="A171" s="37"/>
      <c r="B171" s="37"/>
      <c r="C171" s="37"/>
      <c r="D171" s="37"/>
      <c r="E171" s="37"/>
      <c r="F171" s="37"/>
      <c r="G171" s="37"/>
      <c r="H171" s="37"/>
      <c r="I171" s="37"/>
      <c r="J171" s="37" t="s">
        <v>25</v>
      </c>
      <c r="K171" s="37"/>
      <c r="L171" s="37">
        <v>2</v>
      </c>
      <c r="M171" s="37">
        <v>7</v>
      </c>
      <c r="N171" s="37">
        <v>9</v>
      </c>
      <c r="O171" s="37">
        <v>1</v>
      </c>
      <c r="P171" s="37"/>
      <c r="Q171" s="37">
        <v>10</v>
      </c>
      <c r="R171" s="37">
        <v>3188</v>
      </c>
      <c r="S171" s="37"/>
      <c r="T171" s="37"/>
      <c r="U171" s="37"/>
      <c r="V171" s="37"/>
      <c r="W171" s="37"/>
      <c r="X171" s="37"/>
      <c r="Y171" s="37"/>
      <c r="Z171" s="37"/>
      <c r="AA171" s="37"/>
      <c r="AB171" s="37"/>
      <c r="AC171" s="37"/>
      <c r="AD171" s="37"/>
      <c r="AE171" s="37"/>
      <c r="AF171" s="37"/>
    </row>
    <row r="172" spans="1:32" customFormat="1" x14ac:dyDescent="0.2">
      <c r="A172" s="37"/>
      <c r="B172" s="37" t="s">
        <v>166</v>
      </c>
      <c r="C172" s="37"/>
      <c r="D172" s="37"/>
      <c r="E172" s="37"/>
      <c r="F172" s="37"/>
      <c r="G172" s="37"/>
      <c r="H172" s="37"/>
      <c r="I172" s="37"/>
      <c r="J172" s="37" t="s">
        <v>15</v>
      </c>
      <c r="K172" s="37">
        <v>481</v>
      </c>
      <c r="L172" s="37">
        <v>932</v>
      </c>
      <c r="M172" s="37">
        <v>175</v>
      </c>
      <c r="N172" s="37">
        <v>1588</v>
      </c>
      <c r="O172" s="37">
        <v>610</v>
      </c>
      <c r="P172" s="37">
        <v>0</v>
      </c>
      <c r="Q172" s="37">
        <v>2198</v>
      </c>
      <c r="R172" s="37">
        <v>83312</v>
      </c>
      <c r="S172" s="37"/>
      <c r="T172" s="37"/>
      <c r="U172" s="37"/>
      <c r="V172" s="37"/>
      <c r="W172" s="37" t="s">
        <v>17</v>
      </c>
      <c r="X172" s="37"/>
      <c r="Y172" s="37"/>
      <c r="Z172" s="37" t="s">
        <v>310</v>
      </c>
      <c r="AA172" s="37">
        <v>86</v>
      </c>
      <c r="AB172" s="37">
        <v>10</v>
      </c>
      <c r="AC172" s="37">
        <v>1</v>
      </c>
      <c r="AD172" s="37" t="s">
        <v>724</v>
      </c>
      <c r="AE172" s="37">
        <v>2.6</v>
      </c>
      <c r="AF172" s="37" t="s">
        <v>728</v>
      </c>
    </row>
    <row r="173" spans="1:32" customFormat="1" x14ac:dyDescent="0.2">
      <c r="A173" s="37"/>
      <c r="B173" s="37">
        <v>42</v>
      </c>
      <c r="C173" s="37" t="s">
        <v>24</v>
      </c>
      <c r="D173" s="37">
        <v>1</v>
      </c>
      <c r="E173" s="37">
        <v>5</v>
      </c>
      <c r="F173" s="37">
        <v>1</v>
      </c>
      <c r="G173" s="37">
        <v>5</v>
      </c>
      <c r="H173" s="37" t="s">
        <v>56</v>
      </c>
      <c r="I173" s="37" t="s">
        <v>23</v>
      </c>
      <c r="J173" s="37" t="s">
        <v>18</v>
      </c>
      <c r="K173" s="37">
        <v>11</v>
      </c>
      <c r="L173" s="37">
        <v>148</v>
      </c>
      <c r="M173" s="37">
        <v>20</v>
      </c>
      <c r="N173" s="37">
        <v>179</v>
      </c>
      <c r="O173" s="37">
        <v>303</v>
      </c>
      <c r="P173" s="37"/>
      <c r="Q173" s="37">
        <v>482</v>
      </c>
      <c r="R173" s="37">
        <v>2868</v>
      </c>
      <c r="S173" s="37"/>
      <c r="T173" s="37" t="s">
        <v>181</v>
      </c>
      <c r="U173" s="37" t="s">
        <v>198</v>
      </c>
      <c r="V173" s="37">
        <v>45</v>
      </c>
      <c r="W173" s="37" t="s">
        <v>18</v>
      </c>
      <c r="X173" s="37" t="s">
        <v>190</v>
      </c>
      <c r="Y173" s="37">
        <v>800</v>
      </c>
      <c r="Z173" s="37" t="s">
        <v>24</v>
      </c>
      <c r="AA173" s="37">
        <v>1</v>
      </c>
      <c r="AB173" s="37">
        <v>5</v>
      </c>
      <c r="AC173" s="37">
        <v>1</v>
      </c>
      <c r="AD173" s="37" t="s">
        <v>729</v>
      </c>
      <c r="AE173" s="37">
        <v>0.9</v>
      </c>
      <c r="AF173" s="37" t="s">
        <v>730</v>
      </c>
    </row>
    <row r="174" spans="1:32" customFormat="1" x14ac:dyDescent="0.2">
      <c r="A174" s="37"/>
      <c r="B174" s="37" t="s">
        <v>166</v>
      </c>
      <c r="C174" s="37"/>
      <c r="D174" s="37"/>
      <c r="E174" s="37"/>
      <c r="F174" s="37"/>
      <c r="G174" s="37"/>
      <c r="H174" s="37" t="s">
        <v>34</v>
      </c>
      <c r="I174" s="37"/>
      <c r="J174" s="37" t="s">
        <v>17</v>
      </c>
      <c r="K174" s="37">
        <v>11</v>
      </c>
      <c r="L174" s="37">
        <v>60</v>
      </c>
      <c r="M174" s="37">
        <v>30</v>
      </c>
      <c r="N174" s="37">
        <v>101</v>
      </c>
      <c r="O174" s="37">
        <v>200</v>
      </c>
      <c r="P174" s="37"/>
      <c r="Q174" s="37">
        <v>301</v>
      </c>
      <c r="R174" s="37">
        <v>8195</v>
      </c>
      <c r="S174" s="37"/>
      <c r="T174" s="37"/>
      <c r="U174" s="37"/>
      <c r="V174" s="37"/>
      <c r="W174" s="37" t="s">
        <v>18</v>
      </c>
      <c r="X174" s="37"/>
      <c r="Y174" s="37"/>
      <c r="Z174" s="37" t="s">
        <v>24</v>
      </c>
      <c r="AA174" s="37">
        <v>1</v>
      </c>
      <c r="AB174" s="37">
        <v>5</v>
      </c>
      <c r="AC174" s="37">
        <v>1</v>
      </c>
      <c r="AD174" s="37" t="s">
        <v>729</v>
      </c>
      <c r="AE174" s="37">
        <v>0.9</v>
      </c>
      <c r="AF174" s="37" t="s">
        <v>731</v>
      </c>
    </row>
    <row r="175" spans="1:32" customFormat="1" x14ac:dyDescent="0.2">
      <c r="A175" s="37"/>
      <c r="B175" s="37" t="s">
        <v>166</v>
      </c>
      <c r="C175" s="37"/>
      <c r="D175" s="37"/>
      <c r="E175" s="37"/>
      <c r="F175" s="37"/>
      <c r="G175" s="37"/>
      <c r="H175" s="37">
        <v>45</v>
      </c>
      <c r="I175" s="37"/>
      <c r="J175" s="37" t="s">
        <v>15</v>
      </c>
      <c r="K175" s="37">
        <v>22</v>
      </c>
      <c r="L175" s="37">
        <v>208</v>
      </c>
      <c r="M175" s="37">
        <v>50</v>
      </c>
      <c r="N175" s="37">
        <v>280</v>
      </c>
      <c r="O175" s="37">
        <v>503</v>
      </c>
      <c r="P175" s="37">
        <v>0</v>
      </c>
      <c r="Q175" s="37">
        <v>783</v>
      </c>
      <c r="R175" s="37">
        <v>11063</v>
      </c>
      <c r="S175" s="37"/>
      <c r="T175" s="37"/>
      <c r="U175" s="37"/>
      <c r="V175" s="37"/>
      <c r="W175" s="37" t="s">
        <v>18</v>
      </c>
      <c r="X175" s="37"/>
      <c r="Y175" s="37"/>
      <c r="Z175" s="37" t="s">
        <v>24</v>
      </c>
      <c r="AA175" s="37">
        <v>1</v>
      </c>
      <c r="AB175" s="37">
        <v>5</v>
      </c>
      <c r="AC175" s="37">
        <v>1</v>
      </c>
      <c r="AD175" s="37" t="s">
        <v>729</v>
      </c>
      <c r="AE175" s="37">
        <v>0.9</v>
      </c>
      <c r="AF175" s="37" t="s">
        <v>732</v>
      </c>
    </row>
    <row r="176" spans="1:32" customFormat="1" x14ac:dyDescent="0.2">
      <c r="A176" s="37"/>
      <c r="B176" s="37">
        <v>43</v>
      </c>
      <c r="C176" s="37" t="s">
        <v>24</v>
      </c>
      <c r="D176" s="37">
        <v>2</v>
      </c>
      <c r="E176" s="37">
        <v>5</v>
      </c>
      <c r="F176" s="37">
        <v>1</v>
      </c>
      <c r="G176" s="37">
        <v>2</v>
      </c>
      <c r="H176" s="37" t="s">
        <v>56</v>
      </c>
      <c r="I176" s="37" t="s">
        <v>23</v>
      </c>
      <c r="J176" s="37" t="s">
        <v>18</v>
      </c>
      <c r="K176" s="37">
        <v>0</v>
      </c>
      <c r="L176" s="37">
        <v>18</v>
      </c>
      <c r="M176" s="37">
        <v>6</v>
      </c>
      <c r="N176" s="37">
        <v>24</v>
      </c>
      <c r="O176" s="37">
        <v>40</v>
      </c>
      <c r="P176" s="37"/>
      <c r="Q176" s="37">
        <v>64</v>
      </c>
      <c r="R176" s="37">
        <v>344</v>
      </c>
      <c r="S176" s="37"/>
      <c r="T176" s="37" t="s">
        <v>181</v>
      </c>
      <c r="U176" s="37" t="s">
        <v>336</v>
      </c>
      <c r="V176" s="37">
        <v>70</v>
      </c>
      <c r="W176" s="37" t="s">
        <v>17</v>
      </c>
      <c r="X176" s="37" t="s">
        <v>190</v>
      </c>
      <c r="Y176" s="37">
        <v>340</v>
      </c>
      <c r="Z176" s="37" t="s">
        <v>24</v>
      </c>
      <c r="AA176" s="37">
        <v>2</v>
      </c>
      <c r="AB176" s="37">
        <v>5</v>
      </c>
      <c r="AC176" s="37">
        <v>1</v>
      </c>
      <c r="AD176" s="37" t="s">
        <v>733</v>
      </c>
      <c r="AE176" s="37">
        <v>0.6</v>
      </c>
      <c r="AF176" s="37" t="s">
        <v>734</v>
      </c>
    </row>
    <row r="177" spans="1:32" customFormat="1" x14ac:dyDescent="0.2">
      <c r="A177" s="37"/>
      <c r="B177" s="37" t="s">
        <v>166</v>
      </c>
      <c r="C177" s="37"/>
      <c r="D177" s="37"/>
      <c r="E177" s="37"/>
      <c r="F177" s="37"/>
      <c r="G177" s="37"/>
      <c r="H177" s="37" t="s">
        <v>46</v>
      </c>
      <c r="I177" s="37"/>
      <c r="J177" s="37" t="s">
        <v>17</v>
      </c>
      <c r="K177" s="37">
        <v>0</v>
      </c>
      <c r="L177" s="37">
        <v>24</v>
      </c>
      <c r="M177" s="37">
        <v>14</v>
      </c>
      <c r="N177" s="37">
        <v>38</v>
      </c>
      <c r="O177" s="37">
        <v>60</v>
      </c>
      <c r="P177" s="37"/>
      <c r="Q177" s="37">
        <v>98</v>
      </c>
      <c r="R177" s="37">
        <v>2771</v>
      </c>
      <c r="S177" s="37"/>
      <c r="T177" s="37"/>
      <c r="U177" s="37"/>
      <c r="V177" s="37"/>
      <c r="W177" s="37" t="s">
        <v>17</v>
      </c>
      <c r="X177" s="37"/>
      <c r="Y177" s="37"/>
      <c r="Z177" s="37" t="s">
        <v>24</v>
      </c>
      <c r="AA177" s="37">
        <v>2</v>
      </c>
      <c r="AB177" s="37">
        <v>5</v>
      </c>
      <c r="AC177" s="37">
        <v>1</v>
      </c>
      <c r="AD177" s="37" t="s">
        <v>733</v>
      </c>
      <c r="AE177" s="37">
        <v>0.6</v>
      </c>
      <c r="AF177" s="37" t="s">
        <v>735</v>
      </c>
    </row>
    <row r="178" spans="1:32" customFormat="1" x14ac:dyDescent="0.2">
      <c r="A178" s="37"/>
      <c r="B178" s="37" t="s">
        <v>166</v>
      </c>
      <c r="C178" s="37"/>
      <c r="D178" s="37"/>
      <c r="E178" s="37"/>
      <c r="F178" s="37"/>
      <c r="G178" s="37"/>
      <c r="H178" s="37">
        <v>70</v>
      </c>
      <c r="I178" s="37"/>
      <c r="J178" s="37" t="s">
        <v>19</v>
      </c>
      <c r="K178" s="37">
        <v>0</v>
      </c>
      <c r="L178" s="37">
        <v>6</v>
      </c>
      <c r="M178" s="37">
        <v>5</v>
      </c>
      <c r="N178" s="37">
        <v>11</v>
      </c>
      <c r="O178" s="37">
        <v>31</v>
      </c>
      <c r="P178" s="37"/>
      <c r="Q178" s="37">
        <v>42</v>
      </c>
      <c r="R178" s="37">
        <v>427</v>
      </c>
      <c r="S178" s="37"/>
      <c r="T178" s="37"/>
      <c r="U178" s="37"/>
      <c r="V178" s="37"/>
      <c r="W178" s="37" t="s">
        <v>17</v>
      </c>
      <c r="X178" s="37"/>
      <c r="Y178" s="37"/>
      <c r="Z178" s="37" t="s">
        <v>24</v>
      </c>
      <c r="AA178" s="37">
        <v>2</v>
      </c>
      <c r="AB178" s="37">
        <v>5</v>
      </c>
      <c r="AC178" s="37">
        <v>1</v>
      </c>
      <c r="AD178" s="37" t="s">
        <v>733</v>
      </c>
      <c r="AE178" s="37">
        <v>0.6</v>
      </c>
      <c r="AF178" s="37" t="s">
        <v>736</v>
      </c>
    </row>
    <row r="179" spans="1:32" customFormat="1" x14ac:dyDescent="0.2">
      <c r="A179" s="37"/>
      <c r="B179" s="37" t="s">
        <v>166</v>
      </c>
      <c r="C179" s="37"/>
      <c r="D179" s="37"/>
      <c r="E179" s="37"/>
      <c r="F179" s="37"/>
      <c r="G179" s="37"/>
      <c r="H179" s="37"/>
      <c r="I179" s="37"/>
      <c r="J179" s="37" t="s">
        <v>15</v>
      </c>
      <c r="K179" s="37">
        <v>0</v>
      </c>
      <c r="L179" s="37">
        <v>48</v>
      </c>
      <c r="M179" s="37">
        <v>25</v>
      </c>
      <c r="N179" s="37">
        <v>73</v>
      </c>
      <c r="O179" s="37">
        <v>131</v>
      </c>
      <c r="P179" s="37">
        <v>0</v>
      </c>
      <c r="Q179" s="37">
        <v>204</v>
      </c>
      <c r="R179" s="37">
        <v>3542</v>
      </c>
      <c r="S179" s="37"/>
      <c r="T179" s="37"/>
      <c r="U179" s="37"/>
      <c r="V179" s="37"/>
      <c r="W179" s="37" t="s">
        <v>17</v>
      </c>
      <c r="X179" s="37"/>
      <c r="Y179" s="37"/>
      <c r="Z179" s="37" t="s">
        <v>24</v>
      </c>
      <c r="AA179" s="37">
        <v>2</v>
      </c>
      <c r="AB179" s="37">
        <v>5</v>
      </c>
      <c r="AC179" s="37">
        <v>1</v>
      </c>
      <c r="AD179" s="37" t="s">
        <v>733</v>
      </c>
      <c r="AE179" s="37">
        <v>0.6</v>
      </c>
      <c r="AF179" s="37" t="s">
        <v>737</v>
      </c>
    </row>
    <row r="180" spans="1:32" customFormat="1" x14ac:dyDescent="0.2">
      <c r="A180" s="37"/>
      <c r="B180" s="37">
        <v>44</v>
      </c>
      <c r="C180" s="37" t="s">
        <v>24</v>
      </c>
      <c r="D180" s="37">
        <v>2</v>
      </c>
      <c r="E180" s="37">
        <v>15</v>
      </c>
      <c r="F180" s="37">
        <v>1</v>
      </c>
      <c r="G180" s="37">
        <v>10</v>
      </c>
      <c r="H180" s="37" t="s">
        <v>56</v>
      </c>
      <c r="I180" s="37" t="s">
        <v>23</v>
      </c>
      <c r="J180" s="37" t="s">
        <v>18</v>
      </c>
      <c r="K180" s="37">
        <v>124</v>
      </c>
      <c r="L180" s="37">
        <v>399</v>
      </c>
      <c r="M180" s="37">
        <v>23</v>
      </c>
      <c r="N180" s="37">
        <v>546</v>
      </c>
      <c r="O180" s="37">
        <v>1072</v>
      </c>
      <c r="P180" s="37"/>
      <c r="Q180" s="37">
        <v>1618</v>
      </c>
      <c r="R180" s="37">
        <v>9551</v>
      </c>
      <c r="S180" s="37"/>
      <c r="T180" s="37" t="s">
        <v>181</v>
      </c>
      <c r="U180" s="37" t="s">
        <v>207</v>
      </c>
      <c r="V180" s="37">
        <v>55</v>
      </c>
      <c r="W180" s="37" t="s">
        <v>18</v>
      </c>
      <c r="X180" s="37" t="s">
        <v>190</v>
      </c>
      <c r="Y180" s="37">
        <v>3200</v>
      </c>
      <c r="Z180" s="37" t="s">
        <v>24</v>
      </c>
      <c r="AA180" s="37">
        <v>2</v>
      </c>
      <c r="AB180" s="37">
        <v>15</v>
      </c>
      <c r="AC180" s="37">
        <v>1</v>
      </c>
      <c r="AD180" s="37" t="s">
        <v>738</v>
      </c>
      <c r="AE180" s="37">
        <v>1.4</v>
      </c>
      <c r="AF180" s="37" t="s">
        <v>739</v>
      </c>
    </row>
    <row r="181" spans="1:32" customFormat="1" x14ac:dyDescent="0.2">
      <c r="A181" s="37"/>
      <c r="B181" s="37" t="s">
        <v>166</v>
      </c>
      <c r="C181" s="37"/>
      <c r="D181" s="37"/>
      <c r="E181" s="37"/>
      <c r="F181" s="37"/>
      <c r="G181" s="37"/>
      <c r="H181" s="37" t="s">
        <v>35</v>
      </c>
      <c r="I181" s="37"/>
      <c r="J181" s="37" t="s">
        <v>17</v>
      </c>
      <c r="K181" s="37">
        <v>38</v>
      </c>
      <c r="L181" s="37">
        <v>134</v>
      </c>
      <c r="M181" s="37">
        <v>18</v>
      </c>
      <c r="N181" s="37">
        <v>190</v>
      </c>
      <c r="O181" s="37">
        <v>392</v>
      </c>
      <c r="P181" s="37"/>
      <c r="Q181" s="37">
        <v>582</v>
      </c>
      <c r="R181" s="37">
        <v>17597</v>
      </c>
      <c r="S181" s="37"/>
      <c r="T181" s="37"/>
      <c r="U181" s="37"/>
      <c r="V181" s="37"/>
      <c r="W181" s="37" t="s">
        <v>18</v>
      </c>
      <c r="X181" s="37"/>
      <c r="Y181" s="37"/>
      <c r="Z181" s="37" t="s">
        <v>24</v>
      </c>
      <c r="AA181" s="37">
        <v>2</v>
      </c>
      <c r="AB181" s="37">
        <v>15</v>
      </c>
      <c r="AC181" s="37">
        <v>1</v>
      </c>
      <c r="AD181" s="37" t="s">
        <v>738</v>
      </c>
      <c r="AE181" s="37">
        <v>1.4</v>
      </c>
      <c r="AF181" s="37" t="s">
        <v>740</v>
      </c>
    </row>
    <row r="182" spans="1:32" customFormat="1" x14ac:dyDescent="0.2">
      <c r="A182" s="37"/>
      <c r="B182" s="37" t="s">
        <v>166</v>
      </c>
      <c r="C182" s="37"/>
      <c r="D182" s="37"/>
      <c r="E182" s="37"/>
      <c r="F182" s="37"/>
      <c r="G182" s="37"/>
      <c r="H182" s="37"/>
      <c r="I182" s="37"/>
      <c r="J182" s="37" t="s">
        <v>15</v>
      </c>
      <c r="K182" s="37">
        <v>162</v>
      </c>
      <c r="L182" s="37">
        <v>533</v>
      </c>
      <c r="M182" s="37">
        <v>41</v>
      </c>
      <c r="N182" s="37">
        <v>736</v>
      </c>
      <c r="O182" s="37">
        <v>1464</v>
      </c>
      <c r="P182" s="37">
        <v>0</v>
      </c>
      <c r="Q182" s="37">
        <v>2200</v>
      </c>
      <c r="R182" s="37">
        <v>27148</v>
      </c>
      <c r="S182" s="37"/>
      <c r="T182" s="37"/>
      <c r="U182" s="37"/>
      <c r="V182" s="37"/>
      <c r="W182" s="37" t="s">
        <v>18</v>
      </c>
      <c r="X182" s="37"/>
      <c r="Y182" s="37"/>
      <c r="Z182" s="37" t="s">
        <v>24</v>
      </c>
      <c r="AA182" s="37">
        <v>2</v>
      </c>
      <c r="AB182" s="37">
        <v>15</v>
      </c>
      <c r="AC182" s="37">
        <v>1</v>
      </c>
      <c r="AD182" s="37" t="s">
        <v>738</v>
      </c>
      <c r="AE182" s="37">
        <v>1.4</v>
      </c>
      <c r="AF182" s="37" t="s">
        <v>741</v>
      </c>
    </row>
    <row r="183" spans="1:32" customFormat="1" x14ac:dyDescent="0.2">
      <c r="A183" s="37"/>
      <c r="B183" s="37">
        <v>45</v>
      </c>
      <c r="C183" s="37" t="s">
        <v>24</v>
      </c>
      <c r="D183" s="37">
        <v>3</v>
      </c>
      <c r="E183" s="37">
        <v>10</v>
      </c>
      <c r="F183" s="37">
        <v>1</v>
      </c>
      <c r="G183" s="37">
        <v>10</v>
      </c>
      <c r="H183" s="37" t="s">
        <v>56</v>
      </c>
      <c r="I183" s="37" t="s">
        <v>23</v>
      </c>
      <c r="J183" s="37" t="s">
        <v>18</v>
      </c>
      <c r="K183" s="37">
        <v>59</v>
      </c>
      <c r="L183" s="37">
        <v>870</v>
      </c>
      <c r="M183" s="37">
        <v>37</v>
      </c>
      <c r="N183" s="37">
        <v>966</v>
      </c>
      <c r="O183" s="37">
        <v>831</v>
      </c>
      <c r="P183" s="37"/>
      <c r="Q183" s="37">
        <v>1797</v>
      </c>
      <c r="R183" s="37">
        <v>15591</v>
      </c>
      <c r="S183" s="37"/>
      <c r="T183" s="37" t="s">
        <v>181</v>
      </c>
      <c r="U183" s="37" t="s">
        <v>210</v>
      </c>
      <c r="V183" s="37">
        <v>50</v>
      </c>
      <c r="W183" s="37" t="s">
        <v>18</v>
      </c>
      <c r="X183" s="37" t="s">
        <v>190</v>
      </c>
      <c r="Y183" s="37">
        <v>2400</v>
      </c>
      <c r="Z183" s="37" t="s">
        <v>24</v>
      </c>
      <c r="AA183" s="37">
        <v>3</v>
      </c>
      <c r="AB183" s="37">
        <v>10</v>
      </c>
      <c r="AC183" s="37">
        <v>1</v>
      </c>
      <c r="AD183" s="37" t="s">
        <v>742</v>
      </c>
      <c r="AE183" s="37">
        <v>1.3</v>
      </c>
      <c r="AF183" s="37" t="s">
        <v>743</v>
      </c>
    </row>
    <row r="184" spans="1:32" customFormat="1" x14ac:dyDescent="0.2">
      <c r="A184" s="37"/>
      <c r="B184" s="37" t="s">
        <v>166</v>
      </c>
      <c r="C184" s="37"/>
      <c r="D184" s="37"/>
      <c r="E184" s="37"/>
      <c r="F184" s="37"/>
      <c r="G184" s="37"/>
      <c r="H184" s="37" t="s">
        <v>52</v>
      </c>
      <c r="I184" s="37"/>
      <c r="J184" s="37" t="s">
        <v>17</v>
      </c>
      <c r="K184" s="37"/>
      <c r="L184" s="37">
        <v>92</v>
      </c>
      <c r="M184" s="37">
        <v>44</v>
      </c>
      <c r="N184" s="37">
        <v>136</v>
      </c>
      <c r="O184" s="37">
        <v>120</v>
      </c>
      <c r="P184" s="37"/>
      <c r="Q184" s="37">
        <v>256</v>
      </c>
      <c r="R184" s="37">
        <v>9567</v>
      </c>
      <c r="S184" s="37"/>
      <c r="T184" s="37"/>
      <c r="U184" s="37"/>
      <c r="V184" s="37"/>
      <c r="W184" s="37" t="s">
        <v>18</v>
      </c>
      <c r="X184" s="37"/>
      <c r="Y184" s="37"/>
      <c r="Z184" s="37" t="s">
        <v>24</v>
      </c>
      <c r="AA184" s="37">
        <v>3</v>
      </c>
      <c r="AB184" s="37">
        <v>10</v>
      </c>
      <c r="AC184" s="37">
        <v>1</v>
      </c>
      <c r="AD184" s="37" t="s">
        <v>742</v>
      </c>
      <c r="AE184" s="37">
        <v>1.3</v>
      </c>
      <c r="AF184" s="37" t="s">
        <v>744</v>
      </c>
    </row>
    <row r="185" spans="1:32" customFormat="1" x14ac:dyDescent="0.2">
      <c r="A185" s="37"/>
      <c r="B185" s="37" t="s">
        <v>166</v>
      </c>
      <c r="C185" s="37"/>
      <c r="D185" s="37"/>
      <c r="E185" s="37"/>
      <c r="F185" s="37"/>
      <c r="G185" s="37"/>
      <c r="H185" s="37">
        <v>50</v>
      </c>
      <c r="I185" s="37"/>
      <c r="J185" s="37" t="s">
        <v>15</v>
      </c>
      <c r="K185" s="37">
        <v>59</v>
      </c>
      <c r="L185" s="37">
        <v>962</v>
      </c>
      <c r="M185" s="37">
        <v>81</v>
      </c>
      <c r="N185" s="37">
        <v>1102</v>
      </c>
      <c r="O185" s="37">
        <v>951</v>
      </c>
      <c r="P185" s="37">
        <v>0</v>
      </c>
      <c r="Q185" s="37">
        <v>2053</v>
      </c>
      <c r="R185" s="37">
        <v>25158</v>
      </c>
      <c r="S185" s="37"/>
      <c r="T185" s="37"/>
      <c r="U185" s="37"/>
      <c r="V185" s="37"/>
      <c r="W185" s="37" t="s">
        <v>18</v>
      </c>
      <c r="X185" s="37"/>
      <c r="Y185" s="37"/>
      <c r="Z185" s="37" t="s">
        <v>24</v>
      </c>
      <c r="AA185" s="37">
        <v>3</v>
      </c>
      <c r="AB185" s="37">
        <v>10</v>
      </c>
      <c r="AC185" s="37">
        <v>1</v>
      </c>
      <c r="AD185" s="37" t="s">
        <v>742</v>
      </c>
      <c r="AE185" s="37">
        <v>1.3</v>
      </c>
      <c r="AF185" s="37" t="s">
        <v>745</v>
      </c>
    </row>
    <row r="186" spans="1:32" customFormat="1" x14ac:dyDescent="0.2">
      <c r="A186" s="37"/>
      <c r="B186" s="37">
        <v>46</v>
      </c>
      <c r="C186" s="37" t="s">
        <v>24</v>
      </c>
      <c r="D186" s="37">
        <v>8</v>
      </c>
      <c r="E186" s="37">
        <v>10</v>
      </c>
      <c r="F186" s="37">
        <v>1</v>
      </c>
      <c r="G186" s="37">
        <v>10</v>
      </c>
      <c r="H186" s="37" t="s">
        <v>56</v>
      </c>
      <c r="I186" s="37" t="s">
        <v>23</v>
      </c>
      <c r="J186" s="37" t="s">
        <v>18</v>
      </c>
      <c r="K186" s="37">
        <v>99</v>
      </c>
      <c r="L186" s="37">
        <v>459</v>
      </c>
      <c r="M186" s="37">
        <v>26</v>
      </c>
      <c r="N186" s="37">
        <v>584</v>
      </c>
      <c r="O186" s="37">
        <v>918</v>
      </c>
      <c r="P186" s="37"/>
      <c r="Q186" s="37">
        <v>1502</v>
      </c>
      <c r="R186" s="37">
        <v>9931</v>
      </c>
      <c r="S186" s="37"/>
      <c r="T186" s="37" t="s">
        <v>181</v>
      </c>
      <c r="U186" s="37" t="s">
        <v>203</v>
      </c>
      <c r="V186" s="37">
        <v>55</v>
      </c>
      <c r="W186" s="37" t="s">
        <v>18</v>
      </c>
      <c r="X186" s="37" t="s">
        <v>190</v>
      </c>
      <c r="Y186" s="37">
        <v>2300</v>
      </c>
      <c r="Z186" s="37" t="s">
        <v>24</v>
      </c>
      <c r="AA186" s="37">
        <v>8</v>
      </c>
      <c r="AB186" s="37">
        <v>10</v>
      </c>
      <c r="AC186" s="37">
        <v>1</v>
      </c>
      <c r="AD186" s="37" t="s">
        <v>746</v>
      </c>
      <c r="AE186" s="37">
        <v>1.3</v>
      </c>
      <c r="AF186" s="37" t="s">
        <v>747</v>
      </c>
    </row>
    <row r="187" spans="1:32" customFormat="1" x14ac:dyDescent="0.2">
      <c r="A187" s="37"/>
      <c r="B187" s="37" t="s">
        <v>166</v>
      </c>
      <c r="C187" s="37"/>
      <c r="D187" s="37"/>
      <c r="E187" s="37"/>
      <c r="F187" s="37"/>
      <c r="G187" s="37"/>
      <c r="H187" s="37" t="s">
        <v>54</v>
      </c>
      <c r="I187" s="37"/>
      <c r="J187" s="37" t="s">
        <v>19</v>
      </c>
      <c r="K187" s="37">
        <v>0</v>
      </c>
      <c r="L187" s="37">
        <v>12</v>
      </c>
      <c r="M187" s="37">
        <v>15</v>
      </c>
      <c r="N187" s="37">
        <v>27</v>
      </c>
      <c r="O187" s="37">
        <v>87</v>
      </c>
      <c r="P187" s="37"/>
      <c r="Q187" s="37">
        <v>114</v>
      </c>
      <c r="R187" s="37">
        <v>1022</v>
      </c>
      <c r="S187" s="37"/>
      <c r="T187" s="37"/>
      <c r="U187" s="37"/>
      <c r="V187" s="37"/>
      <c r="W187" s="37" t="s">
        <v>18</v>
      </c>
      <c r="X187" s="37"/>
      <c r="Y187" s="37"/>
      <c r="Z187" s="37" t="s">
        <v>24</v>
      </c>
      <c r="AA187" s="37">
        <v>8</v>
      </c>
      <c r="AB187" s="37">
        <v>10</v>
      </c>
      <c r="AC187" s="37">
        <v>1</v>
      </c>
      <c r="AD187" s="37" t="s">
        <v>746</v>
      </c>
      <c r="AE187" s="37">
        <v>1.3</v>
      </c>
      <c r="AF187" s="37" t="s">
        <v>748</v>
      </c>
    </row>
    <row r="188" spans="1:32" customFormat="1" x14ac:dyDescent="0.2">
      <c r="A188" s="37"/>
      <c r="B188" s="37" t="s">
        <v>166</v>
      </c>
      <c r="C188" s="37"/>
      <c r="D188" s="37"/>
      <c r="E188" s="37"/>
      <c r="F188" s="37"/>
      <c r="G188" s="37"/>
      <c r="H188" s="37">
        <v>55</v>
      </c>
      <c r="I188" s="37"/>
      <c r="J188" s="37" t="s">
        <v>15</v>
      </c>
      <c r="K188" s="37">
        <v>99</v>
      </c>
      <c r="L188" s="37">
        <v>471</v>
      </c>
      <c r="M188" s="37">
        <v>41</v>
      </c>
      <c r="N188" s="37">
        <v>611</v>
      </c>
      <c r="O188" s="37">
        <v>1005</v>
      </c>
      <c r="P188" s="37">
        <v>0</v>
      </c>
      <c r="Q188" s="37">
        <v>1616</v>
      </c>
      <c r="R188" s="37">
        <v>10953</v>
      </c>
      <c r="S188" s="37"/>
      <c r="T188" s="37"/>
      <c r="U188" s="37"/>
      <c r="V188" s="37"/>
      <c r="W188" s="37" t="s">
        <v>18</v>
      </c>
      <c r="X188" s="37"/>
      <c r="Y188" s="37"/>
      <c r="Z188" s="37" t="s">
        <v>24</v>
      </c>
      <c r="AA188" s="37">
        <v>8</v>
      </c>
      <c r="AB188" s="37">
        <v>10</v>
      </c>
      <c r="AC188" s="37">
        <v>1</v>
      </c>
      <c r="AD188" s="37" t="s">
        <v>746</v>
      </c>
      <c r="AE188" s="37">
        <v>1.3</v>
      </c>
      <c r="AF188" s="37" t="s">
        <v>749</v>
      </c>
    </row>
    <row r="189" spans="1:32" customFormat="1" x14ac:dyDescent="0.2">
      <c r="A189" s="37"/>
      <c r="B189" s="37">
        <v>47</v>
      </c>
      <c r="C189" s="37" t="s">
        <v>24</v>
      </c>
      <c r="D189" s="37">
        <v>9</v>
      </c>
      <c r="E189" s="37">
        <v>6</v>
      </c>
      <c r="F189" s="37">
        <v>1</v>
      </c>
      <c r="G189" s="37">
        <v>4.4000000000000004</v>
      </c>
      <c r="H189" s="37" t="s">
        <v>56</v>
      </c>
      <c r="I189" s="37" t="s">
        <v>23</v>
      </c>
      <c r="J189" s="37" t="s">
        <v>18</v>
      </c>
      <c r="K189" s="37">
        <v>168</v>
      </c>
      <c r="L189" s="37">
        <v>335</v>
      </c>
      <c r="M189" s="37">
        <v>14</v>
      </c>
      <c r="N189" s="37">
        <v>517</v>
      </c>
      <c r="O189" s="37">
        <v>368</v>
      </c>
      <c r="P189" s="37"/>
      <c r="Q189" s="37">
        <v>993</v>
      </c>
      <c r="R189" s="37">
        <v>9077</v>
      </c>
      <c r="S189" s="37"/>
      <c r="T189" s="37" t="s">
        <v>181</v>
      </c>
      <c r="U189" s="37" t="s">
        <v>202</v>
      </c>
      <c r="V189" s="37">
        <v>60</v>
      </c>
      <c r="W189" s="37" t="s">
        <v>18</v>
      </c>
      <c r="X189" s="37" t="s">
        <v>190</v>
      </c>
      <c r="Y189" s="37">
        <v>1144</v>
      </c>
      <c r="Z189" s="37" t="s">
        <v>24</v>
      </c>
      <c r="AA189" s="37">
        <v>9</v>
      </c>
      <c r="AB189" s="37">
        <v>6</v>
      </c>
      <c r="AC189" s="37">
        <v>1</v>
      </c>
      <c r="AD189" s="37" t="s">
        <v>750</v>
      </c>
      <c r="AE189" s="37">
        <v>1.1000000000000001</v>
      </c>
      <c r="AF189" s="37" t="s">
        <v>751</v>
      </c>
    </row>
    <row r="190" spans="1:32" customFormat="1" x14ac:dyDescent="0.2">
      <c r="A190" s="37"/>
      <c r="B190" s="37" t="s">
        <v>166</v>
      </c>
      <c r="C190" s="37"/>
      <c r="D190" s="37"/>
      <c r="E190" s="37"/>
      <c r="F190" s="37"/>
      <c r="G190" s="37"/>
      <c r="H190" s="37" t="s">
        <v>51</v>
      </c>
      <c r="I190" s="37"/>
      <c r="J190" s="37" t="s">
        <v>15</v>
      </c>
      <c r="K190" s="37">
        <v>168</v>
      </c>
      <c r="L190" s="37">
        <v>335</v>
      </c>
      <c r="M190" s="37">
        <v>14</v>
      </c>
      <c r="N190" s="37">
        <v>517</v>
      </c>
      <c r="O190" s="37">
        <v>368</v>
      </c>
      <c r="P190" s="37">
        <v>0</v>
      </c>
      <c r="Q190" s="37">
        <v>993</v>
      </c>
      <c r="R190" s="37">
        <v>9077</v>
      </c>
      <c r="S190" s="37"/>
      <c r="T190" s="37"/>
      <c r="U190" s="37"/>
      <c r="V190" s="37"/>
      <c r="W190" s="37" t="s">
        <v>18</v>
      </c>
      <c r="X190" s="37"/>
      <c r="Y190" s="37"/>
      <c r="Z190" s="37" t="s">
        <v>24</v>
      </c>
      <c r="AA190" s="37">
        <v>9</v>
      </c>
      <c r="AB190" s="37">
        <v>6</v>
      </c>
      <c r="AC190" s="37">
        <v>1</v>
      </c>
      <c r="AD190" s="37" t="s">
        <v>750</v>
      </c>
      <c r="AE190" s="37">
        <v>1.1000000000000001</v>
      </c>
      <c r="AF190" s="37" t="s">
        <v>752</v>
      </c>
    </row>
    <row r="191" spans="1:32" customFormat="1" x14ac:dyDescent="0.2">
      <c r="A191" s="37"/>
      <c r="B191" s="37">
        <v>48</v>
      </c>
      <c r="C191" s="37" t="s">
        <v>24</v>
      </c>
      <c r="D191" s="37">
        <v>10</v>
      </c>
      <c r="E191" s="37">
        <v>7</v>
      </c>
      <c r="F191" s="37">
        <v>1</v>
      </c>
      <c r="G191" s="37">
        <v>10</v>
      </c>
      <c r="H191" s="37" t="s">
        <v>56</v>
      </c>
      <c r="I191" s="37" t="s">
        <v>23</v>
      </c>
      <c r="J191" s="37" t="s">
        <v>18</v>
      </c>
      <c r="K191" s="37">
        <v>471</v>
      </c>
      <c r="L191" s="37">
        <v>686</v>
      </c>
      <c r="M191" s="37">
        <v>43</v>
      </c>
      <c r="N191" s="37">
        <v>1200</v>
      </c>
      <c r="O191" s="37">
        <v>1018</v>
      </c>
      <c r="P191" s="37"/>
      <c r="Q191" s="37">
        <v>2218</v>
      </c>
      <c r="R191" s="37">
        <v>21337</v>
      </c>
      <c r="S191" s="37"/>
      <c r="T191" s="37" t="s">
        <v>181</v>
      </c>
      <c r="U191" s="37" t="s">
        <v>202</v>
      </c>
      <c r="V191" s="37">
        <v>60</v>
      </c>
      <c r="W191" s="37" t="s">
        <v>18</v>
      </c>
      <c r="X191" s="37" t="s">
        <v>190</v>
      </c>
      <c r="Y191" s="37">
        <v>2600</v>
      </c>
      <c r="Z191" s="37" t="s">
        <v>24</v>
      </c>
      <c r="AA191" s="37">
        <v>10</v>
      </c>
      <c r="AB191" s="37">
        <v>7</v>
      </c>
      <c r="AC191" s="37">
        <v>1</v>
      </c>
      <c r="AD191" s="37" t="s">
        <v>753</v>
      </c>
      <c r="AE191" s="37">
        <v>1.2</v>
      </c>
      <c r="AF191" s="37" t="s">
        <v>754</v>
      </c>
    </row>
    <row r="192" spans="1:32" customFormat="1" x14ac:dyDescent="0.2">
      <c r="A192" s="37"/>
      <c r="B192" s="37" t="s">
        <v>166</v>
      </c>
      <c r="C192" s="37"/>
      <c r="D192" s="37"/>
      <c r="E192" s="37"/>
      <c r="F192" s="37"/>
      <c r="G192" s="37"/>
      <c r="H192" s="37" t="s">
        <v>58</v>
      </c>
      <c r="I192" s="37"/>
      <c r="J192" s="37" t="s">
        <v>15</v>
      </c>
      <c r="K192" s="37">
        <v>471</v>
      </c>
      <c r="L192" s="37">
        <v>686</v>
      </c>
      <c r="M192" s="37">
        <v>43</v>
      </c>
      <c r="N192" s="37">
        <v>1200</v>
      </c>
      <c r="O192" s="37">
        <v>1018</v>
      </c>
      <c r="P192" s="37">
        <v>0</v>
      </c>
      <c r="Q192" s="37">
        <v>2218</v>
      </c>
      <c r="R192" s="37">
        <v>21337</v>
      </c>
      <c r="S192" s="37"/>
      <c r="T192" s="37"/>
      <c r="U192" s="37"/>
      <c r="V192" s="37"/>
      <c r="W192" s="37" t="s">
        <v>18</v>
      </c>
      <c r="X192" s="37"/>
      <c r="Y192" s="37"/>
      <c r="Z192" s="37" t="s">
        <v>24</v>
      </c>
      <c r="AA192" s="37">
        <v>10</v>
      </c>
      <c r="AB192" s="37">
        <v>7</v>
      </c>
      <c r="AC192" s="37">
        <v>1</v>
      </c>
      <c r="AD192" s="37" t="s">
        <v>753</v>
      </c>
      <c r="AE192" s="37">
        <v>1.2</v>
      </c>
      <c r="AF192" s="37" t="s">
        <v>755</v>
      </c>
    </row>
    <row r="193" spans="1:32" customFormat="1" x14ac:dyDescent="0.2">
      <c r="A193" s="37"/>
      <c r="B193" s="37">
        <v>49</v>
      </c>
      <c r="C193" s="37" t="s">
        <v>24</v>
      </c>
      <c r="D193" s="37">
        <v>14</v>
      </c>
      <c r="E193" s="37">
        <v>23</v>
      </c>
      <c r="F193" s="37">
        <v>1</v>
      </c>
      <c r="G193" s="37">
        <v>5</v>
      </c>
      <c r="H193" s="37" t="s">
        <v>56</v>
      </c>
      <c r="I193" s="37" t="s">
        <v>23</v>
      </c>
      <c r="J193" s="37" t="s">
        <v>18</v>
      </c>
      <c r="K193" s="37">
        <v>10</v>
      </c>
      <c r="L193" s="37">
        <v>258</v>
      </c>
      <c r="M193" s="37">
        <v>15</v>
      </c>
      <c r="N193" s="37">
        <v>283</v>
      </c>
      <c r="O193" s="37">
        <v>491</v>
      </c>
      <c r="P193" s="37"/>
      <c r="Q193" s="37">
        <v>774</v>
      </c>
      <c r="R193" s="37">
        <v>4621</v>
      </c>
      <c r="S193" s="37"/>
      <c r="T193" s="37" t="s">
        <v>181</v>
      </c>
      <c r="U193" s="37" t="s">
        <v>221</v>
      </c>
      <c r="V193" s="37">
        <v>55</v>
      </c>
      <c r="W193" s="37" t="s">
        <v>18</v>
      </c>
      <c r="X193" s="37" t="s">
        <v>190</v>
      </c>
      <c r="Y193" s="37">
        <v>1050</v>
      </c>
      <c r="Z193" s="37" t="s">
        <v>24</v>
      </c>
      <c r="AA193" s="37">
        <v>14</v>
      </c>
      <c r="AB193" s="37">
        <v>23</v>
      </c>
      <c r="AC193" s="37">
        <v>1</v>
      </c>
      <c r="AD193" s="37" t="s">
        <v>756</v>
      </c>
      <c r="AE193" s="37">
        <v>1.1000000000000001</v>
      </c>
      <c r="AF193" s="37" t="s">
        <v>757</v>
      </c>
    </row>
    <row r="194" spans="1:32" customFormat="1" x14ac:dyDescent="0.2">
      <c r="A194" s="37"/>
      <c r="B194" s="37" t="s">
        <v>166</v>
      </c>
      <c r="C194" s="37"/>
      <c r="D194" s="37"/>
      <c r="E194" s="37"/>
      <c r="F194" s="37"/>
      <c r="G194" s="37"/>
      <c r="H194" s="37" t="s">
        <v>53</v>
      </c>
      <c r="I194" s="37"/>
      <c r="J194" s="37" t="s">
        <v>17</v>
      </c>
      <c r="K194" s="37">
        <v>0</v>
      </c>
      <c r="L194" s="37">
        <v>8</v>
      </c>
      <c r="M194" s="37">
        <v>24</v>
      </c>
      <c r="N194" s="37">
        <v>32</v>
      </c>
      <c r="O194" s="37">
        <v>64</v>
      </c>
      <c r="P194" s="37"/>
      <c r="Q194" s="37">
        <v>96</v>
      </c>
      <c r="R194" s="37">
        <v>1941</v>
      </c>
      <c r="S194" s="37"/>
      <c r="T194" s="37"/>
      <c r="U194" s="37"/>
      <c r="V194" s="37"/>
      <c r="W194" s="37" t="s">
        <v>18</v>
      </c>
      <c r="X194" s="37"/>
      <c r="Y194" s="37"/>
      <c r="Z194" s="37" t="s">
        <v>24</v>
      </c>
      <c r="AA194" s="37">
        <v>14</v>
      </c>
      <c r="AB194" s="37">
        <v>23</v>
      </c>
      <c r="AC194" s="37">
        <v>1</v>
      </c>
      <c r="AD194" s="37" t="s">
        <v>756</v>
      </c>
      <c r="AE194" s="37">
        <v>1.1000000000000001</v>
      </c>
      <c r="AF194" s="37" t="s">
        <v>758</v>
      </c>
    </row>
    <row r="195" spans="1:32" customFormat="1" x14ac:dyDescent="0.2">
      <c r="A195" s="37"/>
      <c r="B195" s="37" t="s">
        <v>166</v>
      </c>
      <c r="C195" s="37"/>
      <c r="D195" s="37"/>
      <c r="E195" s="37"/>
      <c r="F195" s="37"/>
      <c r="G195" s="37"/>
      <c r="H195" s="37">
        <v>55</v>
      </c>
      <c r="I195" s="37"/>
      <c r="J195" s="37" t="s">
        <v>15</v>
      </c>
      <c r="K195" s="37">
        <v>10</v>
      </c>
      <c r="L195" s="37">
        <v>266</v>
      </c>
      <c r="M195" s="37">
        <v>39</v>
      </c>
      <c r="N195" s="37">
        <v>315</v>
      </c>
      <c r="O195" s="37">
        <v>555</v>
      </c>
      <c r="P195" s="37">
        <v>0</v>
      </c>
      <c r="Q195" s="37">
        <v>870</v>
      </c>
      <c r="R195" s="37">
        <v>6562</v>
      </c>
      <c r="S195" s="37"/>
      <c r="T195" s="37"/>
      <c r="U195" s="37"/>
      <c r="V195" s="37"/>
      <c r="W195" s="37" t="s">
        <v>18</v>
      </c>
      <c r="X195" s="37"/>
      <c r="Y195" s="37"/>
      <c r="Z195" s="37" t="s">
        <v>24</v>
      </c>
      <c r="AA195" s="37">
        <v>14</v>
      </c>
      <c r="AB195" s="37">
        <v>23</v>
      </c>
      <c r="AC195" s="37">
        <v>1</v>
      </c>
      <c r="AD195" s="37" t="s">
        <v>756</v>
      </c>
      <c r="AE195" s="37">
        <v>1.1000000000000001</v>
      </c>
      <c r="AF195" s="37" t="s">
        <v>759</v>
      </c>
    </row>
    <row r="196" spans="1:32" customFormat="1" x14ac:dyDescent="0.2">
      <c r="A196" s="37"/>
      <c r="B196" s="37">
        <v>50</v>
      </c>
      <c r="C196" s="37" t="s">
        <v>24</v>
      </c>
      <c r="D196" s="37">
        <v>19</v>
      </c>
      <c r="E196" s="37">
        <v>6</v>
      </c>
      <c r="F196" s="37">
        <v>1</v>
      </c>
      <c r="G196" s="37">
        <v>4.5999999999999996</v>
      </c>
      <c r="H196" s="37" t="s">
        <v>56</v>
      </c>
      <c r="I196" s="37" t="s">
        <v>23</v>
      </c>
      <c r="J196" s="37" t="s">
        <v>18</v>
      </c>
      <c r="K196" s="37">
        <v>19</v>
      </c>
      <c r="L196" s="37">
        <v>189</v>
      </c>
      <c r="M196" s="37">
        <v>16</v>
      </c>
      <c r="N196" s="37">
        <v>224</v>
      </c>
      <c r="O196" s="37">
        <v>389</v>
      </c>
      <c r="P196" s="37"/>
      <c r="Q196" s="37">
        <v>613</v>
      </c>
      <c r="R196" s="37">
        <v>3690</v>
      </c>
      <c r="S196" s="37"/>
      <c r="T196" s="37" t="s">
        <v>181</v>
      </c>
      <c r="U196" s="37" t="s">
        <v>200</v>
      </c>
      <c r="V196" s="37">
        <v>55</v>
      </c>
      <c r="W196" s="37" t="s">
        <v>18</v>
      </c>
      <c r="X196" s="37" t="s">
        <v>190</v>
      </c>
      <c r="Y196" s="37">
        <v>1104</v>
      </c>
      <c r="Z196" s="37" t="s">
        <v>24</v>
      </c>
      <c r="AA196" s="37">
        <v>19</v>
      </c>
      <c r="AB196" s="37">
        <v>6</v>
      </c>
      <c r="AC196" s="37">
        <v>1</v>
      </c>
      <c r="AD196" s="37" t="s">
        <v>760</v>
      </c>
      <c r="AE196" s="37">
        <v>0.9</v>
      </c>
      <c r="AF196" s="37" t="s">
        <v>761</v>
      </c>
    </row>
    <row r="197" spans="1:32" customFormat="1" x14ac:dyDescent="0.2">
      <c r="A197" s="37"/>
      <c r="B197" s="37" t="s">
        <v>166</v>
      </c>
      <c r="C197" s="37"/>
      <c r="D197" s="37"/>
      <c r="E197" s="37"/>
      <c r="F197" s="37"/>
      <c r="G197" s="37"/>
      <c r="H197" s="37" t="s">
        <v>45</v>
      </c>
      <c r="I197" s="37"/>
      <c r="J197" s="37" t="s">
        <v>17</v>
      </c>
      <c r="K197" s="37">
        <v>2</v>
      </c>
      <c r="L197" s="37">
        <v>62</v>
      </c>
      <c r="M197" s="37">
        <v>13</v>
      </c>
      <c r="N197" s="37">
        <v>77</v>
      </c>
      <c r="O197" s="37">
        <v>158</v>
      </c>
      <c r="P197" s="37"/>
      <c r="Q197" s="37">
        <v>235</v>
      </c>
      <c r="R197" s="37">
        <v>6438</v>
      </c>
      <c r="S197" s="37"/>
      <c r="T197" s="37"/>
      <c r="U197" s="37"/>
      <c r="V197" s="37"/>
      <c r="W197" s="37" t="s">
        <v>18</v>
      </c>
      <c r="X197" s="37"/>
      <c r="Y197" s="37"/>
      <c r="Z197" s="37" t="s">
        <v>24</v>
      </c>
      <c r="AA197" s="37">
        <v>19</v>
      </c>
      <c r="AB197" s="37">
        <v>6</v>
      </c>
      <c r="AC197" s="37">
        <v>1</v>
      </c>
      <c r="AD197" s="37" t="s">
        <v>760</v>
      </c>
      <c r="AE197" s="37">
        <v>0.9</v>
      </c>
      <c r="AF197" s="37" t="s">
        <v>762</v>
      </c>
    </row>
    <row r="198" spans="1:32" customFormat="1" x14ac:dyDescent="0.2">
      <c r="A198" s="37"/>
      <c r="B198" s="37" t="s">
        <v>166</v>
      </c>
      <c r="C198" s="37"/>
      <c r="D198" s="37"/>
      <c r="E198" s="37"/>
      <c r="F198" s="37"/>
      <c r="G198" s="37"/>
      <c r="H198" s="37">
        <v>55</v>
      </c>
      <c r="I198" s="37"/>
      <c r="J198" s="37" t="s">
        <v>19</v>
      </c>
      <c r="K198" s="37">
        <v>0</v>
      </c>
      <c r="L198" s="37">
        <v>17</v>
      </c>
      <c r="M198" s="37">
        <v>16</v>
      </c>
      <c r="N198" s="37">
        <v>33</v>
      </c>
      <c r="O198" s="37">
        <v>119</v>
      </c>
      <c r="P198" s="37"/>
      <c r="Q198" s="37">
        <v>152</v>
      </c>
      <c r="R198" s="37">
        <v>1342</v>
      </c>
      <c r="S198" s="37"/>
      <c r="T198" s="37"/>
      <c r="U198" s="37"/>
      <c r="V198" s="37"/>
      <c r="W198" s="37" t="s">
        <v>18</v>
      </c>
      <c r="X198" s="37"/>
      <c r="Y198" s="37"/>
      <c r="Z198" s="37" t="s">
        <v>24</v>
      </c>
      <c r="AA198" s="37">
        <v>19</v>
      </c>
      <c r="AB198" s="37">
        <v>6</v>
      </c>
      <c r="AC198" s="37">
        <v>1</v>
      </c>
      <c r="AD198" s="37" t="s">
        <v>760</v>
      </c>
      <c r="AE198" s="37">
        <v>0.9</v>
      </c>
      <c r="AF198" s="37" t="s">
        <v>763</v>
      </c>
    </row>
    <row r="199" spans="1:32" customFormat="1" x14ac:dyDescent="0.2">
      <c r="A199" s="37"/>
      <c r="B199" s="37" t="s">
        <v>166</v>
      </c>
      <c r="C199" s="37"/>
      <c r="D199" s="37"/>
      <c r="E199" s="37"/>
      <c r="F199" s="37"/>
      <c r="G199" s="37"/>
      <c r="H199" s="37"/>
      <c r="I199" s="37"/>
      <c r="J199" s="37" t="s">
        <v>15</v>
      </c>
      <c r="K199" s="37">
        <v>21</v>
      </c>
      <c r="L199" s="37">
        <v>268</v>
      </c>
      <c r="M199" s="37">
        <v>45</v>
      </c>
      <c r="N199" s="37">
        <v>334</v>
      </c>
      <c r="O199" s="37">
        <v>666</v>
      </c>
      <c r="P199" s="37">
        <v>0</v>
      </c>
      <c r="Q199" s="37">
        <v>1000</v>
      </c>
      <c r="R199" s="37">
        <v>11470</v>
      </c>
      <c r="S199" s="37"/>
      <c r="T199" s="37"/>
      <c r="U199" s="37"/>
      <c r="V199" s="37"/>
      <c r="W199" s="37" t="s">
        <v>18</v>
      </c>
      <c r="X199" s="37"/>
      <c r="Y199" s="37"/>
      <c r="Z199" s="37" t="s">
        <v>24</v>
      </c>
      <c r="AA199" s="37">
        <v>19</v>
      </c>
      <c r="AB199" s="37">
        <v>6</v>
      </c>
      <c r="AC199" s="37">
        <v>1</v>
      </c>
      <c r="AD199" s="37" t="s">
        <v>760</v>
      </c>
      <c r="AE199" s="37">
        <v>0.9</v>
      </c>
      <c r="AF199" s="37" t="s">
        <v>764</v>
      </c>
    </row>
    <row r="200" spans="1:32" customFormat="1" x14ac:dyDescent="0.2">
      <c r="A200" s="37"/>
      <c r="B200" s="37">
        <v>51</v>
      </c>
      <c r="C200" s="37" t="s">
        <v>24</v>
      </c>
      <c r="D200" s="37">
        <v>19</v>
      </c>
      <c r="E200" s="37">
        <v>17</v>
      </c>
      <c r="F200" s="37">
        <v>1</v>
      </c>
      <c r="G200" s="37">
        <v>1.4</v>
      </c>
      <c r="H200" s="37" t="s">
        <v>56</v>
      </c>
      <c r="I200" s="37" t="s">
        <v>23</v>
      </c>
      <c r="J200" s="37" t="s">
        <v>18</v>
      </c>
      <c r="K200" s="37">
        <v>0</v>
      </c>
      <c r="L200" s="37">
        <v>76</v>
      </c>
      <c r="M200" s="37">
        <v>5</v>
      </c>
      <c r="N200" s="37">
        <v>81</v>
      </c>
      <c r="O200" s="37">
        <v>124</v>
      </c>
      <c r="P200" s="37"/>
      <c r="Q200" s="37">
        <v>205</v>
      </c>
      <c r="R200" s="37">
        <v>1290</v>
      </c>
      <c r="S200" s="37"/>
      <c r="T200" s="37" t="s">
        <v>181</v>
      </c>
      <c r="U200" s="37" t="s">
        <v>218</v>
      </c>
      <c r="V200" s="37">
        <v>50</v>
      </c>
      <c r="W200" s="37" t="s">
        <v>18</v>
      </c>
      <c r="X200" s="37" t="s">
        <v>190</v>
      </c>
      <c r="Y200" s="37">
        <v>294</v>
      </c>
      <c r="Z200" s="37" t="s">
        <v>24</v>
      </c>
      <c r="AA200" s="37">
        <v>19</v>
      </c>
      <c r="AB200" s="37">
        <v>17</v>
      </c>
      <c r="AC200" s="37">
        <v>1</v>
      </c>
      <c r="AD200" s="37" t="s">
        <v>765</v>
      </c>
      <c r="AE200" s="37">
        <v>0.5</v>
      </c>
      <c r="AF200" s="37" t="s">
        <v>766</v>
      </c>
    </row>
    <row r="201" spans="1:32" customFormat="1" x14ac:dyDescent="0.2">
      <c r="A201" s="37"/>
      <c r="B201" s="37" t="s">
        <v>166</v>
      </c>
      <c r="C201" s="37"/>
      <c r="D201" s="37"/>
      <c r="E201" s="37"/>
      <c r="F201" s="37"/>
      <c r="G201" s="37"/>
      <c r="H201" s="37" t="s">
        <v>59</v>
      </c>
      <c r="I201" s="37"/>
      <c r="J201" s="37" t="s">
        <v>19</v>
      </c>
      <c r="K201" s="37">
        <v>0</v>
      </c>
      <c r="L201" s="37">
        <v>6</v>
      </c>
      <c r="M201" s="37">
        <v>3</v>
      </c>
      <c r="N201" s="37">
        <v>9</v>
      </c>
      <c r="O201" s="37">
        <v>26</v>
      </c>
      <c r="P201" s="37"/>
      <c r="Q201" s="37">
        <v>35</v>
      </c>
      <c r="R201" s="37">
        <v>392</v>
      </c>
      <c r="S201" s="37"/>
      <c r="T201" s="37"/>
      <c r="U201" s="37"/>
      <c r="V201" s="37"/>
      <c r="W201" s="37" t="s">
        <v>18</v>
      </c>
      <c r="X201" s="37"/>
      <c r="Y201" s="37"/>
      <c r="Z201" s="37" t="s">
        <v>24</v>
      </c>
      <c r="AA201" s="37">
        <v>19</v>
      </c>
      <c r="AB201" s="37">
        <v>17</v>
      </c>
      <c r="AC201" s="37">
        <v>1</v>
      </c>
      <c r="AD201" s="37" t="s">
        <v>765</v>
      </c>
      <c r="AE201" s="37">
        <v>0.5</v>
      </c>
      <c r="AF201" s="37" t="s">
        <v>767</v>
      </c>
    </row>
    <row r="202" spans="1:32" customFormat="1" x14ac:dyDescent="0.2">
      <c r="A202" s="37"/>
      <c r="B202" s="37" t="s">
        <v>166</v>
      </c>
      <c r="C202" s="37"/>
      <c r="D202" s="37"/>
      <c r="E202" s="37"/>
      <c r="F202" s="37"/>
      <c r="G202" s="37"/>
      <c r="H202" s="37">
        <v>50</v>
      </c>
      <c r="I202" s="37"/>
      <c r="J202" s="37" t="s">
        <v>15</v>
      </c>
      <c r="K202" s="37">
        <v>0</v>
      </c>
      <c r="L202" s="37">
        <v>82</v>
      </c>
      <c r="M202" s="37">
        <v>8</v>
      </c>
      <c r="N202" s="37">
        <v>90</v>
      </c>
      <c r="O202" s="37">
        <v>150</v>
      </c>
      <c r="P202" s="37">
        <v>0</v>
      </c>
      <c r="Q202" s="37">
        <v>240</v>
      </c>
      <c r="R202" s="37">
        <v>1682</v>
      </c>
      <c r="S202" s="37"/>
      <c r="T202" s="37"/>
      <c r="U202" s="37"/>
      <c r="V202" s="37"/>
      <c r="W202" s="37" t="s">
        <v>18</v>
      </c>
      <c r="X202" s="37"/>
      <c r="Y202" s="37"/>
      <c r="Z202" s="37" t="s">
        <v>24</v>
      </c>
      <c r="AA202" s="37">
        <v>19</v>
      </c>
      <c r="AB202" s="37">
        <v>17</v>
      </c>
      <c r="AC202" s="37">
        <v>1</v>
      </c>
      <c r="AD202" s="37" t="s">
        <v>765</v>
      </c>
      <c r="AE202" s="37">
        <v>0.5</v>
      </c>
      <c r="AF202" s="37" t="s">
        <v>768</v>
      </c>
    </row>
    <row r="203" spans="1:32" customFormat="1" x14ac:dyDescent="0.2">
      <c r="A203" s="37"/>
      <c r="B203" s="37">
        <v>52</v>
      </c>
      <c r="C203" s="37" t="s">
        <v>24</v>
      </c>
      <c r="D203" s="37">
        <v>22</v>
      </c>
      <c r="E203" s="37">
        <v>3</v>
      </c>
      <c r="F203" s="37">
        <v>1</v>
      </c>
      <c r="G203" s="37">
        <v>1.1000000000000001</v>
      </c>
      <c r="H203" s="37" t="s">
        <v>56</v>
      </c>
      <c r="I203" s="37" t="s">
        <v>23</v>
      </c>
      <c r="J203" s="37" t="s">
        <v>18</v>
      </c>
      <c r="K203" s="37">
        <v>0</v>
      </c>
      <c r="L203" s="37">
        <v>39</v>
      </c>
      <c r="M203" s="37">
        <v>6</v>
      </c>
      <c r="N203" s="37">
        <v>45</v>
      </c>
      <c r="O203" s="37">
        <v>99</v>
      </c>
      <c r="P203" s="37"/>
      <c r="Q203" s="37">
        <v>144</v>
      </c>
      <c r="R203" s="37">
        <v>714</v>
      </c>
      <c r="S203" s="37"/>
      <c r="T203" s="37" t="s">
        <v>181</v>
      </c>
      <c r="U203" s="37" t="s">
        <v>195</v>
      </c>
      <c r="V203" s="37">
        <v>60</v>
      </c>
      <c r="W203" s="37" t="s">
        <v>18</v>
      </c>
      <c r="X203" s="37" t="s">
        <v>190</v>
      </c>
      <c r="Y203" s="37">
        <v>286</v>
      </c>
      <c r="Z203" s="37" t="s">
        <v>24</v>
      </c>
      <c r="AA203" s="37">
        <v>22</v>
      </c>
      <c r="AB203" s="37">
        <v>3</v>
      </c>
      <c r="AC203" s="37">
        <v>1</v>
      </c>
      <c r="AD203" s="37" t="s">
        <v>769</v>
      </c>
      <c r="AE203" s="37">
        <v>0.4</v>
      </c>
      <c r="AF203" s="37" t="s">
        <v>770</v>
      </c>
    </row>
    <row r="204" spans="1:32" customFormat="1" x14ac:dyDescent="0.2">
      <c r="A204" s="37"/>
      <c r="B204" s="37" t="s">
        <v>166</v>
      </c>
      <c r="C204" s="37"/>
      <c r="D204" s="37"/>
      <c r="E204" s="37"/>
      <c r="F204" s="37"/>
      <c r="G204" s="37"/>
      <c r="H204" s="37" t="s">
        <v>36</v>
      </c>
      <c r="I204" s="37"/>
      <c r="J204" s="37" t="s">
        <v>17</v>
      </c>
      <c r="K204" s="37">
        <v>0</v>
      </c>
      <c r="L204" s="37">
        <v>3</v>
      </c>
      <c r="M204" s="37">
        <v>2</v>
      </c>
      <c r="N204" s="37">
        <v>5</v>
      </c>
      <c r="O204" s="37">
        <v>10</v>
      </c>
      <c r="P204" s="37"/>
      <c r="Q204" s="37">
        <v>15</v>
      </c>
      <c r="R204" s="37">
        <v>352</v>
      </c>
      <c r="S204" s="37"/>
      <c r="T204" s="37"/>
      <c r="U204" s="37"/>
      <c r="V204" s="37"/>
      <c r="W204" s="37" t="s">
        <v>18</v>
      </c>
      <c r="X204" s="37"/>
      <c r="Y204" s="37"/>
      <c r="Z204" s="37" t="s">
        <v>24</v>
      </c>
      <c r="AA204" s="37">
        <v>22</v>
      </c>
      <c r="AB204" s="37">
        <v>3</v>
      </c>
      <c r="AC204" s="37">
        <v>1</v>
      </c>
      <c r="AD204" s="37" t="s">
        <v>769</v>
      </c>
      <c r="AE204" s="37">
        <v>0.4</v>
      </c>
      <c r="AF204" s="37" t="s">
        <v>771</v>
      </c>
    </row>
    <row r="205" spans="1:32" customFormat="1" x14ac:dyDescent="0.2">
      <c r="A205" s="37"/>
      <c r="B205" s="37" t="s">
        <v>166</v>
      </c>
      <c r="C205" s="37"/>
      <c r="D205" s="37"/>
      <c r="E205" s="37"/>
      <c r="F205" s="37"/>
      <c r="G205" s="37"/>
      <c r="H205" s="37">
        <v>60</v>
      </c>
      <c r="I205" s="37"/>
      <c r="J205" s="37" t="s">
        <v>19</v>
      </c>
      <c r="K205" s="37">
        <v>0</v>
      </c>
      <c r="L205" s="37">
        <v>2</v>
      </c>
      <c r="M205" s="37">
        <v>1</v>
      </c>
      <c r="N205" s="37">
        <v>3</v>
      </c>
      <c r="O205" s="37">
        <v>9</v>
      </c>
      <c r="P205" s="37"/>
      <c r="Q205" s="37">
        <v>12</v>
      </c>
      <c r="R205" s="37">
        <v>114</v>
      </c>
      <c r="S205" s="37"/>
      <c r="T205" s="37"/>
      <c r="U205" s="37"/>
      <c r="V205" s="37"/>
      <c r="W205" s="37" t="s">
        <v>18</v>
      </c>
      <c r="X205" s="37"/>
      <c r="Y205" s="37"/>
      <c r="Z205" s="37" t="s">
        <v>24</v>
      </c>
      <c r="AA205" s="37">
        <v>22</v>
      </c>
      <c r="AB205" s="37">
        <v>3</v>
      </c>
      <c r="AC205" s="37">
        <v>1</v>
      </c>
      <c r="AD205" s="37" t="s">
        <v>769</v>
      </c>
      <c r="AE205" s="37">
        <v>0.4</v>
      </c>
      <c r="AF205" s="37" t="s">
        <v>772</v>
      </c>
    </row>
    <row r="206" spans="1:32" customFormat="1" x14ac:dyDescent="0.2">
      <c r="A206" s="37"/>
      <c r="B206" s="37" t="s">
        <v>166</v>
      </c>
      <c r="C206" s="37"/>
      <c r="D206" s="37"/>
      <c r="E206" s="37"/>
      <c r="F206" s="37"/>
      <c r="G206" s="37"/>
      <c r="H206" s="37"/>
      <c r="I206" s="37"/>
      <c r="J206" s="37" t="s">
        <v>15</v>
      </c>
      <c r="K206" s="37">
        <v>0</v>
      </c>
      <c r="L206" s="37">
        <v>44</v>
      </c>
      <c r="M206" s="37">
        <v>9</v>
      </c>
      <c r="N206" s="37">
        <v>53</v>
      </c>
      <c r="O206" s="37">
        <v>118</v>
      </c>
      <c r="P206" s="37">
        <v>0</v>
      </c>
      <c r="Q206" s="37">
        <v>171</v>
      </c>
      <c r="R206" s="37">
        <v>1180</v>
      </c>
      <c r="S206" s="37"/>
      <c r="T206" s="37"/>
      <c r="U206" s="37"/>
      <c r="V206" s="37"/>
      <c r="W206" s="37" t="s">
        <v>18</v>
      </c>
      <c r="X206" s="37"/>
      <c r="Y206" s="37"/>
      <c r="Z206" s="37" t="s">
        <v>24</v>
      </c>
      <c r="AA206" s="37">
        <v>22</v>
      </c>
      <c r="AB206" s="37">
        <v>3</v>
      </c>
      <c r="AC206" s="37">
        <v>1</v>
      </c>
      <c r="AD206" s="37" t="s">
        <v>769</v>
      </c>
      <c r="AE206" s="37">
        <v>0.4</v>
      </c>
      <c r="AF206" s="37" t="s">
        <v>773</v>
      </c>
    </row>
    <row r="207" spans="1:32" customFormat="1" x14ac:dyDescent="0.2">
      <c r="A207" s="37"/>
      <c r="B207" s="37">
        <v>53</v>
      </c>
      <c r="C207" s="37" t="s">
        <v>24</v>
      </c>
      <c r="D207" s="37">
        <v>30</v>
      </c>
      <c r="E207" s="37">
        <v>7</v>
      </c>
      <c r="F207" s="37">
        <v>1</v>
      </c>
      <c r="G207" s="37">
        <v>5</v>
      </c>
      <c r="H207" s="37" t="s">
        <v>56</v>
      </c>
      <c r="I207" s="37" t="s">
        <v>23</v>
      </c>
      <c r="J207" s="37" t="s">
        <v>18</v>
      </c>
      <c r="K207" s="37">
        <v>10</v>
      </c>
      <c r="L207" s="37">
        <v>256</v>
      </c>
      <c r="M207" s="37">
        <v>20</v>
      </c>
      <c r="N207" s="37">
        <v>286</v>
      </c>
      <c r="O207" s="37">
        <v>494</v>
      </c>
      <c r="P207" s="37"/>
      <c r="Q207" s="37">
        <v>780</v>
      </c>
      <c r="R207" s="37">
        <v>4636</v>
      </c>
      <c r="S207" s="37"/>
      <c r="T207" s="37" t="s">
        <v>181</v>
      </c>
      <c r="U207" s="37" t="s">
        <v>205</v>
      </c>
      <c r="V207" s="37">
        <v>45</v>
      </c>
      <c r="W207" s="37" t="s">
        <v>18</v>
      </c>
      <c r="X207" s="37" t="s">
        <v>190</v>
      </c>
      <c r="Y207" s="37">
        <v>1100</v>
      </c>
      <c r="Z207" s="37" t="s">
        <v>24</v>
      </c>
      <c r="AA207" s="37">
        <v>30</v>
      </c>
      <c r="AB207" s="37">
        <v>7</v>
      </c>
      <c r="AC207" s="37">
        <v>1</v>
      </c>
      <c r="AD207" s="37" t="s">
        <v>774</v>
      </c>
      <c r="AE207" s="37">
        <v>1</v>
      </c>
      <c r="AF207" s="37" t="s">
        <v>775</v>
      </c>
    </row>
    <row r="208" spans="1:32" customFormat="1" x14ac:dyDescent="0.2">
      <c r="A208" s="37"/>
      <c r="B208" s="37" t="s">
        <v>166</v>
      </c>
      <c r="C208" s="37"/>
      <c r="D208" s="37"/>
      <c r="E208" s="37"/>
      <c r="F208" s="37"/>
      <c r="G208" s="37"/>
      <c r="H208" s="37" t="s">
        <v>55</v>
      </c>
      <c r="I208" s="37"/>
      <c r="J208" s="37" t="s">
        <v>17</v>
      </c>
      <c r="K208" s="37">
        <v>0</v>
      </c>
      <c r="L208" s="37">
        <v>18</v>
      </c>
      <c r="M208" s="37">
        <v>20</v>
      </c>
      <c r="N208" s="37">
        <v>38</v>
      </c>
      <c r="O208" s="37">
        <v>70</v>
      </c>
      <c r="P208" s="37"/>
      <c r="Q208" s="37">
        <v>108</v>
      </c>
      <c r="R208" s="37">
        <v>2615</v>
      </c>
      <c r="S208" s="37"/>
      <c r="T208" s="37"/>
      <c r="U208" s="37"/>
      <c r="V208" s="37"/>
      <c r="W208" s="37" t="s">
        <v>18</v>
      </c>
      <c r="X208" s="37"/>
      <c r="Y208" s="37"/>
      <c r="Z208" s="37" t="s">
        <v>24</v>
      </c>
      <c r="AA208" s="37">
        <v>30</v>
      </c>
      <c r="AB208" s="37">
        <v>7</v>
      </c>
      <c r="AC208" s="37">
        <v>1</v>
      </c>
      <c r="AD208" s="37" t="s">
        <v>774</v>
      </c>
      <c r="AE208" s="37">
        <v>1</v>
      </c>
      <c r="AF208" s="37" t="s">
        <v>776</v>
      </c>
    </row>
    <row r="209" spans="1:32" customFormat="1" x14ac:dyDescent="0.2">
      <c r="A209" s="37"/>
      <c r="B209" s="37" t="s">
        <v>166</v>
      </c>
      <c r="C209" s="37"/>
      <c r="D209" s="37"/>
      <c r="E209" s="37"/>
      <c r="F209" s="37"/>
      <c r="G209" s="37"/>
      <c r="H209" s="37">
        <v>45</v>
      </c>
      <c r="I209" s="37"/>
      <c r="J209" s="37" t="s">
        <v>19</v>
      </c>
      <c r="K209" s="37">
        <v>0</v>
      </c>
      <c r="L209" s="37">
        <v>8</v>
      </c>
      <c r="M209" s="37">
        <v>8</v>
      </c>
      <c r="N209" s="37">
        <v>16</v>
      </c>
      <c r="O209" s="37">
        <v>53</v>
      </c>
      <c r="P209" s="37"/>
      <c r="Q209" s="37">
        <v>69</v>
      </c>
      <c r="R209" s="37">
        <v>654</v>
      </c>
      <c r="S209" s="37"/>
      <c r="T209" s="37"/>
      <c r="U209" s="37"/>
      <c r="V209" s="37"/>
      <c r="W209" s="37" t="s">
        <v>18</v>
      </c>
      <c r="X209" s="37"/>
      <c r="Y209" s="37"/>
      <c r="Z209" s="37" t="s">
        <v>24</v>
      </c>
      <c r="AA209" s="37">
        <v>30</v>
      </c>
      <c r="AB209" s="37">
        <v>7</v>
      </c>
      <c r="AC209" s="37">
        <v>1</v>
      </c>
      <c r="AD209" s="37" t="s">
        <v>774</v>
      </c>
      <c r="AE209" s="37">
        <v>1</v>
      </c>
      <c r="AF209" s="37" t="s">
        <v>777</v>
      </c>
    </row>
    <row r="210" spans="1:32" customFormat="1" x14ac:dyDescent="0.2">
      <c r="A210" s="37"/>
      <c r="B210" s="37" t="s">
        <v>166</v>
      </c>
      <c r="C210" s="37"/>
      <c r="D210" s="37"/>
      <c r="E210" s="37"/>
      <c r="F210" s="37"/>
      <c r="G210" s="37"/>
      <c r="H210" s="37"/>
      <c r="I210" s="37"/>
      <c r="J210" s="37" t="s">
        <v>15</v>
      </c>
      <c r="K210" s="37">
        <v>10</v>
      </c>
      <c r="L210" s="37">
        <v>282</v>
      </c>
      <c r="M210" s="37">
        <v>48</v>
      </c>
      <c r="N210" s="37">
        <v>340</v>
      </c>
      <c r="O210" s="37">
        <v>617</v>
      </c>
      <c r="P210" s="37">
        <v>0</v>
      </c>
      <c r="Q210" s="37">
        <v>957</v>
      </c>
      <c r="R210" s="37">
        <v>7905</v>
      </c>
      <c r="S210" s="37"/>
      <c r="T210" s="37"/>
      <c r="U210" s="37"/>
      <c r="V210" s="37"/>
      <c r="W210" s="37" t="s">
        <v>18</v>
      </c>
      <c r="X210" s="37"/>
      <c r="Y210" s="37"/>
      <c r="Z210" s="37" t="s">
        <v>24</v>
      </c>
      <c r="AA210" s="37">
        <v>30</v>
      </c>
      <c r="AB210" s="37">
        <v>7</v>
      </c>
      <c r="AC210" s="37">
        <v>1</v>
      </c>
      <c r="AD210" s="37" t="s">
        <v>774</v>
      </c>
      <c r="AE210" s="37">
        <v>1</v>
      </c>
      <c r="AF210" s="37" t="s">
        <v>778</v>
      </c>
    </row>
    <row r="211" spans="1:32" customFormat="1" x14ac:dyDescent="0.2">
      <c r="A211" s="37"/>
      <c r="B211" s="37">
        <v>54</v>
      </c>
      <c r="C211" s="37" t="s">
        <v>24</v>
      </c>
      <c r="D211" s="37">
        <v>54</v>
      </c>
      <c r="E211" s="37">
        <v>9</v>
      </c>
      <c r="F211" s="37">
        <v>1</v>
      </c>
      <c r="G211" s="37">
        <v>7.5</v>
      </c>
      <c r="H211" s="37" t="s">
        <v>56</v>
      </c>
      <c r="I211" s="37" t="s">
        <v>23</v>
      </c>
      <c r="J211" s="37" t="s">
        <v>18</v>
      </c>
      <c r="K211" s="37">
        <v>0</v>
      </c>
      <c r="L211" s="37">
        <v>27</v>
      </c>
      <c r="M211" s="37">
        <v>6</v>
      </c>
      <c r="N211" s="37">
        <v>33</v>
      </c>
      <c r="O211" s="37">
        <v>108</v>
      </c>
      <c r="P211" s="37"/>
      <c r="Q211" s="37">
        <v>141</v>
      </c>
      <c r="R211" s="37">
        <v>526</v>
      </c>
      <c r="S211" s="37"/>
      <c r="T211" s="37" t="s">
        <v>181</v>
      </c>
      <c r="U211" s="37" t="s">
        <v>350</v>
      </c>
      <c r="V211" s="37">
        <v>95</v>
      </c>
      <c r="W211" s="37" t="s">
        <v>17</v>
      </c>
      <c r="X211" s="37" t="s">
        <v>190</v>
      </c>
      <c r="Y211" s="37">
        <v>1200</v>
      </c>
      <c r="Z211" s="37" t="s">
        <v>24</v>
      </c>
      <c r="AA211" s="37">
        <v>54</v>
      </c>
      <c r="AB211" s="37">
        <v>9</v>
      </c>
      <c r="AC211" s="37">
        <v>1</v>
      </c>
      <c r="AD211" s="37" t="s">
        <v>779</v>
      </c>
      <c r="AE211" s="37">
        <v>1.4</v>
      </c>
      <c r="AF211" s="37" t="s">
        <v>780</v>
      </c>
    </row>
    <row r="212" spans="1:32" customFormat="1" x14ac:dyDescent="0.2">
      <c r="A212" s="37"/>
      <c r="B212" s="37" t="s">
        <v>166</v>
      </c>
      <c r="C212" s="37"/>
      <c r="D212" s="37"/>
      <c r="E212" s="37"/>
      <c r="F212" s="37"/>
      <c r="G212" s="37"/>
      <c r="H212" s="37" t="s">
        <v>48</v>
      </c>
      <c r="I212" s="37"/>
      <c r="J212" s="37" t="s">
        <v>17</v>
      </c>
      <c r="K212" s="37">
        <v>12</v>
      </c>
      <c r="L212" s="37">
        <v>146</v>
      </c>
      <c r="M212" s="37">
        <v>54</v>
      </c>
      <c r="N212" s="37">
        <v>212</v>
      </c>
      <c r="O212" s="37">
        <v>392</v>
      </c>
      <c r="P212" s="37"/>
      <c r="Q212" s="37">
        <v>604</v>
      </c>
      <c r="R212" s="37">
        <v>17121</v>
      </c>
      <c r="S212" s="37"/>
      <c r="T212" s="37"/>
      <c r="U212" s="37"/>
      <c r="V212" s="37"/>
      <c r="W212" s="37" t="s">
        <v>17</v>
      </c>
      <c r="X212" s="37"/>
      <c r="Y212" s="37"/>
      <c r="Z212" s="37" t="s">
        <v>24</v>
      </c>
      <c r="AA212" s="37">
        <v>54</v>
      </c>
      <c r="AB212" s="37">
        <v>9</v>
      </c>
      <c r="AC212" s="37">
        <v>1</v>
      </c>
      <c r="AD212" s="37" t="s">
        <v>779</v>
      </c>
      <c r="AE212" s="37">
        <v>1.4</v>
      </c>
      <c r="AF212" s="37" t="s">
        <v>781</v>
      </c>
    </row>
    <row r="213" spans="1:32" customFormat="1" x14ac:dyDescent="0.2">
      <c r="A213" s="37"/>
      <c r="B213" s="37" t="s">
        <v>166</v>
      </c>
      <c r="C213" s="37"/>
      <c r="D213" s="37"/>
      <c r="E213" s="37"/>
      <c r="F213" s="37"/>
      <c r="G213" s="37"/>
      <c r="H213" s="37">
        <v>95</v>
      </c>
      <c r="I213" s="37"/>
      <c r="J213" s="37" t="s">
        <v>19</v>
      </c>
      <c r="K213" s="37">
        <v>0</v>
      </c>
      <c r="L213" s="37">
        <v>27</v>
      </c>
      <c r="M213" s="37">
        <v>13</v>
      </c>
      <c r="N213" s="37">
        <v>40</v>
      </c>
      <c r="O213" s="37">
        <v>96</v>
      </c>
      <c r="P213" s="37"/>
      <c r="Q213" s="37">
        <v>136</v>
      </c>
      <c r="R213" s="37">
        <v>1679</v>
      </c>
      <c r="S213" s="37"/>
      <c r="T213" s="37"/>
      <c r="U213" s="37"/>
      <c r="V213" s="37"/>
      <c r="W213" s="37" t="s">
        <v>17</v>
      </c>
      <c r="X213" s="37"/>
      <c r="Y213" s="37"/>
      <c r="Z213" s="37" t="s">
        <v>24</v>
      </c>
      <c r="AA213" s="37">
        <v>54</v>
      </c>
      <c r="AB213" s="37">
        <v>9</v>
      </c>
      <c r="AC213" s="37">
        <v>1</v>
      </c>
      <c r="AD213" s="37" t="s">
        <v>779</v>
      </c>
      <c r="AE213" s="37">
        <v>1.4</v>
      </c>
      <c r="AF213" s="37" t="s">
        <v>782</v>
      </c>
    </row>
    <row r="214" spans="1:32" customFormat="1" x14ac:dyDescent="0.2">
      <c r="A214" s="37"/>
      <c r="B214" s="37" t="s">
        <v>166</v>
      </c>
      <c r="C214" s="37"/>
      <c r="D214" s="37"/>
      <c r="E214" s="37"/>
      <c r="F214" s="37"/>
      <c r="G214" s="37"/>
      <c r="H214" s="37"/>
      <c r="I214" s="37"/>
      <c r="J214" s="37" t="s">
        <v>25</v>
      </c>
      <c r="K214" s="37">
        <v>0</v>
      </c>
      <c r="L214" s="37">
        <v>30</v>
      </c>
      <c r="M214" s="37">
        <v>9</v>
      </c>
      <c r="N214" s="37">
        <v>39</v>
      </c>
      <c r="O214" s="37">
        <v>108</v>
      </c>
      <c r="P214" s="37"/>
      <c r="Q214" s="37">
        <v>147</v>
      </c>
      <c r="R214" s="37">
        <v>22989</v>
      </c>
      <c r="S214" s="37"/>
      <c r="T214" s="37"/>
      <c r="U214" s="37"/>
      <c r="V214" s="37"/>
      <c r="W214" s="37" t="s">
        <v>17</v>
      </c>
      <c r="X214" s="37"/>
      <c r="Y214" s="37"/>
      <c r="Z214" s="37" t="s">
        <v>24</v>
      </c>
      <c r="AA214" s="37">
        <v>54</v>
      </c>
      <c r="AB214" s="37">
        <v>9</v>
      </c>
      <c r="AC214" s="37">
        <v>1</v>
      </c>
      <c r="AD214" s="37" t="s">
        <v>779</v>
      </c>
      <c r="AE214" s="37">
        <v>1.4</v>
      </c>
      <c r="AF214" s="37" t="s">
        <v>783</v>
      </c>
    </row>
    <row r="215" spans="1:32" customFormat="1" x14ac:dyDescent="0.2">
      <c r="A215" s="37"/>
      <c r="B215" s="37" t="s">
        <v>166</v>
      </c>
      <c r="C215" s="37"/>
      <c r="D215" s="37"/>
      <c r="E215" s="37"/>
      <c r="F215" s="37"/>
      <c r="G215" s="37"/>
      <c r="H215" s="37"/>
      <c r="I215" s="37"/>
      <c r="J215" s="37" t="s">
        <v>15</v>
      </c>
      <c r="K215" s="37">
        <v>12</v>
      </c>
      <c r="L215" s="37">
        <v>230</v>
      </c>
      <c r="M215" s="37">
        <v>82</v>
      </c>
      <c r="N215" s="37">
        <v>324</v>
      </c>
      <c r="O215" s="37">
        <v>704</v>
      </c>
      <c r="P215" s="37">
        <v>0</v>
      </c>
      <c r="Q215" s="37">
        <v>1028</v>
      </c>
      <c r="R215" s="37">
        <v>42315</v>
      </c>
      <c r="S215" s="37"/>
      <c r="T215" s="37"/>
      <c r="U215" s="37"/>
      <c r="V215" s="37"/>
      <c r="W215" s="37" t="s">
        <v>17</v>
      </c>
      <c r="X215" s="37"/>
      <c r="Y215" s="37"/>
      <c r="Z215" s="37" t="s">
        <v>24</v>
      </c>
      <c r="AA215" s="37">
        <v>54</v>
      </c>
      <c r="AB215" s="37">
        <v>9</v>
      </c>
      <c r="AC215" s="37">
        <v>1</v>
      </c>
      <c r="AD215" s="37" t="s">
        <v>779</v>
      </c>
      <c r="AE215" s="37">
        <v>1.4</v>
      </c>
      <c r="AF215" s="37" t="s">
        <v>784</v>
      </c>
    </row>
    <row r="216" spans="1:32" customFormat="1" x14ac:dyDescent="0.2">
      <c r="A216" s="37"/>
      <c r="B216" s="37">
        <v>55</v>
      </c>
      <c r="C216" s="37" t="s">
        <v>24</v>
      </c>
      <c r="D216" s="37">
        <v>64</v>
      </c>
      <c r="E216" s="37">
        <v>5</v>
      </c>
      <c r="F216" s="37">
        <v>1</v>
      </c>
      <c r="G216" s="37">
        <v>8.9</v>
      </c>
      <c r="H216" s="37" t="s">
        <v>56</v>
      </c>
      <c r="I216" s="37" t="s">
        <v>23</v>
      </c>
      <c r="J216" s="37" t="s">
        <v>18</v>
      </c>
      <c r="K216" s="37">
        <v>56</v>
      </c>
      <c r="L216" s="37">
        <v>330</v>
      </c>
      <c r="M216" s="37">
        <v>25</v>
      </c>
      <c r="N216" s="37">
        <v>411</v>
      </c>
      <c r="O216" s="37">
        <v>583</v>
      </c>
      <c r="P216" s="37"/>
      <c r="Q216" s="37">
        <v>994</v>
      </c>
      <c r="R216" s="37">
        <v>6842</v>
      </c>
      <c r="S216" s="37"/>
      <c r="T216" s="37" t="s">
        <v>181</v>
      </c>
      <c r="U216" s="37" t="s">
        <v>359</v>
      </c>
      <c r="V216" s="37">
        <v>65</v>
      </c>
      <c r="W216" s="37" t="s">
        <v>18</v>
      </c>
      <c r="X216" s="37" t="s">
        <v>190</v>
      </c>
      <c r="Y216" s="37">
        <v>2314</v>
      </c>
      <c r="Z216" s="37" t="s">
        <v>24</v>
      </c>
      <c r="AA216" s="37">
        <v>64</v>
      </c>
      <c r="AB216" s="37">
        <v>5</v>
      </c>
      <c r="AC216" s="37">
        <v>1</v>
      </c>
      <c r="AD216" s="37" t="s">
        <v>785</v>
      </c>
      <c r="AE216" s="37">
        <v>1.6</v>
      </c>
      <c r="AF216" s="37" t="s">
        <v>786</v>
      </c>
    </row>
    <row r="217" spans="1:32" customFormat="1" x14ac:dyDescent="0.2">
      <c r="A217" s="37"/>
      <c r="B217" s="37" t="s">
        <v>166</v>
      </c>
      <c r="C217" s="37"/>
      <c r="D217" s="37"/>
      <c r="E217" s="37"/>
      <c r="F217" s="37"/>
      <c r="G217" s="37"/>
      <c r="H217" s="37" t="s">
        <v>57</v>
      </c>
      <c r="I217" s="37"/>
      <c r="J217" s="37" t="s">
        <v>19</v>
      </c>
      <c r="K217" s="37">
        <v>1</v>
      </c>
      <c r="L217" s="37">
        <v>127</v>
      </c>
      <c r="M217" s="37">
        <v>27</v>
      </c>
      <c r="N217" s="37">
        <v>155</v>
      </c>
      <c r="O217" s="37">
        <v>401</v>
      </c>
      <c r="P217" s="37"/>
      <c r="Q217" s="37">
        <v>556</v>
      </c>
      <c r="R217" s="37">
        <v>7194</v>
      </c>
      <c r="S217" s="37"/>
      <c r="T217" s="37"/>
      <c r="U217" s="37"/>
      <c r="V217" s="37"/>
      <c r="W217" s="37" t="s">
        <v>18</v>
      </c>
      <c r="X217" s="37"/>
      <c r="Y217" s="37"/>
      <c r="Z217" s="37" t="s">
        <v>24</v>
      </c>
      <c r="AA217" s="37">
        <v>64</v>
      </c>
      <c r="AB217" s="37">
        <v>5</v>
      </c>
      <c r="AC217" s="37">
        <v>1</v>
      </c>
      <c r="AD217" s="37" t="s">
        <v>785</v>
      </c>
      <c r="AE217" s="37">
        <v>1.6</v>
      </c>
      <c r="AF217" s="37" t="s">
        <v>787</v>
      </c>
    </row>
    <row r="218" spans="1:32" customFormat="1" x14ac:dyDescent="0.2">
      <c r="A218" s="37"/>
      <c r="B218" s="37" t="s">
        <v>166</v>
      </c>
      <c r="C218" s="37"/>
      <c r="D218" s="37"/>
      <c r="E218" s="37"/>
      <c r="F218" s="37"/>
      <c r="G218" s="37"/>
      <c r="H218" s="37">
        <v>65</v>
      </c>
      <c r="I218" s="37"/>
      <c r="J218" s="37" t="s">
        <v>25</v>
      </c>
      <c r="K218" s="37">
        <v>0</v>
      </c>
      <c r="L218" s="37">
        <v>38</v>
      </c>
      <c r="M218" s="37">
        <v>23</v>
      </c>
      <c r="N218" s="37">
        <v>61</v>
      </c>
      <c r="O218" s="37">
        <v>113</v>
      </c>
      <c r="P218" s="37"/>
      <c r="Q218" s="37">
        <v>174</v>
      </c>
      <c r="R218" s="37">
        <v>31633</v>
      </c>
      <c r="S218" s="37"/>
      <c r="T218" s="37"/>
      <c r="U218" s="37"/>
      <c r="V218" s="37"/>
      <c r="W218" s="37" t="s">
        <v>18</v>
      </c>
      <c r="X218" s="37"/>
      <c r="Y218" s="37"/>
      <c r="Z218" s="37" t="s">
        <v>24</v>
      </c>
      <c r="AA218" s="37">
        <v>64</v>
      </c>
      <c r="AB218" s="37">
        <v>5</v>
      </c>
      <c r="AC218" s="37">
        <v>1</v>
      </c>
      <c r="AD218" s="37" t="s">
        <v>785</v>
      </c>
      <c r="AE218" s="37">
        <v>1.6</v>
      </c>
      <c r="AF218" s="37" t="s">
        <v>788</v>
      </c>
    </row>
    <row r="219" spans="1:32" customFormat="1" x14ac:dyDescent="0.2">
      <c r="A219" s="37"/>
      <c r="B219" s="37" t="s">
        <v>166</v>
      </c>
      <c r="C219" s="37"/>
      <c r="D219" s="37"/>
      <c r="E219" s="37"/>
      <c r="F219" s="37"/>
      <c r="G219" s="37"/>
      <c r="H219" s="37"/>
      <c r="I219" s="37"/>
      <c r="J219" s="37" t="s">
        <v>15</v>
      </c>
      <c r="K219" s="37">
        <v>57</v>
      </c>
      <c r="L219" s="37">
        <v>495</v>
      </c>
      <c r="M219" s="37">
        <v>75</v>
      </c>
      <c r="N219" s="37">
        <v>627</v>
      </c>
      <c r="O219" s="37">
        <v>1097</v>
      </c>
      <c r="P219" s="37">
        <v>0</v>
      </c>
      <c r="Q219" s="37">
        <v>1724</v>
      </c>
      <c r="R219" s="37">
        <v>45669</v>
      </c>
      <c r="S219" s="37"/>
      <c r="T219" s="37"/>
      <c r="U219" s="37"/>
      <c r="V219" s="37"/>
      <c r="W219" s="37" t="s">
        <v>18</v>
      </c>
      <c r="X219" s="37"/>
      <c r="Y219" s="37"/>
      <c r="Z219" s="37" t="s">
        <v>24</v>
      </c>
      <c r="AA219" s="37">
        <v>64</v>
      </c>
      <c r="AB219" s="37">
        <v>5</v>
      </c>
      <c r="AC219" s="37">
        <v>1</v>
      </c>
      <c r="AD219" s="37" t="s">
        <v>785</v>
      </c>
      <c r="AE219" s="37">
        <v>1.6</v>
      </c>
      <c r="AF219" s="37" t="s">
        <v>789</v>
      </c>
    </row>
    <row r="220" spans="1:32" customFormat="1" x14ac:dyDescent="0.2">
      <c r="A220" s="37"/>
      <c r="B220" s="37">
        <v>56</v>
      </c>
      <c r="C220" s="37" t="s">
        <v>24</v>
      </c>
      <c r="D220" s="37">
        <v>69</v>
      </c>
      <c r="E220" s="37">
        <v>21</v>
      </c>
      <c r="F220" s="37">
        <v>1</v>
      </c>
      <c r="G220" s="37">
        <v>2.5</v>
      </c>
      <c r="H220" s="37" t="s">
        <v>56</v>
      </c>
      <c r="I220" s="37" t="s">
        <v>23</v>
      </c>
      <c r="J220" s="37" t="s">
        <v>18</v>
      </c>
      <c r="K220" s="37">
        <v>6</v>
      </c>
      <c r="L220" s="37">
        <v>68</v>
      </c>
      <c r="M220" s="37">
        <v>4</v>
      </c>
      <c r="N220" s="37">
        <v>78</v>
      </c>
      <c r="O220" s="37">
        <v>125</v>
      </c>
      <c r="P220" s="37"/>
      <c r="Q220" s="37">
        <v>203</v>
      </c>
      <c r="R220" s="37">
        <v>1282</v>
      </c>
      <c r="S220" s="37"/>
      <c r="T220" s="37" t="s">
        <v>181</v>
      </c>
      <c r="U220" s="37" t="s">
        <v>213</v>
      </c>
      <c r="V220" s="37">
        <v>65</v>
      </c>
      <c r="W220" s="37" t="s">
        <v>18</v>
      </c>
      <c r="X220" s="37" t="s">
        <v>190</v>
      </c>
      <c r="Y220" s="37">
        <v>450</v>
      </c>
      <c r="Z220" s="37" t="s">
        <v>24</v>
      </c>
      <c r="AA220" s="37">
        <v>69</v>
      </c>
      <c r="AB220" s="37">
        <v>21</v>
      </c>
      <c r="AC220" s="37">
        <v>1</v>
      </c>
      <c r="AD220" s="37" t="s">
        <v>790</v>
      </c>
      <c r="AE220" s="37">
        <v>1</v>
      </c>
      <c r="AF220" s="37" t="s">
        <v>791</v>
      </c>
    </row>
    <row r="221" spans="1:32" customFormat="1" x14ac:dyDescent="0.2">
      <c r="A221" s="37"/>
      <c r="B221" s="37" t="s">
        <v>166</v>
      </c>
      <c r="C221" s="37"/>
      <c r="D221" s="37"/>
      <c r="E221" s="37"/>
      <c r="F221" s="37"/>
      <c r="G221" s="37"/>
      <c r="H221" s="37" t="s">
        <v>60</v>
      </c>
      <c r="I221" s="37"/>
      <c r="J221" s="37" t="s">
        <v>17</v>
      </c>
      <c r="K221" s="37">
        <v>0</v>
      </c>
      <c r="L221" s="37">
        <v>13</v>
      </c>
      <c r="M221" s="37">
        <v>7</v>
      </c>
      <c r="N221" s="37">
        <v>20</v>
      </c>
      <c r="O221" s="37">
        <v>50</v>
      </c>
      <c r="P221" s="37"/>
      <c r="Q221" s="37">
        <v>70</v>
      </c>
      <c r="R221" s="37">
        <v>1571</v>
      </c>
      <c r="S221" s="37"/>
      <c r="T221" s="37"/>
      <c r="U221" s="37"/>
      <c r="V221" s="37"/>
      <c r="W221" s="37" t="s">
        <v>18</v>
      </c>
      <c r="X221" s="37"/>
      <c r="Y221" s="37"/>
      <c r="Z221" s="37" t="s">
        <v>24</v>
      </c>
      <c r="AA221" s="37">
        <v>69</v>
      </c>
      <c r="AB221" s="37">
        <v>21</v>
      </c>
      <c r="AC221" s="37">
        <v>1</v>
      </c>
      <c r="AD221" s="37" t="s">
        <v>790</v>
      </c>
      <c r="AE221" s="37">
        <v>1</v>
      </c>
      <c r="AF221" s="37" t="s">
        <v>792</v>
      </c>
    </row>
    <row r="222" spans="1:32" customFormat="1" x14ac:dyDescent="0.2">
      <c r="A222" s="37"/>
      <c r="B222" s="37" t="s">
        <v>166</v>
      </c>
      <c r="C222" s="37"/>
      <c r="D222" s="37"/>
      <c r="E222" s="37"/>
      <c r="F222" s="37"/>
      <c r="G222" s="37"/>
      <c r="H222" s="37">
        <v>65</v>
      </c>
      <c r="I222" s="37"/>
      <c r="J222" s="37" t="s">
        <v>19</v>
      </c>
      <c r="K222" s="37">
        <v>0</v>
      </c>
      <c r="L222" s="37">
        <v>17</v>
      </c>
      <c r="M222" s="37">
        <v>5</v>
      </c>
      <c r="N222" s="37">
        <v>22</v>
      </c>
      <c r="O222" s="37">
        <v>65</v>
      </c>
      <c r="P222" s="37"/>
      <c r="Q222" s="37">
        <v>87</v>
      </c>
      <c r="R222" s="37">
        <v>1004</v>
      </c>
      <c r="S222" s="37"/>
      <c r="T222" s="37"/>
      <c r="U222" s="37"/>
      <c r="V222" s="37"/>
      <c r="W222" s="37" t="s">
        <v>18</v>
      </c>
      <c r="X222" s="37"/>
      <c r="Y222" s="37"/>
      <c r="Z222" s="37" t="s">
        <v>24</v>
      </c>
      <c r="AA222" s="37">
        <v>69</v>
      </c>
      <c r="AB222" s="37">
        <v>21</v>
      </c>
      <c r="AC222" s="37">
        <v>1</v>
      </c>
      <c r="AD222" s="37" t="s">
        <v>790</v>
      </c>
      <c r="AE222" s="37">
        <v>1</v>
      </c>
      <c r="AF222" s="37" t="s">
        <v>793</v>
      </c>
    </row>
    <row r="223" spans="1:32" customFormat="1" x14ac:dyDescent="0.2">
      <c r="A223" s="37"/>
      <c r="B223" s="37" t="s">
        <v>166</v>
      </c>
      <c r="C223" s="37"/>
      <c r="D223" s="37"/>
      <c r="E223" s="37"/>
      <c r="F223" s="37"/>
      <c r="G223" s="37"/>
      <c r="H223" s="37"/>
      <c r="I223" s="37"/>
      <c r="J223" s="37" t="s">
        <v>15</v>
      </c>
      <c r="K223" s="37">
        <v>6</v>
      </c>
      <c r="L223" s="37">
        <v>98</v>
      </c>
      <c r="M223" s="37">
        <v>16</v>
      </c>
      <c r="N223" s="37">
        <v>120</v>
      </c>
      <c r="O223" s="37">
        <v>240</v>
      </c>
      <c r="P223" s="37">
        <v>0</v>
      </c>
      <c r="Q223" s="37">
        <v>360</v>
      </c>
      <c r="R223" s="37">
        <v>3857</v>
      </c>
      <c r="S223" s="37"/>
      <c r="T223" s="37"/>
      <c r="U223" s="37"/>
      <c r="V223" s="37"/>
      <c r="W223" s="37" t="s">
        <v>18</v>
      </c>
      <c r="X223" s="37"/>
      <c r="Y223" s="37"/>
      <c r="Z223" s="37" t="s">
        <v>24</v>
      </c>
      <c r="AA223" s="37">
        <v>69</v>
      </c>
      <c r="AB223" s="37">
        <v>21</v>
      </c>
      <c r="AC223" s="37">
        <v>1</v>
      </c>
      <c r="AD223" s="37" t="s">
        <v>790</v>
      </c>
      <c r="AE223" s="37">
        <v>1</v>
      </c>
      <c r="AF223" s="37" t="s">
        <v>794</v>
      </c>
    </row>
    <row r="224" spans="1:32" customFormat="1" x14ac:dyDescent="0.2">
      <c r="A224" s="37"/>
      <c r="B224" s="37">
        <v>57</v>
      </c>
      <c r="C224" s="37" t="s">
        <v>24</v>
      </c>
      <c r="D224" s="37">
        <v>86</v>
      </c>
      <c r="E224" s="37">
        <v>3</v>
      </c>
      <c r="F224" s="37">
        <v>1</v>
      </c>
      <c r="G224" s="37">
        <v>5.5</v>
      </c>
      <c r="H224" s="37" t="s">
        <v>56</v>
      </c>
      <c r="I224" s="37" t="s">
        <v>23</v>
      </c>
      <c r="J224" s="37" t="s">
        <v>18</v>
      </c>
      <c r="K224" s="37">
        <v>0</v>
      </c>
      <c r="L224" s="37">
        <v>35</v>
      </c>
      <c r="M224" s="37">
        <v>4</v>
      </c>
      <c r="N224" s="37">
        <v>39</v>
      </c>
      <c r="O224" s="37">
        <v>91</v>
      </c>
      <c r="P224" s="37"/>
      <c r="Q224" s="37">
        <v>130</v>
      </c>
      <c r="R224" s="37">
        <v>627</v>
      </c>
      <c r="S224" s="37"/>
      <c r="T224" s="37" t="s">
        <v>181</v>
      </c>
      <c r="U224" s="37" t="s">
        <v>352</v>
      </c>
      <c r="V224" s="37">
        <v>65</v>
      </c>
      <c r="W224" s="37" t="s">
        <v>17</v>
      </c>
      <c r="X224" s="37" t="s">
        <v>190</v>
      </c>
      <c r="Y224" s="37">
        <v>935</v>
      </c>
      <c r="Z224" s="37" t="s">
        <v>24</v>
      </c>
      <c r="AA224" s="37">
        <v>86</v>
      </c>
      <c r="AB224" s="37">
        <v>3</v>
      </c>
      <c r="AC224" s="37">
        <v>1</v>
      </c>
      <c r="AD224" s="37" t="s">
        <v>795</v>
      </c>
      <c r="AE224" s="37">
        <v>1</v>
      </c>
      <c r="AF224" s="37" t="s">
        <v>796</v>
      </c>
    </row>
    <row r="225" spans="1:32" customFormat="1" x14ac:dyDescent="0.2">
      <c r="A225" s="37"/>
      <c r="B225" s="37" t="s">
        <v>166</v>
      </c>
      <c r="C225" s="37"/>
      <c r="D225" s="37"/>
      <c r="E225" s="37"/>
      <c r="F225" s="37"/>
      <c r="G225" s="37"/>
      <c r="H225" s="37" t="s">
        <v>49</v>
      </c>
      <c r="I225" s="37"/>
      <c r="J225" s="37" t="s">
        <v>17</v>
      </c>
      <c r="K225" s="37">
        <v>0</v>
      </c>
      <c r="L225" s="37">
        <v>63</v>
      </c>
      <c r="M225" s="37">
        <v>51</v>
      </c>
      <c r="N225" s="37">
        <v>114</v>
      </c>
      <c r="O225" s="37">
        <v>278</v>
      </c>
      <c r="P225" s="37"/>
      <c r="Q225" s="37">
        <v>392</v>
      </c>
      <c r="R225" s="37">
        <v>8581</v>
      </c>
      <c r="S225" s="37"/>
      <c r="T225" s="37"/>
      <c r="U225" s="37"/>
      <c r="V225" s="37"/>
      <c r="W225" s="37" t="s">
        <v>17</v>
      </c>
      <c r="X225" s="37"/>
      <c r="Y225" s="37"/>
      <c r="Z225" s="37" t="s">
        <v>24</v>
      </c>
      <c r="AA225" s="37">
        <v>86</v>
      </c>
      <c r="AB225" s="37">
        <v>3</v>
      </c>
      <c r="AC225" s="37">
        <v>1</v>
      </c>
      <c r="AD225" s="37" t="s">
        <v>795</v>
      </c>
      <c r="AE225" s="37">
        <v>1</v>
      </c>
      <c r="AF225" s="37" t="s">
        <v>797</v>
      </c>
    </row>
    <row r="226" spans="1:32" customFormat="1" x14ac:dyDescent="0.2">
      <c r="A226" s="37"/>
      <c r="B226" s="37" t="s">
        <v>166</v>
      </c>
      <c r="C226" s="37"/>
      <c r="D226" s="37"/>
      <c r="E226" s="37"/>
      <c r="F226" s="37"/>
      <c r="G226" s="37"/>
      <c r="H226" s="37">
        <v>65</v>
      </c>
      <c r="I226" s="37"/>
      <c r="J226" s="37" t="s">
        <v>19</v>
      </c>
      <c r="K226" s="37">
        <v>0</v>
      </c>
      <c r="L226" s="37">
        <v>29</v>
      </c>
      <c r="M226" s="37">
        <v>18</v>
      </c>
      <c r="N226" s="37">
        <v>47</v>
      </c>
      <c r="O226" s="37">
        <v>139</v>
      </c>
      <c r="P226" s="37"/>
      <c r="Q226" s="37">
        <v>186</v>
      </c>
      <c r="R226" s="37">
        <v>1945</v>
      </c>
      <c r="S226" s="37"/>
      <c r="T226" s="37"/>
      <c r="U226" s="37"/>
      <c r="V226" s="37"/>
      <c r="W226" s="37" t="s">
        <v>17</v>
      </c>
      <c r="X226" s="37"/>
      <c r="Y226" s="37"/>
      <c r="Z226" s="37" t="s">
        <v>24</v>
      </c>
      <c r="AA226" s="37">
        <v>86</v>
      </c>
      <c r="AB226" s="37">
        <v>3</v>
      </c>
      <c r="AC226" s="37">
        <v>1</v>
      </c>
      <c r="AD226" s="37" t="s">
        <v>795</v>
      </c>
      <c r="AE226" s="37">
        <v>1</v>
      </c>
      <c r="AF226" s="37" t="s">
        <v>798</v>
      </c>
    </row>
    <row r="227" spans="1:32" customFormat="1" x14ac:dyDescent="0.2">
      <c r="A227" s="37"/>
      <c r="B227" s="37" t="s">
        <v>166</v>
      </c>
      <c r="C227" s="37"/>
      <c r="D227" s="37"/>
      <c r="E227" s="37"/>
      <c r="F227" s="37"/>
      <c r="G227" s="37"/>
      <c r="H227" s="37"/>
      <c r="I227" s="37"/>
      <c r="J227" s="37" t="s">
        <v>25</v>
      </c>
      <c r="K227" s="37">
        <v>0</v>
      </c>
      <c r="L227" s="37">
        <v>17</v>
      </c>
      <c r="M227" s="37">
        <v>5</v>
      </c>
      <c r="N227" s="37">
        <v>22</v>
      </c>
      <c r="O227" s="37">
        <v>53</v>
      </c>
      <c r="P227" s="37"/>
      <c r="Q227" s="37">
        <v>75</v>
      </c>
      <c r="R227" s="37">
        <v>12695</v>
      </c>
      <c r="S227" s="37"/>
      <c r="T227" s="37"/>
      <c r="U227" s="37"/>
      <c r="V227" s="37"/>
      <c r="W227" s="37" t="s">
        <v>17</v>
      </c>
      <c r="X227" s="37"/>
      <c r="Y227" s="37"/>
      <c r="Z227" s="37" t="s">
        <v>24</v>
      </c>
      <c r="AA227" s="37">
        <v>86</v>
      </c>
      <c r="AB227" s="37">
        <v>3</v>
      </c>
      <c r="AC227" s="37">
        <v>1</v>
      </c>
      <c r="AD227" s="37" t="s">
        <v>795</v>
      </c>
      <c r="AE227" s="37">
        <v>1</v>
      </c>
      <c r="AF227" s="37" t="s">
        <v>799</v>
      </c>
    </row>
    <row r="228" spans="1:32" customFormat="1" x14ac:dyDescent="0.2">
      <c r="A228" s="37"/>
      <c r="B228" s="37" t="s">
        <v>166</v>
      </c>
      <c r="C228" s="37"/>
      <c r="D228" s="37"/>
      <c r="E228" s="37"/>
      <c r="F228" s="37"/>
      <c r="G228" s="37"/>
      <c r="H228" s="37"/>
      <c r="I228" s="37"/>
      <c r="J228" s="37" t="s">
        <v>15</v>
      </c>
      <c r="K228" s="37">
        <v>0</v>
      </c>
      <c r="L228" s="37">
        <v>144</v>
      </c>
      <c r="M228" s="37">
        <v>78</v>
      </c>
      <c r="N228" s="37">
        <v>222</v>
      </c>
      <c r="O228" s="37">
        <v>561</v>
      </c>
      <c r="P228" s="37">
        <v>0</v>
      </c>
      <c r="Q228" s="37">
        <v>783</v>
      </c>
      <c r="R228" s="37">
        <v>23848</v>
      </c>
      <c r="S228" s="37"/>
      <c r="T228" s="37"/>
      <c r="U228" s="37"/>
      <c r="V228" s="37"/>
      <c r="W228" s="37" t="s">
        <v>17</v>
      </c>
      <c r="X228" s="37"/>
      <c r="Y228" s="37"/>
      <c r="Z228" s="37" t="s">
        <v>24</v>
      </c>
      <c r="AA228" s="37">
        <v>86</v>
      </c>
      <c r="AB228" s="37">
        <v>3</v>
      </c>
      <c r="AC228" s="37">
        <v>1</v>
      </c>
      <c r="AD228" s="37" t="s">
        <v>795</v>
      </c>
      <c r="AE228" s="37">
        <v>1</v>
      </c>
      <c r="AF228" s="37" t="s">
        <v>800</v>
      </c>
    </row>
    <row r="229" spans="1:32" customFormat="1" x14ac:dyDescent="0.2">
      <c r="A229" s="37"/>
      <c r="B229" s="37">
        <v>58</v>
      </c>
      <c r="C229" s="37" t="s">
        <v>24</v>
      </c>
      <c r="D229" s="37">
        <v>88</v>
      </c>
      <c r="E229" s="37">
        <v>3</v>
      </c>
      <c r="F229" s="37">
        <v>1</v>
      </c>
      <c r="G229" s="37">
        <v>6.3</v>
      </c>
      <c r="H229" s="37" t="s">
        <v>56</v>
      </c>
      <c r="I229" s="37" t="s">
        <v>23</v>
      </c>
      <c r="J229" s="37" t="s">
        <v>18</v>
      </c>
      <c r="K229" s="37">
        <v>57</v>
      </c>
      <c r="L229" s="37">
        <v>166</v>
      </c>
      <c r="M229" s="37">
        <v>9</v>
      </c>
      <c r="N229" s="37">
        <v>232</v>
      </c>
      <c r="O229" s="37">
        <v>336</v>
      </c>
      <c r="P229" s="37"/>
      <c r="Q229" s="37">
        <v>568</v>
      </c>
      <c r="R229" s="37">
        <v>4020</v>
      </c>
      <c r="S229" s="37"/>
      <c r="T229" s="37" t="s">
        <v>181</v>
      </c>
      <c r="U229" s="37" t="s">
        <v>307</v>
      </c>
      <c r="V229" s="37">
        <v>55</v>
      </c>
      <c r="W229" s="37" t="s">
        <v>18</v>
      </c>
      <c r="X229" s="37" t="s">
        <v>190</v>
      </c>
      <c r="Y229" s="37">
        <v>1197</v>
      </c>
      <c r="Z229" s="37" t="s">
        <v>24</v>
      </c>
      <c r="AA229" s="37">
        <v>88</v>
      </c>
      <c r="AB229" s="37">
        <v>3</v>
      </c>
      <c r="AC229" s="37">
        <v>1</v>
      </c>
      <c r="AD229" s="37" t="s">
        <v>801</v>
      </c>
      <c r="AE229" s="37">
        <v>1</v>
      </c>
      <c r="AF229" s="37" t="s">
        <v>802</v>
      </c>
    </row>
    <row r="230" spans="1:32" customFormat="1" x14ac:dyDescent="0.2">
      <c r="A230" s="37"/>
      <c r="B230" s="37" t="s">
        <v>166</v>
      </c>
      <c r="C230" s="37"/>
      <c r="D230" s="37"/>
      <c r="E230" s="37"/>
      <c r="F230" s="37"/>
      <c r="G230" s="37"/>
      <c r="H230" s="37" t="s">
        <v>61</v>
      </c>
      <c r="I230" s="37"/>
      <c r="J230" s="37" t="s">
        <v>17</v>
      </c>
      <c r="K230" s="37">
        <v>7</v>
      </c>
      <c r="L230" s="37">
        <v>49</v>
      </c>
      <c r="M230" s="37">
        <v>31</v>
      </c>
      <c r="N230" s="37">
        <v>87</v>
      </c>
      <c r="O230" s="37">
        <v>171</v>
      </c>
      <c r="P230" s="37"/>
      <c r="Q230" s="37">
        <v>258</v>
      </c>
      <c r="R230" s="37">
        <v>6824</v>
      </c>
      <c r="S230" s="37"/>
      <c r="T230" s="37"/>
      <c r="U230" s="37"/>
      <c r="V230" s="37"/>
      <c r="W230" s="37" t="s">
        <v>18</v>
      </c>
      <c r="X230" s="37"/>
      <c r="Y230" s="37"/>
      <c r="Z230" s="37" t="s">
        <v>24</v>
      </c>
      <c r="AA230" s="37">
        <v>88</v>
      </c>
      <c r="AB230" s="37">
        <v>3</v>
      </c>
      <c r="AC230" s="37">
        <v>1</v>
      </c>
      <c r="AD230" s="37" t="s">
        <v>801</v>
      </c>
      <c r="AE230" s="37">
        <v>1</v>
      </c>
      <c r="AF230" s="37" t="s">
        <v>803</v>
      </c>
    </row>
    <row r="231" spans="1:32" customFormat="1" x14ac:dyDescent="0.2">
      <c r="A231" s="37"/>
      <c r="B231" s="37" t="s">
        <v>166</v>
      </c>
      <c r="C231" s="37"/>
      <c r="D231" s="37"/>
      <c r="E231" s="37"/>
      <c r="F231" s="37"/>
      <c r="G231" s="37"/>
      <c r="H231" s="37">
        <v>55</v>
      </c>
      <c r="I231" s="37"/>
      <c r="J231" s="37" t="s">
        <v>19</v>
      </c>
      <c r="K231" s="37">
        <v>0</v>
      </c>
      <c r="L231" s="37">
        <v>21</v>
      </c>
      <c r="M231" s="37">
        <v>15</v>
      </c>
      <c r="N231" s="37">
        <v>36</v>
      </c>
      <c r="O231" s="37">
        <v>121</v>
      </c>
      <c r="P231" s="37"/>
      <c r="Q231" s="37">
        <v>157</v>
      </c>
      <c r="R231" s="37">
        <v>1490</v>
      </c>
      <c r="S231" s="37"/>
      <c r="T231" s="37"/>
      <c r="U231" s="37"/>
      <c r="V231" s="37"/>
      <c r="W231" s="37" t="s">
        <v>18</v>
      </c>
      <c r="X231" s="37"/>
      <c r="Y231" s="37"/>
      <c r="Z231" s="37" t="s">
        <v>24</v>
      </c>
      <c r="AA231" s="37">
        <v>88</v>
      </c>
      <c r="AB231" s="37">
        <v>3</v>
      </c>
      <c r="AC231" s="37">
        <v>1</v>
      </c>
      <c r="AD231" s="37" t="s">
        <v>801</v>
      </c>
      <c r="AE231" s="37">
        <v>1</v>
      </c>
      <c r="AF231" s="37" t="s">
        <v>804</v>
      </c>
    </row>
    <row r="232" spans="1:32" customFormat="1" x14ac:dyDescent="0.2">
      <c r="A232" s="37"/>
      <c r="B232" s="37" t="s">
        <v>166</v>
      </c>
      <c r="C232" s="37"/>
      <c r="D232" s="37"/>
      <c r="E232" s="37"/>
      <c r="F232" s="37"/>
      <c r="G232" s="37"/>
      <c r="H232" s="37"/>
      <c r="I232" s="37"/>
      <c r="J232" s="37" t="s">
        <v>25</v>
      </c>
      <c r="K232" s="37">
        <v>0</v>
      </c>
      <c r="L232" s="37">
        <v>24</v>
      </c>
      <c r="M232" s="37">
        <v>7</v>
      </c>
      <c r="N232" s="37">
        <v>31</v>
      </c>
      <c r="O232" s="37">
        <v>73</v>
      </c>
      <c r="P232" s="37"/>
      <c r="Q232" s="37">
        <v>104</v>
      </c>
      <c r="R232" s="37">
        <v>17877</v>
      </c>
      <c r="S232" s="37"/>
      <c r="T232" s="37"/>
      <c r="U232" s="37"/>
      <c r="V232" s="37"/>
      <c r="W232" s="37" t="s">
        <v>18</v>
      </c>
      <c r="X232" s="37"/>
      <c r="Y232" s="37"/>
      <c r="Z232" s="37" t="s">
        <v>24</v>
      </c>
      <c r="AA232" s="37">
        <v>88</v>
      </c>
      <c r="AB232" s="37">
        <v>3</v>
      </c>
      <c r="AC232" s="37">
        <v>1</v>
      </c>
      <c r="AD232" s="37" t="s">
        <v>801</v>
      </c>
      <c r="AE232" s="37">
        <v>1</v>
      </c>
      <c r="AF232" s="37" t="s">
        <v>805</v>
      </c>
    </row>
    <row r="233" spans="1:32" customFormat="1" x14ac:dyDescent="0.2">
      <c r="A233" s="37"/>
      <c r="B233" s="37" t="s">
        <v>166</v>
      </c>
      <c r="C233" s="37"/>
      <c r="D233" s="37"/>
      <c r="E233" s="37"/>
      <c r="F233" s="37"/>
      <c r="G233" s="37"/>
      <c r="H233" s="37"/>
      <c r="I233" s="37"/>
      <c r="J233" s="37" t="s">
        <v>15</v>
      </c>
      <c r="K233" s="37">
        <v>64</v>
      </c>
      <c r="L233" s="37">
        <v>260</v>
      </c>
      <c r="M233" s="37">
        <v>62</v>
      </c>
      <c r="N233" s="37">
        <v>386</v>
      </c>
      <c r="O233" s="37">
        <v>701</v>
      </c>
      <c r="P233" s="37">
        <v>0</v>
      </c>
      <c r="Q233" s="37">
        <v>1087</v>
      </c>
      <c r="R233" s="37">
        <v>30211</v>
      </c>
      <c r="S233" s="37"/>
      <c r="T233" s="37"/>
      <c r="U233" s="37"/>
      <c r="V233" s="37"/>
      <c r="W233" s="37" t="s">
        <v>18</v>
      </c>
      <c r="X233" s="37"/>
      <c r="Y233" s="37"/>
      <c r="Z233" s="37" t="s">
        <v>24</v>
      </c>
      <c r="AA233" s="37">
        <v>88</v>
      </c>
      <c r="AB233" s="37">
        <v>3</v>
      </c>
      <c r="AC233" s="37">
        <v>1</v>
      </c>
      <c r="AD233" s="37" t="s">
        <v>801</v>
      </c>
      <c r="AE233" s="37">
        <v>1</v>
      </c>
      <c r="AF233" s="37" t="s">
        <v>806</v>
      </c>
    </row>
    <row r="234" spans="1:32" customFormat="1" x14ac:dyDescent="0.2">
      <c r="A234" s="37"/>
      <c r="B234" s="37">
        <v>59</v>
      </c>
      <c r="C234" s="37" t="s">
        <v>24</v>
      </c>
      <c r="D234" s="37">
        <v>89</v>
      </c>
      <c r="E234" s="37">
        <v>7</v>
      </c>
      <c r="F234" s="37">
        <v>1</v>
      </c>
      <c r="G234" s="37">
        <v>10</v>
      </c>
      <c r="H234" s="37" t="s">
        <v>56</v>
      </c>
      <c r="I234" s="37" t="s">
        <v>23</v>
      </c>
      <c r="J234" s="37" t="s">
        <v>18</v>
      </c>
      <c r="K234" s="37">
        <v>19</v>
      </c>
      <c r="L234" s="37">
        <v>88</v>
      </c>
      <c r="M234" s="37">
        <v>8</v>
      </c>
      <c r="N234" s="37">
        <v>115</v>
      </c>
      <c r="O234" s="37">
        <v>236</v>
      </c>
      <c r="P234" s="37"/>
      <c r="Q234" s="37">
        <v>351</v>
      </c>
      <c r="R234" s="37">
        <v>1956</v>
      </c>
      <c r="S234" s="37"/>
      <c r="T234" s="37" t="s">
        <v>181</v>
      </c>
      <c r="U234" s="37" t="s">
        <v>250</v>
      </c>
      <c r="V234" s="37">
        <v>65</v>
      </c>
      <c r="W234" s="37" t="s">
        <v>17</v>
      </c>
      <c r="X234" s="37" t="s">
        <v>190</v>
      </c>
      <c r="Y234" s="37">
        <v>1700</v>
      </c>
      <c r="Z234" s="37" t="s">
        <v>24</v>
      </c>
      <c r="AA234" s="37">
        <v>89</v>
      </c>
      <c r="AB234" s="37">
        <v>7</v>
      </c>
      <c r="AC234" s="37">
        <v>1</v>
      </c>
      <c r="AD234" s="37" t="s">
        <v>807</v>
      </c>
      <c r="AE234" s="37">
        <v>1.2</v>
      </c>
      <c r="AF234" s="37" t="s">
        <v>808</v>
      </c>
    </row>
    <row r="235" spans="1:32" customFormat="1" x14ac:dyDescent="0.2">
      <c r="A235" s="37"/>
      <c r="B235" s="37" t="s">
        <v>166</v>
      </c>
      <c r="C235" s="37"/>
      <c r="D235" s="37"/>
      <c r="E235" s="37"/>
      <c r="F235" s="37"/>
      <c r="G235" s="37"/>
      <c r="H235" s="37" t="s">
        <v>50</v>
      </c>
      <c r="I235" s="37"/>
      <c r="J235" s="37" t="s">
        <v>17</v>
      </c>
      <c r="K235" s="37">
        <v>1</v>
      </c>
      <c r="L235" s="37">
        <v>83</v>
      </c>
      <c r="M235" s="37">
        <v>90</v>
      </c>
      <c r="N235" s="37">
        <v>174</v>
      </c>
      <c r="O235" s="37">
        <v>381</v>
      </c>
      <c r="P235" s="37"/>
      <c r="Q235" s="37">
        <v>555</v>
      </c>
      <c r="R235" s="37">
        <v>12368</v>
      </c>
      <c r="S235" s="37"/>
      <c r="T235" s="37"/>
      <c r="U235" s="37"/>
      <c r="V235" s="37"/>
      <c r="W235" s="37" t="s">
        <v>17</v>
      </c>
      <c r="X235" s="37"/>
      <c r="Y235" s="37"/>
      <c r="Z235" s="37" t="s">
        <v>24</v>
      </c>
      <c r="AA235" s="37">
        <v>89</v>
      </c>
      <c r="AB235" s="37">
        <v>7</v>
      </c>
      <c r="AC235" s="37">
        <v>1</v>
      </c>
      <c r="AD235" s="37" t="s">
        <v>807</v>
      </c>
      <c r="AE235" s="37">
        <v>1.2</v>
      </c>
      <c r="AF235" s="37" t="s">
        <v>809</v>
      </c>
    </row>
    <row r="236" spans="1:32" customFormat="1" x14ac:dyDescent="0.2">
      <c r="A236" s="37"/>
      <c r="B236" s="37" t="s">
        <v>166</v>
      </c>
      <c r="C236" s="37"/>
      <c r="D236" s="37"/>
      <c r="E236" s="37"/>
      <c r="F236" s="37"/>
      <c r="G236" s="37"/>
      <c r="H236" s="37">
        <v>65</v>
      </c>
      <c r="I236" s="37"/>
      <c r="J236" s="37" t="s">
        <v>19</v>
      </c>
      <c r="K236" s="37">
        <v>0</v>
      </c>
      <c r="L236" s="37">
        <v>13</v>
      </c>
      <c r="M236" s="37">
        <v>20</v>
      </c>
      <c r="N236" s="37">
        <v>33</v>
      </c>
      <c r="O236" s="37">
        <v>143</v>
      </c>
      <c r="P236" s="37"/>
      <c r="Q236" s="37">
        <v>176</v>
      </c>
      <c r="R236" s="37">
        <v>1267</v>
      </c>
      <c r="S236" s="37"/>
      <c r="T236" s="37"/>
      <c r="U236" s="37"/>
      <c r="V236" s="37"/>
      <c r="W236" s="37" t="s">
        <v>17</v>
      </c>
      <c r="X236" s="37"/>
      <c r="Y236" s="37"/>
      <c r="Z236" s="37" t="s">
        <v>24</v>
      </c>
      <c r="AA236" s="37">
        <v>89</v>
      </c>
      <c r="AB236" s="37">
        <v>7</v>
      </c>
      <c r="AC236" s="37">
        <v>1</v>
      </c>
      <c r="AD236" s="37" t="s">
        <v>807</v>
      </c>
      <c r="AE236" s="37">
        <v>1.2</v>
      </c>
      <c r="AF236" s="37" t="s">
        <v>810</v>
      </c>
    </row>
    <row r="237" spans="1:32" customFormat="1" x14ac:dyDescent="0.2">
      <c r="A237" s="37"/>
      <c r="B237" s="37" t="s">
        <v>166</v>
      </c>
      <c r="C237" s="37"/>
      <c r="D237" s="37"/>
      <c r="E237" s="37"/>
      <c r="F237" s="37"/>
      <c r="G237" s="37"/>
      <c r="H237" s="37"/>
      <c r="I237" s="37"/>
      <c r="J237" s="37" t="s">
        <v>25</v>
      </c>
      <c r="K237" s="37">
        <v>0</v>
      </c>
      <c r="L237" s="37">
        <v>35</v>
      </c>
      <c r="M237" s="37">
        <v>15</v>
      </c>
      <c r="N237" s="37">
        <v>50</v>
      </c>
      <c r="O237" s="37">
        <v>121</v>
      </c>
      <c r="P237" s="37"/>
      <c r="Q237" s="37">
        <v>171</v>
      </c>
      <c r="R237" s="37">
        <v>27521</v>
      </c>
      <c r="S237" s="37"/>
      <c r="T237" s="37"/>
      <c r="U237" s="37"/>
      <c r="V237" s="37"/>
      <c r="W237" s="37" t="s">
        <v>17</v>
      </c>
      <c r="X237" s="37"/>
      <c r="Y237" s="37"/>
      <c r="Z237" s="37" t="s">
        <v>24</v>
      </c>
      <c r="AA237" s="37">
        <v>89</v>
      </c>
      <c r="AB237" s="37">
        <v>7</v>
      </c>
      <c r="AC237" s="37">
        <v>1</v>
      </c>
      <c r="AD237" s="37" t="s">
        <v>807</v>
      </c>
      <c r="AE237" s="37">
        <v>1.2</v>
      </c>
      <c r="AF237" s="37" t="s">
        <v>811</v>
      </c>
    </row>
    <row r="238" spans="1:32" customFormat="1" x14ac:dyDescent="0.2">
      <c r="A238" s="37"/>
      <c r="B238" s="37" t="s">
        <v>166</v>
      </c>
      <c r="C238" s="37"/>
      <c r="D238" s="37"/>
      <c r="E238" s="37"/>
      <c r="F238" s="37"/>
      <c r="G238" s="37"/>
      <c r="H238" s="37"/>
      <c r="I238" s="37"/>
      <c r="J238" s="37" t="s">
        <v>15</v>
      </c>
      <c r="K238" s="37">
        <v>20</v>
      </c>
      <c r="L238" s="37">
        <v>219</v>
      </c>
      <c r="M238" s="37">
        <v>133</v>
      </c>
      <c r="N238" s="37">
        <v>372</v>
      </c>
      <c r="O238" s="37">
        <v>881</v>
      </c>
      <c r="P238" s="37">
        <v>0</v>
      </c>
      <c r="Q238" s="37">
        <v>1253</v>
      </c>
      <c r="R238" s="37">
        <v>43112</v>
      </c>
      <c r="S238" s="37"/>
      <c r="T238" s="37"/>
      <c r="U238" s="37"/>
      <c r="V238" s="37"/>
      <c r="W238" s="37" t="s">
        <v>17</v>
      </c>
      <c r="X238" s="37"/>
      <c r="Y238" s="37"/>
      <c r="Z238" s="37" t="s">
        <v>24</v>
      </c>
      <c r="AA238" s="37">
        <v>89</v>
      </c>
      <c r="AB238" s="37">
        <v>7</v>
      </c>
      <c r="AC238" s="37">
        <v>1</v>
      </c>
      <c r="AD238" s="37" t="s">
        <v>807</v>
      </c>
      <c r="AE238" s="37">
        <v>1.2</v>
      </c>
      <c r="AF238" s="37" t="s">
        <v>812</v>
      </c>
    </row>
    <row r="239" spans="1:32" customFormat="1" x14ac:dyDescent="0.2">
      <c r="A239" s="37"/>
      <c r="B239" s="37">
        <v>60</v>
      </c>
      <c r="C239" s="37" t="s">
        <v>24</v>
      </c>
      <c r="D239" s="37">
        <v>95</v>
      </c>
      <c r="E239" s="37">
        <v>12</v>
      </c>
      <c r="F239" s="37">
        <v>1</v>
      </c>
      <c r="G239" s="37">
        <v>5.3</v>
      </c>
      <c r="H239" s="37" t="s">
        <v>56</v>
      </c>
      <c r="I239" s="37" t="s">
        <v>23</v>
      </c>
      <c r="J239" s="37" t="s">
        <v>18</v>
      </c>
      <c r="K239" s="37">
        <v>17</v>
      </c>
      <c r="L239" s="37">
        <v>129</v>
      </c>
      <c r="M239" s="37">
        <v>5</v>
      </c>
      <c r="N239" s="37">
        <v>151</v>
      </c>
      <c r="O239" s="37">
        <v>255</v>
      </c>
      <c r="P239" s="37"/>
      <c r="Q239" s="37">
        <v>406</v>
      </c>
      <c r="R239" s="37">
        <v>2549</v>
      </c>
      <c r="S239" s="37"/>
      <c r="T239" s="37" t="s">
        <v>181</v>
      </c>
      <c r="U239" s="37" t="s">
        <v>233</v>
      </c>
      <c r="V239" s="37">
        <v>50</v>
      </c>
      <c r="W239" s="37" t="s">
        <v>18</v>
      </c>
      <c r="X239" s="37" t="s">
        <v>190</v>
      </c>
      <c r="Y239" s="37">
        <v>795</v>
      </c>
      <c r="Z239" s="37" t="s">
        <v>24</v>
      </c>
      <c r="AA239" s="37">
        <v>95</v>
      </c>
      <c r="AB239" s="37">
        <v>12</v>
      </c>
      <c r="AC239" s="37">
        <v>1</v>
      </c>
      <c r="AD239" s="37" t="s">
        <v>813</v>
      </c>
      <c r="AE239" s="37">
        <v>1.3</v>
      </c>
      <c r="AF239" s="37" t="s">
        <v>814</v>
      </c>
    </row>
    <row r="240" spans="1:32" customFormat="1" x14ac:dyDescent="0.2">
      <c r="A240" s="37"/>
      <c r="B240" s="37" t="s">
        <v>166</v>
      </c>
      <c r="C240" s="37"/>
      <c r="D240" s="37"/>
      <c r="E240" s="37"/>
      <c r="F240" s="37"/>
      <c r="G240" s="37"/>
      <c r="H240" s="37" t="s">
        <v>62</v>
      </c>
      <c r="I240" s="37"/>
      <c r="J240" s="37" t="s">
        <v>17</v>
      </c>
      <c r="K240" s="37">
        <v>0</v>
      </c>
      <c r="L240" s="37">
        <v>10</v>
      </c>
      <c r="M240" s="37">
        <v>9</v>
      </c>
      <c r="N240" s="37">
        <v>19</v>
      </c>
      <c r="O240" s="37">
        <v>41</v>
      </c>
      <c r="P240" s="37"/>
      <c r="Q240" s="37">
        <v>60</v>
      </c>
      <c r="R240" s="37">
        <v>1405</v>
      </c>
      <c r="S240" s="37"/>
      <c r="T240" s="37"/>
      <c r="U240" s="37"/>
      <c r="V240" s="37"/>
      <c r="W240" s="37" t="s">
        <v>18</v>
      </c>
      <c r="X240" s="37"/>
      <c r="Y240" s="37"/>
      <c r="Z240" s="37" t="s">
        <v>24</v>
      </c>
      <c r="AA240" s="37">
        <v>95</v>
      </c>
      <c r="AB240" s="37">
        <v>12</v>
      </c>
      <c r="AC240" s="37">
        <v>1</v>
      </c>
      <c r="AD240" s="37" t="s">
        <v>813</v>
      </c>
      <c r="AE240" s="37">
        <v>1.3</v>
      </c>
      <c r="AF240" s="37" t="s">
        <v>815</v>
      </c>
    </row>
    <row r="241" spans="1:32" customFormat="1" x14ac:dyDescent="0.2">
      <c r="A241" s="37"/>
      <c r="B241" s="37" t="s">
        <v>166</v>
      </c>
      <c r="C241" s="37"/>
      <c r="D241" s="37"/>
      <c r="E241" s="37"/>
      <c r="F241" s="37"/>
      <c r="G241" s="37"/>
      <c r="H241" s="37">
        <v>50</v>
      </c>
      <c r="I241" s="37"/>
      <c r="J241" s="37" t="s">
        <v>19</v>
      </c>
      <c r="K241" s="37">
        <v>0</v>
      </c>
      <c r="L241" s="37">
        <v>32</v>
      </c>
      <c r="M241" s="37">
        <v>10</v>
      </c>
      <c r="N241" s="37">
        <v>42</v>
      </c>
      <c r="O241" s="37">
        <v>118</v>
      </c>
      <c r="P241" s="37"/>
      <c r="Q241" s="37">
        <v>160</v>
      </c>
      <c r="R241" s="37">
        <v>1883</v>
      </c>
      <c r="S241" s="37"/>
      <c r="T241" s="37"/>
      <c r="U241" s="37"/>
      <c r="V241" s="37"/>
      <c r="W241" s="37" t="s">
        <v>18</v>
      </c>
      <c r="X241" s="37"/>
      <c r="Y241" s="37"/>
      <c r="Z241" s="37" t="s">
        <v>24</v>
      </c>
      <c r="AA241" s="37">
        <v>95</v>
      </c>
      <c r="AB241" s="37">
        <v>12</v>
      </c>
      <c r="AC241" s="37">
        <v>1</v>
      </c>
      <c r="AD241" s="37" t="s">
        <v>813</v>
      </c>
      <c r="AE241" s="37">
        <v>1.3</v>
      </c>
      <c r="AF241" s="37" t="s">
        <v>816</v>
      </c>
    </row>
    <row r="242" spans="1:32" customFormat="1" x14ac:dyDescent="0.2">
      <c r="A242" s="37"/>
      <c r="B242" s="37" t="s">
        <v>166</v>
      </c>
      <c r="C242" s="37"/>
      <c r="D242" s="37"/>
      <c r="E242" s="37"/>
      <c r="F242" s="37"/>
      <c r="G242" s="37"/>
      <c r="H242" s="37"/>
      <c r="I242" s="37"/>
      <c r="J242" s="37" t="s">
        <v>15</v>
      </c>
      <c r="K242" s="37">
        <v>17</v>
      </c>
      <c r="L242" s="37">
        <v>171</v>
      </c>
      <c r="M242" s="37">
        <v>24</v>
      </c>
      <c r="N242" s="37">
        <v>212</v>
      </c>
      <c r="O242" s="37">
        <v>414</v>
      </c>
      <c r="P242" s="37">
        <v>0</v>
      </c>
      <c r="Q242" s="37">
        <v>626</v>
      </c>
      <c r="R242" s="37">
        <v>5837</v>
      </c>
      <c r="S242" s="37"/>
      <c r="T242" s="37"/>
      <c r="U242" s="37"/>
      <c r="V242" s="37"/>
      <c r="W242" s="37" t="s">
        <v>18</v>
      </c>
      <c r="X242" s="37"/>
      <c r="Y242" s="37"/>
      <c r="Z242" s="37" t="s">
        <v>24</v>
      </c>
      <c r="AA242" s="37">
        <v>95</v>
      </c>
      <c r="AB242" s="37">
        <v>12</v>
      </c>
      <c r="AC242" s="37">
        <v>1</v>
      </c>
      <c r="AD242" s="37" t="s">
        <v>813</v>
      </c>
      <c r="AE242" s="37">
        <v>1.3</v>
      </c>
      <c r="AF242" s="37" t="s">
        <v>817</v>
      </c>
    </row>
    <row r="243" spans="1:32" customFormat="1" x14ac:dyDescent="0.2">
      <c r="A243" s="37"/>
      <c r="B243" s="37">
        <v>61</v>
      </c>
      <c r="C243" s="37" t="s">
        <v>22</v>
      </c>
      <c r="D243" s="37">
        <v>7</v>
      </c>
      <c r="E243" s="37">
        <v>8</v>
      </c>
      <c r="F243" s="37">
        <v>1</v>
      </c>
      <c r="G243" s="37">
        <v>11.6</v>
      </c>
      <c r="H243" s="37" t="s">
        <v>56</v>
      </c>
      <c r="I243" s="37" t="s">
        <v>23</v>
      </c>
      <c r="J243" s="37" t="s">
        <v>17</v>
      </c>
      <c r="K243" s="37">
        <v>154</v>
      </c>
      <c r="L243" s="37">
        <v>362</v>
      </c>
      <c r="M243" s="37">
        <v>52</v>
      </c>
      <c r="N243" s="37">
        <v>568</v>
      </c>
      <c r="O243" s="37">
        <v>268</v>
      </c>
      <c r="P243" s="37"/>
      <c r="Q243" s="37">
        <v>836</v>
      </c>
      <c r="R243" s="37">
        <v>48357</v>
      </c>
      <c r="S243" s="37"/>
      <c r="T243" s="37" t="s">
        <v>181</v>
      </c>
      <c r="U243" s="37" t="s">
        <v>375</v>
      </c>
      <c r="V243" s="37">
        <v>65</v>
      </c>
      <c r="W243" s="37" t="s">
        <v>17</v>
      </c>
      <c r="X243" s="37" t="s">
        <v>190</v>
      </c>
      <c r="Y243" s="37">
        <v>1392</v>
      </c>
      <c r="Z243" s="37" t="s">
        <v>22</v>
      </c>
      <c r="AA243" s="37">
        <v>7</v>
      </c>
      <c r="AB243" s="37">
        <v>8</v>
      </c>
      <c r="AC243" s="37">
        <v>1</v>
      </c>
      <c r="AD243" s="37" t="s">
        <v>818</v>
      </c>
      <c r="AE243" s="37">
        <v>2.7</v>
      </c>
      <c r="AF243" s="37" t="s">
        <v>819</v>
      </c>
    </row>
    <row r="244" spans="1:32" customFormat="1" x14ac:dyDescent="0.2">
      <c r="A244" s="37"/>
      <c r="B244" s="37" t="s">
        <v>166</v>
      </c>
      <c r="C244" s="37"/>
      <c r="D244" s="37"/>
      <c r="E244" s="37"/>
      <c r="F244" s="37"/>
      <c r="G244" s="37"/>
      <c r="H244" s="37" t="s">
        <v>76</v>
      </c>
      <c r="I244" s="37"/>
      <c r="J244" s="37" t="s">
        <v>19</v>
      </c>
      <c r="K244" s="37">
        <v>12</v>
      </c>
      <c r="L244" s="37">
        <v>168</v>
      </c>
      <c r="M244" s="37">
        <v>34</v>
      </c>
      <c r="N244" s="37">
        <v>214</v>
      </c>
      <c r="O244" s="37">
        <v>172</v>
      </c>
      <c r="P244" s="37"/>
      <c r="Q244" s="37">
        <v>386</v>
      </c>
      <c r="R244" s="37">
        <v>9676</v>
      </c>
      <c r="S244" s="37"/>
      <c r="T244" s="37"/>
      <c r="U244" s="37"/>
      <c r="V244" s="37"/>
      <c r="W244" s="37" t="s">
        <v>17</v>
      </c>
      <c r="X244" s="37"/>
      <c r="Y244" s="37"/>
      <c r="Z244" s="37" t="s">
        <v>22</v>
      </c>
      <c r="AA244" s="37">
        <v>7</v>
      </c>
      <c r="AB244" s="37">
        <v>8</v>
      </c>
      <c r="AC244" s="37">
        <v>1</v>
      </c>
      <c r="AD244" s="37" t="s">
        <v>818</v>
      </c>
      <c r="AE244" s="37">
        <v>2.7</v>
      </c>
      <c r="AF244" s="37" t="s">
        <v>820</v>
      </c>
    </row>
    <row r="245" spans="1:32" customFormat="1" x14ac:dyDescent="0.2">
      <c r="A245" s="37"/>
      <c r="B245" s="37" t="s">
        <v>166</v>
      </c>
      <c r="C245" s="37"/>
      <c r="D245" s="37"/>
      <c r="E245" s="37"/>
      <c r="F245" s="37"/>
      <c r="G245" s="37"/>
      <c r="H245" s="37">
        <v>65</v>
      </c>
      <c r="I245" s="37"/>
      <c r="J245" s="37" t="s">
        <v>15</v>
      </c>
      <c r="K245" s="37">
        <v>166</v>
      </c>
      <c r="L245" s="37">
        <v>530</v>
      </c>
      <c r="M245" s="37">
        <v>86</v>
      </c>
      <c r="N245" s="37">
        <v>782</v>
      </c>
      <c r="O245" s="37">
        <v>440</v>
      </c>
      <c r="P245" s="37">
        <v>0</v>
      </c>
      <c r="Q245" s="37">
        <v>1222</v>
      </c>
      <c r="R245" s="37">
        <v>58033</v>
      </c>
      <c r="S245" s="37"/>
      <c r="T245" s="37"/>
      <c r="U245" s="37"/>
      <c r="V245" s="37"/>
      <c r="W245" s="37" t="s">
        <v>17</v>
      </c>
      <c r="X245" s="37"/>
      <c r="Y245" s="37"/>
      <c r="Z245" s="37" t="s">
        <v>22</v>
      </c>
      <c r="AA245" s="37">
        <v>7</v>
      </c>
      <c r="AB245" s="37">
        <v>8</v>
      </c>
      <c r="AC245" s="37">
        <v>1</v>
      </c>
      <c r="AD245" s="37" t="s">
        <v>818</v>
      </c>
      <c r="AE245" s="37">
        <v>2.7</v>
      </c>
      <c r="AF245" s="37" t="s">
        <v>821</v>
      </c>
    </row>
    <row r="246" spans="1:32" customFormat="1" x14ac:dyDescent="0.2">
      <c r="A246" s="37"/>
      <c r="B246" s="37">
        <v>62</v>
      </c>
      <c r="C246" s="37" t="s">
        <v>22</v>
      </c>
      <c r="D246" s="37">
        <v>9</v>
      </c>
      <c r="E246" s="37">
        <v>5</v>
      </c>
      <c r="F246" s="37">
        <v>1</v>
      </c>
      <c r="G246" s="37">
        <v>11</v>
      </c>
      <c r="H246" s="37" t="s">
        <v>56</v>
      </c>
      <c r="I246" s="37" t="s">
        <v>23</v>
      </c>
      <c r="J246" s="37" t="s">
        <v>18</v>
      </c>
      <c r="K246" s="37">
        <v>52</v>
      </c>
      <c r="L246" s="37">
        <v>82</v>
      </c>
      <c r="M246" s="37">
        <v>4</v>
      </c>
      <c r="N246" s="37">
        <v>138</v>
      </c>
      <c r="O246" s="37">
        <v>64</v>
      </c>
      <c r="P246" s="37"/>
      <c r="Q246" s="37">
        <v>202</v>
      </c>
      <c r="R246" s="37">
        <v>2422.5</v>
      </c>
      <c r="S246" s="37"/>
      <c r="T246" s="37" t="s">
        <v>181</v>
      </c>
      <c r="U246" s="37" t="s">
        <v>267</v>
      </c>
      <c r="V246" s="37">
        <v>65</v>
      </c>
      <c r="W246" s="37" t="s">
        <v>17</v>
      </c>
      <c r="X246" s="37" t="s">
        <v>190</v>
      </c>
      <c r="Y246" s="37">
        <v>2090</v>
      </c>
      <c r="Z246" s="37" t="s">
        <v>22</v>
      </c>
      <c r="AA246" s="37">
        <v>9</v>
      </c>
      <c r="AB246" s="37">
        <v>5</v>
      </c>
      <c r="AC246" s="37">
        <v>1</v>
      </c>
      <c r="AD246" s="37" t="s">
        <v>822</v>
      </c>
      <c r="AE246" s="37">
        <v>1.3</v>
      </c>
      <c r="AF246" s="37" t="s">
        <v>823</v>
      </c>
    </row>
    <row r="247" spans="1:32" customFormat="1" x14ac:dyDescent="0.2">
      <c r="A247" s="37"/>
      <c r="B247" s="37" t="s">
        <v>166</v>
      </c>
      <c r="C247" s="37"/>
      <c r="D247" s="37"/>
      <c r="E247" s="37"/>
      <c r="F247" s="37"/>
      <c r="G247" s="37"/>
      <c r="H247" s="37" t="s">
        <v>77</v>
      </c>
      <c r="I247" s="37"/>
      <c r="J247" s="37" t="s">
        <v>17</v>
      </c>
      <c r="K247" s="37">
        <v>299</v>
      </c>
      <c r="L247" s="37">
        <v>748</v>
      </c>
      <c r="M247" s="37">
        <v>119</v>
      </c>
      <c r="N247" s="37">
        <v>1166</v>
      </c>
      <c r="O247" s="37">
        <v>461</v>
      </c>
      <c r="P247" s="37"/>
      <c r="Q247" s="37">
        <v>1627</v>
      </c>
      <c r="R247" s="37">
        <v>97673.5</v>
      </c>
      <c r="S247" s="37"/>
      <c r="T247" s="37"/>
      <c r="U247" s="37"/>
      <c r="V247" s="37"/>
      <c r="W247" s="37" t="s">
        <v>17</v>
      </c>
      <c r="X247" s="37"/>
      <c r="Y247" s="37"/>
      <c r="Z247" s="37" t="s">
        <v>22</v>
      </c>
      <c r="AA247" s="37">
        <v>9</v>
      </c>
      <c r="AB247" s="37">
        <v>5</v>
      </c>
      <c r="AC247" s="37">
        <v>1</v>
      </c>
      <c r="AD247" s="37" t="s">
        <v>822</v>
      </c>
      <c r="AE247" s="37">
        <v>1.3</v>
      </c>
      <c r="AF247" s="37" t="s">
        <v>824</v>
      </c>
    </row>
    <row r="248" spans="1:32" customFormat="1" x14ac:dyDescent="0.2">
      <c r="A248" s="37"/>
      <c r="B248" s="37" t="s">
        <v>166</v>
      </c>
      <c r="C248" s="37"/>
      <c r="D248" s="37"/>
      <c r="E248" s="37"/>
      <c r="F248" s="37"/>
      <c r="G248" s="37"/>
      <c r="H248" s="37">
        <v>65</v>
      </c>
      <c r="I248" s="37"/>
      <c r="J248" s="37" t="s">
        <v>15</v>
      </c>
      <c r="K248" s="37">
        <v>351</v>
      </c>
      <c r="L248" s="37">
        <v>830</v>
      </c>
      <c r="M248" s="37">
        <v>123</v>
      </c>
      <c r="N248" s="37">
        <v>1304</v>
      </c>
      <c r="O248" s="37">
        <v>525</v>
      </c>
      <c r="P248" s="37">
        <v>0</v>
      </c>
      <c r="Q248" s="37">
        <v>1829</v>
      </c>
      <c r="R248" s="37">
        <v>100096</v>
      </c>
      <c r="S248" s="37"/>
      <c r="T248" s="37"/>
      <c r="U248" s="37"/>
      <c r="V248" s="37"/>
      <c r="W248" s="37" t="s">
        <v>17</v>
      </c>
      <c r="X248" s="37"/>
      <c r="Y248" s="37"/>
      <c r="Z248" s="37" t="s">
        <v>22</v>
      </c>
      <c r="AA248" s="37">
        <v>9</v>
      </c>
      <c r="AB248" s="37">
        <v>5</v>
      </c>
      <c r="AC248" s="37">
        <v>1</v>
      </c>
      <c r="AD248" s="37" t="s">
        <v>822</v>
      </c>
      <c r="AE248" s="37">
        <v>1.3</v>
      </c>
      <c r="AF248" s="37" t="s">
        <v>825</v>
      </c>
    </row>
    <row r="249" spans="1:32" customFormat="1" x14ac:dyDescent="0.2">
      <c r="A249" s="37"/>
      <c r="B249" s="37">
        <v>63</v>
      </c>
      <c r="C249" s="37" t="s">
        <v>22</v>
      </c>
      <c r="D249" s="37">
        <v>11</v>
      </c>
      <c r="E249" s="37">
        <v>19</v>
      </c>
      <c r="F249" s="37">
        <v>1</v>
      </c>
      <c r="G249" s="37">
        <v>4.2</v>
      </c>
      <c r="H249" s="37" t="s">
        <v>56</v>
      </c>
      <c r="I249" s="37" t="s">
        <v>23</v>
      </c>
      <c r="J249" s="37" t="s">
        <v>18</v>
      </c>
      <c r="K249" s="37">
        <v>26</v>
      </c>
      <c r="L249" s="37">
        <v>69</v>
      </c>
      <c r="M249" s="37">
        <v>2</v>
      </c>
      <c r="N249" s="37">
        <v>97</v>
      </c>
      <c r="O249" s="37">
        <v>41</v>
      </c>
      <c r="P249" s="37"/>
      <c r="Q249" s="37">
        <v>138</v>
      </c>
      <c r="R249" s="37">
        <v>1660</v>
      </c>
      <c r="S249" s="37"/>
      <c r="T249" s="37" t="s">
        <v>181</v>
      </c>
      <c r="U249" s="37" t="s">
        <v>381</v>
      </c>
      <c r="V249" s="37">
        <v>65</v>
      </c>
      <c r="W249" s="37" t="s">
        <v>17</v>
      </c>
      <c r="X249" s="37" t="s">
        <v>190</v>
      </c>
      <c r="Y249" s="37">
        <v>798</v>
      </c>
      <c r="Z249" s="37" t="s">
        <v>22</v>
      </c>
      <c r="AA249" s="37">
        <v>11</v>
      </c>
      <c r="AB249" s="37">
        <v>19</v>
      </c>
      <c r="AC249" s="37">
        <v>1</v>
      </c>
      <c r="AD249" s="37" t="s">
        <v>826</v>
      </c>
      <c r="AE249" s="37">
        <v>0.9</v>
      </c>
      <c r="AF249" s="37" t="s">
        <v>827</v>
      </c>
    </row>
    <row r="250" spans="1:32" customFormat="1" x14ac:dyDescent="0.2">
      <c r="A250" s="37"/>
      <c r="B250" s="37" t="s">
        <v>166</v>
      </c>
      <c r="C250" s="37"/>
      <c r="D250" s="37"/>
      <c r="E250" s="37"/>
      <c r="F250" s="37"/>
      <c r="G250" s="37"/>
      <c r="H250" s="37" t="s">
        <v>78</v>
      </c>
      <c r="I250" s="37"/>
      <c r="J250" s="37" t="s">
        <v>17</v>
      </c>
      <c r="K250" s="37">
        <v>68</v>
      </c>
      <c r="L250" s="37">
        <v>174</v>
      </c>
      <c r="M250" s="37">
        <v>31</v>
      </c>
      <c r="N250" s="37">
        <v>273</v>
      </c>
      <c r="O250" s="37">
        <v>139</v>
      </c>
      <c r="P250" s="37"/>
      <c r="Q250" s="37">
        <v>412</v>
      </c>
      <c r="R250" s="37">
        <v>22885</v>
      </c>
      <c r="S250" s="37"/>
      <c r="T250" s="37"/>
      <c r="U250" s="37"/>
      <c r="V250" s="37"/>
      <c r="W250" s="37" t="s">
        <v>17</v>
      </c>
      <c r="X250" s="37"/>
      <c r="Y250" s="37"/>
      <c r="Z250" s="37" t="s">
        <v>22</v>
      </c>
      <c r="AA250" s="37">
        <v>11</v>
      </c>
      <c r="AB250" s="37">
        <v>19</v>
      </c>
      <c r="AC250" s="37">
        <v>1</v>
      </c>
      <c r="AD250" s="37" t="s">
        <v>826</v>
      </c>
      <c r="AE250" s="37">
        <v>0.9</v>
      </c>
      <c r="AF250" s="37" t="s">
        <v>828</v>
      </c>
    </row>
    <row r="251" spans="1:32" customFormat="1" x14ac:dyDescent="0.2">
      <c r="A251" s="37"/>
      <c r="B251" s="37" t="s">
        <v>166</v>
      </c>
      <c r="C251" s="37"/>
      <c r="D251" s="37"/>
      <c r="E251" s="37"/>
      <c r="F251" s="37"/>
      <c r="G251" s="37"/>
      <c r="H251" s="37">
        <v>65</v>
      </c>
      <c r="I251" s="37"/>
      <c r="J251" s="37" t="s">
        <v>19</v>
      </c>
      <c r="K251" s="37">
        <v>9</v>
      </c>
      <c r="L251" s="37">
        <v>64</v>
      </c>
      <c r="M251" s="37">
        <v>10</v>
      </c>
      <c r="N251" s="37">
        <v>83</v>
      </c>
      <c r="O251" s="37">
        <v>60</v>
      </c>
      <c r="P251" s="37"/>
      <c r="Q251" s="37">
        <v>143</v>
      </c>
      <c r="R251" s="37">
        <v>3876</v>
      </c>
      <c r="S251" s="37"/>
      <c r="T251" s="37"/>
      <c r="U251" s="37"/>
      <c r="V251" s="37"/>
      <c r="W251" s="37" t="s">
        <v>17</v>
      </c>
      <c r="X251" s="37"/>
      <c r="Y251" s="37"/>
      <c r="Z251" s="37" t="s">
        <v>22</v>
      </c>
      <c r="AA251" s="37">
        <v>11</v>
      </c>
      <c r="AB251" s="37">
        <v>19</v>
      </c>
      <c r="AC251" s="37">
        <v>1</v>
      </c>
      <c r="AD251" s="37" t="s">
        <v>826</v>
      </c>
      <c r="AE251" s="37">
        <v>0.9</v>
      </c>
      <c r="AF251" s="37" t="s">
        <v>829</v>
      </c>
    </row>
    <row r="252" spans="1:32" customFormat="1" x14ac:dyDescent="0.2">
      <c r="A252" s="37"/>
      <c r="B252" s="37" t="s">
        <v>166</v>
      </c>
      <c r="C252" s="37"/>
      <c r="D252" s="37"/>
      <c r="E252" s="37"/>
      <c r="F252" s="37"/>
      <c r="G252" s="37"/>
      <c r="H252" s="37"/>
      <c r="I252" s="37"/>
      <c r="J252" s="37" t="s">
        <v>15</v>
      </c>
      <c r="K252" s="37">
        <v>103</v>
      </c>
      <c r="L252" s="37">
        <v>307</v>
      </c>
      <c r="M252" s="37">
        <v>43</v>
      </c>
      <c r="N252" s="37">
        <v>453</v>
      </c>
      <c r="O252" s="37">
        <v>240</v>
      </c>
      <c r="P252" s="37">
        <v>0</v>
      </c>
      <c r="Q252" s="37">
        <v>693</v>
      </c>
      <c r="R252" s="37">
        <v>28421</v>
      </c>
      <c r="S252" s="37"/>
      <c r="T252" s="37"/>
      <c r="U252" s="37"/>
      <c r="V252" s="37"/>
      <c r="W252" s="37" t="s">
        <v>17</v>
      </c>
      <c r="X252" s="37"/>
      <c r="Y252" s="37"/>
      <c r="Z252" s="37" t="s">
        <v>22</v>
      </c>
      <c r="AA252" s="37">
        <v>11</v>
      </c>
      <c r="AB252" s="37">
        <v>19</v>
      </c>
      <c r="AC252" s="37">
        <v>1</v>
      </c>
      <c r="AD252" s="37" t="s">
        <v>826</v>
      </c>
      <c r="AE252" s="37">
        <v>0.9</v>
      </c>
      <c r="AF252" s="37" t="s">
        <v>830</v>
      </c>
    </row>
    <row r="253" spans="1:32" customFormat="1" x14ac:dyDescent="0.2">
      <c r="A253" s="37"/>
      <c r="B253" s="37">
        <v>64</v>
      </c>
      <c r="C253" s="37" t="s">
        <v>22</v>
      </c>
      <c r="D253" s="37">
        <v>11</v>
      </c>
      <c r="E253" s="37">
        <v>23</v>
      </c>
      <c r="F253" s="37">
        <v>1</v>
      </c>
      <c r="G253" s="37">
        <v>7.2</v>
      </c>
      <c r="H253" s="37" t="s">
        <v>56</v>
      </c>
      <c r="I253" s="37" t="s">
        <v>23</v>
      </c>
      <c r="J253" s="37" t="s">
        <v>18</v>
      </c>
      <c r="K253" s="37">
        <v>48</v>
      </c>
      <c r="L253" s="37">
        <v>122</v>
      </c>
      <c r="M253" s="37">
        <v>4</v>
      </c>
      <c r="N253" s="37">
        <v>174</v>
      </c>
      <c r="O253" s="37">
        <v>74</v>
      </c>
      <c r="P253" s="37"/>
      <c r="Q253" s="37">
        <v>248</v>
      </c>
      <c r="R253" s="37">
        <v>2976</v>
      </c>
      <c r="S253" s="37"/>
      <c r="T253" s="37" t="s">
        <v>181</v>
      </c>
      <c r="U253" s="37" t="s">
        <v>216</v>
      </c>
      <c r="V253" s="37">
        <v>65</v>
      </c>
      <c r="W253" s="37" t="s">
        <v>17</v>
      </c>
      <c r="X253" s="37" t="s">
        <v>190</v>
      </c>
      <c r="Y253" s="37">
        <v>1368</v>
      </c>
      <c r="Z253" s="37" t="s">
        <v>22</v>
      </c>
      <c r="AA253" s="37">
        <v>11</v>
      </c>
      <c r="AB253" s="37">
        <v>23</v>
      </c>
      <c r="AC253" s="37">
        <v>1</v>
      </c>
      <c r="AD253" s="37" t="s">
        <v>831</v>
      </c>
      <c r="AE253" s="37">
        <v>1.7</v>
      </c>
      <c r="AF253" s="37" t="s">
        <v>832</v>
      </c>
    </row>
    <row r="254" spans="1:32" customFormat="1" x14ac:dyDescent="0.2">
      <c r="A254" s="37"/>
      <c r="B254" s="37" t="s">
        <v>166</v>
      </c>
      <c r="C254" s="37"/>
      <c r="D254" s="37"/>
      <c r="E254" s="37"/>
      <c r="F254" s="37"/>
      <c r="G254" s="37"/>
      <c r="H254" s="37" t="s">
        <v>65</v>
      </c>
      <c r="I254" s="37"/>
      <c r="J254" s="37" t="s">
        <v>17</v>
      </c>
      <c r="K254" s="37">
        <v>139</v>
      </c>
      <c r="L254" s="37">
        <v>325</v>
      </c>
      <c r="M254" s="37">
        <v>59</v>
      </c>
      <c r="N254" s="37">
        <v>523</v>
      </c>
      <c r="O254" s="37">
        <v>238</v>
      </c>
      <c r="P254" s="37"/>
      <c r="Q254" s="37">
        <v>761</v>
      </c>
      <c r="R254" s="37">
        <v>43927</v>
      </c>
      <c r="S254" s="37"/>
      <c r="T254" s="37"/>
      <c r="U254" s="37"/>
      <c r="V254" s="37"/>
      <c r="W254" s="37" t="s">
        <v>17</v>
      </c>
      <c r="X254" s="37"/>
      <c r="Y254" s="37"/>
      <c r="Z254" s="37" t="s">
        <v>22</v>
      </c>
      <c r="AA254" s="37">
        <v>11</v>
      </c>
      <c r="AB254" s="37">
        <v>23</v>
      </c>
      <c r="AC254" s="37">
        <v>1</v>
      </c>
      <c r="AD254" s="37" t="s">
        <v>831</v>
      </c>
      <c r="AE254" s="37">
        <v>1.7</v>
      </c>
      <c r="AF254" s="37" t="s">
        <v>833</v>
      </c>
    </row>
    <row r="255" spans="1:32" customFormat="1" x14ac:dyDescent="0.2">
      <c r="A255" s="37"/>
      <c r="B255" s="37" t="s">
        <v>166</v>
      </c>
      <c r="C255" s="37"/>
      <c r="D255" s="37"/>
      <c r="E255" s="37"/>
      <c r="F255" s="37"/>
      <c r="G255" s="37"/>
      <c r="H255" s="37">
        <v>65</v>
      </c>
      <c r="I255" s="37"/>
      <c r="J255" s="37" t="s">
        <v>19</v>
      </c>
      <c r="K255" s="37">
        <v>64</v>
      </c>
      <c r="L255" s="37">
        <v>47</v>
      </c>
      <c r="M255" s="37">
        <v>24</v>
      </c>
      <c r="N255" s="37">
        <v>135</v>
      </c>
      <c r="O255" s="37">
        <v>48</v>
      </c>
      <c r="P255" s="37"/>
      <c r="Q255" s="37">
        <v>183</v>
      </c>
      <c r="R255" s="37">
        <v>4837</v>
      </c>
      <c r="S255" s="37"/>
      <c r="T255" s="37"/>
      <c r="U255" s="37"/>
      <c r="V255" s="37"/>
      <c r="W255" s="37" t="s">
        <v>17</v>
      </c>
      <c r="X255" s="37"/>
      <c r="Y255" s="37"/>
      <c r="Z255" s="37" t="s">
        <v>22</v>
      </c>
      <c r="AA255" s="37">
        <v>11</v>
      </c>
      <c r="AB255" s="37">
        <v>23</v>
      </c>
      <c r="AC255" s="37">
        <v>1</v>
      </c>
      <c r="AD255" s="37" t="s">
        <v>831</v>
      </c>
      <c r="AE255" s="37">
        <v>1.7</v>
      </c>
      <c r="AF255" s="37" t="s">
        <v>834</v>
      </c>
    </row>
    <row r="256" spans="1:32" customFormat="1" x14ac:dyDescent="0.2">
      <c r="A256" s="37"/>
      <c r="B256" s="37" t="s">
        <v>166</v>
      </c>
      <c r="C256" s="37"/>
      <c r="D256" s="37"/>
      <c r="E256" s="37"/>
      <c r="F256" s="37"/>
      <c r="G256" s="37"/>
      <c r="H256" s="37"/>
      <c r="I256" s="37"/>
      <c r="J256" s="37" t="s">
        <v>15</v>
      </c>
      <c r="K256" s="37">
        <v>251</v>
      </c>
      <c r="L256" s="37">
        <v>494</v>
      </c>
      <c r="M256" s="37">
        <v>87</v>
      </c>
      <c r="N256" s="37">
        <v>832</v>
      </c>
      <c r="O256" s="37">
        <v>360</v>
      </c>
      <c r="P256" s="37">
        <v>0</v>
      </c>
      <c r="Q256" s="37">
        <v>1192</v>
      </c>
      <c r="R256" s="37">
        <v>51740</v>
      </c>
      <c r="S256" s="37"/>
      <c r="T256" s="37"/>
      <c r="U256" s="37"/>
      <c r="V256" s="37"/>
      <c r="W256" s="37" t="s">
        <v>17</v>
      </c>
      <c r="X256" s="37"/>
      <c r="Y256" s="37"/>
      <c r="Z256" s="37" t="s">
        <v>22</v>
      </c>
      <c r="AA256" s="37">
        <v>11</v>
      </c>
      <c r="AB256" s="37">
        <v>23</v>
      </c>
      <c r="AC256" s="37">
        <v>1</v>
      </c>
      <c r="AD256" s="37" t="s">
        <v>831</v>
      </c>
      <c r="AE256" s="37">
        <v>1.7</v>
      </c>
      <c r="AF256" s="37" t="s">
        <v>835</v>
      </c>
    </row>
    <row r="257" spans="1:32" customFormat="1" x14ac:dyDescent="0.2">
      <c r="A257" s="37"/>
      <c r="B257" s="37">
        <v>65</v>
      </c>
      <c r="C257" s="37" t="s">
        <v>22</v>
      </c>
      <c r="D257" s="37">
        <v>11</v>
      </c>
      <c r="E257" s="37">
        <v>25</v>
      </c>
      <c r="F257" s="37">
        <v>1</v>
      </c>
      <c r="G257" s="37">
        <v>2.9</v>
      </c>
      <c r="H257" s="37" t="s">
        <v>56</v>
      </c>
      <c r="I257" s="37" t="s">
        <v>23</v>
      </c>
      <c r="J257" s="37" t="s">
        <v>18</v>
      </c>
      <c r="K257" s="37">
        <v>12</v>
      </c>
      <c r="L257" s="37">
        <v>29</v>
      </c>
      <c r="M257" s="37">
        <v>1</v>
      </c>
      <c r="N257" s="37">
        <v>42</v>
      </c>
      <c r="O257" s="37">
        <v>16</v>
      </c>
      <c r="P257" s="37"/>
      <c r="Q257" s="37">
        <v>58</v>
      </c>
      <c r="R257" s="37">
        <v>714</v>
      </c>
      <c r="S257" s="37"/>
      <c r="T257" s="37" t="s">
        <v>181</v>
      </c>
      <c r="U257" s="37" t="s">
        <v>220</v>
      </c>
      <c r="V257" s="37">
        <v>65</v>
      </c>
      <c r="W257" s="37" t="s">
        <v>17</v>
      </c>
      <c r="X257" s="37" t="s">
        <v>190</v>
      </c>
      <c r="Y257" s="37">
        <v>551</v>
      </c>
      <c r="Z257" s="37" t="s">
        <v>22</v>
      </c>
      <c r="AA257" s="37">
        <v>11</v>
      </c>
      <c r="AB257" s="37">
        <v>25</v>
      </c>
      <c r="AC257" s="37">
        <v>1</v>
      </c>
      <c r="AD257" s="37" t="s">
        <v>836</v>
      </c>
      <c r="AE257" s="37">
        <v>0.7</v>
      </c>
      <c r="AF257" s="37" t="s">
        <v>837</v>
      </c>
    </row>
    <row r="258" spans="1:32" customFormat="1" x14ac:dyDescent="0.2">
      <c r="A258" s="37"/>
      <c r="B258" s="37" t="s">
        <v>166</v>
      </c>
      <c r="C258" s="37"/>
      <c r="D258" s="37"/>
      <c r="E258" s="37"/>
      <c r="F258" s="37"/>
      <c r="G258" s="37"/>
      <c r="H258" s="37" t="s">
        <v>79</v>
      </c>
      <c r="I258" s="37"/>
      <c r="J258" s="37" t="s">
        <v>17</v>
      </c>
      <c r="K258" s="37">
        <v>69</v>
      </c>
      <c r="L258" s="37">
        <v>162</v>
      </c>
      <c r="M258" s="37">
        <v>36</v>
      </c>
      <c r="N258" s="37">
        <v>267</v>
      </c>
      <c r="O258" s="37">
        <v>101</v>
      </c>
      <c r="P258" s="37"/>
      <c r="Q258" s="37">
        <v>368</v>
      </c>
      <c r="R258" s="37">
        <v>22026</v>
      </c>
      <c r="S258" s="37"/>
      <c r="T258" s="37"/>
      <c r="U258" s="37"/>
      <c r="V258" s="37"/>
      <c r="W258" s="37" t="s">
        <v>17</v>
      </c>
      <c r="X258" s="37"/>
      <c r="Y258" s="37"/>
      <c r="Z258" s="37" t="s">
        <v>22</v>
      </c>
      <c r="AA258" s="37">
        <v>11</v>
      </c>
      <c r="AB258" s="37">
        <v>25</v>
      </c>
      <c r="AC258" s="37">
        <v>1</v>
      </c>
      <c r="AD258" s="37" t="s">
        <v>836</v>
      </c>
      <c r="AE258" s="37">
        <v>0.7</v>
      </c>
      <c r="AF258" s="37" t="s">
        <v>838</v>
      </c>
    </row>
    <row r="259" spans="1:32" customFormat="1" x14ac:dyDescent="0.2">
      <c r="A259" s="37"/>
      <c r="B259" s="37" t="s">
        <v>166</v>
      </c>
      <c r="C259" s="37"/>
      <c r="D259" s="37"/>
      <c r="E259" s="37"/>
      <c r="F259" s="37"/>
      <c r="G259" s="37"/>
      <c r="H259" s="37">
        <v>65</v>
      </c>
      <c r="I259" s="37"/>
      <c r="J259" s="37" t="s">
        <v>19</v>
      </c>
      <c r="K259" s="37">
        <v>5</v>
      </c>
      <c r="L259" s="37">
        <v>24</v>
      </c>
      <c r="M259" s="37">
        <v>3</v>
      </c>
      <c r="N259" s="37">
        <v>32</v>
      </c>
      <c r="O259" s="37">
        <v>23</v>
      </c>
      <c r="P259" s="37"/>
      <c r="Q259" s="37">
        <v>55</v>
      </c>
      <c r="R259" s="37">
        <v>1542</v>
      </c>
      <c r="S259" s="37"/>
      <c r="T259" s="37"/>
      <c r="U259" s="37"/>
      <c r="V259" s="37"/>
      <c r="W259" s="37" t="s">
        <v>17</v>
      </c>
      <c r="X259" s="37"/>
      <c r="Y259" s="37"/>
      <c r="Z259" s="37" t="s">
        <v>22</v>
      </c>
      <c r="AA259" s="37">
        <v>11</v>
      </c>
      <c r="AB259" s="37">
        <v>25</v>
      </c>
      <c r="AC259" s="37">
        <v>1</v>
      </c>
      <c r="AD259" s="37" t="s">
        <v>836</v>
      </c>
      <c r="AE259" s="37">
        <v>0.7</v>
      </c>
      <c r="AF259" s="37" t="s">
        <v>839</v>
      </c>
    </row>
    <row r="260" spans="1:32" customFormat="1" x14ac:dyDescent="0.2">
      <c r="A260" s="37"/>
      <c r="B260" s="37" t="s">
        <v>166</v>
      </c>
      <c r="C260" s="37"/>
      <c r="D260" s="37"/>
      <c r="E260" s="37"/>
      <c r="F260" s="37"/>
      <c r="G260" s="37"/>
      <c r="H260" s="37"/>
      <c r="I260" s="37"/>
      <c r="J260" s="37" t="s">
        <v>15</v>
      </c>
      <c r="K260" s="37">
        <v>86</v>
      </c>
      <c r="L260" s="37">
        <v>215</v>
      </c>
      <c r="M260" s="37">
        <v>40</v>
      </c>
      <c r="N260" s="37">
        <v>341</v>
      </c>
      <c r="O260" s="37">
        <v>140</v>
      </c>
      <c r="P260" s="37">
        <v>0</v>
      </c>
      <c r="Q260" s="37">
        <v>481</v>
      </c>
      <c r="R260" s="37">
        <v>24282</v>
      </c>
      <c r="S260" s="37"/>
      <c r="T260" s="37"/>
      <c r="U260" s="37"/>
      <c r="V260" s="37"/>
      <c r="W260" s="37" t="s">
        <v>17</v>
      </c>
      <c r="X260" s="37"/>
      <c r="Y260" s="37"/>
      <c r="Z260" s="37" t="s">
        <v>22</v>
      </c>
      <c r="AA260" s="37">
        <v>11</v>
      </c>
      <c r="AB260" s="37">
        <v>25</v>
      </c>
      <c r="AC260" s="37">
        <v>1</v>
      </c>
      <c r="AD260" s="37" t="s">
        <v>836</v>
      </c>
      <c r="AE260" s="37">
        <v>0.7</v>
      </c>
      <c r="AF260" s="37" t="s">
        <v>840</v>
      </c>
    </row>
    <row r="261" spans="1:32" customFormat="1" x14ac:dyDescent="0.2">
      <c r="A261" s="37"/>
      <c r="B261" s="37">
        <v>66</v>
      </c>
      <c r="C261" s="37" t="s">
        <v>22</v>
      </c>
      <c r="D261" s="37">
        <v>29</v>
      </c>
      <c r="E261" s="37">
        <v>1</v>
      </c>
      <c r="F261" s="37">
        <v>1</v>
      </c>
      <c r="G261" s="37">
        <v>2.5</v>
      </c>
      <c r="H261" s="37" t="s">
        <v>56</v>
      </c>
      <c r="I261" s="37" t="s">
        <v>23</v>
      </c>
      <c r="J261" s="37" t="s">
        <v>18</v>
      </c>
      <c r="K261" s="37">
        <v>35</v>
      </c>
      <c r="L261" s="37">
        <v>49</v>
      </c>
      <c r="M261" s="37">
        <v>2</v>
      </c>
      <c r="N261" s="37">
        <v>86</v>
      </c>
      <c r="O261" s="37">
        <v>33</v>
      </c>
      <c r="P261" s="37"/>
      <c r="Q261" s="37">
        <v>119</v>
      </c>
      <c r="R261" s="37">
        <v>1522</v>
      </c>
      <c r="S261" s="37"/>
      <c r="T261" s="37" t="s">
        <v>181</v>
      </c>
      <c r="U261" s="37" t="s">
        <v>386</v>
      </c>
      <c r="V261" s="37">
        <v>75</v>
      </c>
      <c r="W261" s="37" t="s">
        <v>17</v>
      </c>
      <c r="X261" s="37" t="s">
        <v>190</v>
      </c>
      <c r="Y261" s="37">
        <v>375</v>
      </c>
      <c r="Z261" s="37" t="s">
        <v>22</v>
      </c>
      <c r="AA261" s="37">
        <v>29</v>
      </c>
      <c r="AB261" s="37">
        <v>1</v>
      </c>
      <c r="AC261" s="37">
        <v>1</v>
      </c>
      <c r="AD261" s="37" t="s">
        <v>841</v>
      </c>
      <c r="AE261" s="37">
        <v>0.8</v>
      </c>
      <c r="AF261" s="37" t="s">
        <v>842</v>
      </c>
    </row>
    <row r="262" spans="1:32" customFormat="1" x14ac:dyDescent="0.2">
      <c r="A262" s="37"/>
      <c r="B262" s="37" t="s">
        <v>166</v>
      </c>
      <c r="C262" s="37"/>
      <c r="D262" s="37"/>
      <c r="E262" s="37"/>
      <c r="F262" s="37"/>
      <c r="G262" s="37"/>
      <c r="H262" s="37" t="s">
        <v>80</v>
      </c>
      <c r="I262" s="37"/>
      <c r="J262" s="37" t="s">
        <v>17</v>
      </c>
      <c r="K262" s="37">
        <v>26</v>
      </c>
      <c r="L262" s="37">
        <v>67</v>
      </c>
      <c r="M262" s="37">
        <v>10</v>
      </c>
      <c r="N262" s="37">
        <v>103</v>
      </c>
      <c r="O262" s="37">
        <v>40</v>
      </c>
      <c r="P262" s="37"/>
      <c r="Q262" s="37">
        <v>143</v>
      </c>
      <c r="R262" s="37">
        <v>8681</v>
      </c>
      <c r="S262" s="37"/>
      <c r="T262" s="37"/>
      <c r="U262" s="37"/>
      <c r="V262" s="37"/>
      <c r="W262" s="37" t="s">
        <v>17</v>
      </c>
      <c r="X262" s="37"/>
      <c r="Y262" s="37"/>
      <c r="Z262" s="37" t="s">
        <v>22</v>
      </c>
      <c r="AA262" s="37">
        <v>29</v>
      </c>
      <c r="AB262" s="37">
        <v>1</v>
      </c>
      <c r="AC262" s="37">
        <v>1</v>
      </c>
      <c r="AD262" s="37" t="s">
        <v>841</v>
      </c>
      <c r="AE262" s="37">
        <v>0.8</v>
      </c>
      <c r="AF262" s="37" t="s">
        <v>843</v>
      </c>
    </row>
    <row r="263" spans="1:32" customFormat="1" x14ac:dyDescent="0.2">
      <c r="A263" s="37"/>
      <c r="B263" s="37" t="s">
        <v>166</v>
      </c>
      <c r="C263" s="37"/>
      <c r="D263" s="37"/>
      <c r="E263" s="37"/>
      <c r="F263" s="37"/>
      <c r="G263" s="37"/>
      <c r="H263" s="37">
        <v>75</v>
      </c>
      <c r="I263" s="37"/>
      <c r="J263" s="37" t="s">
        <v>19</v>
      </c>
      <c r="K263" s="37">
        <v>5</v>
      </c>
      <c r="L263" s="37">
        <v>29</v>
      </c>
      <c r="M263" s="37">
        <v>3</v>
      </c>
      <c r="N263" s="37">
        <v>37</v>
      </c>
      <c r="O263" s="37">
        <v>26</v>
      </c>
      <c r="P263" s="37"/>
      <c r="Q263" s="37">
        <v>63</v>
      </c>
      <c r="R263" s="37">
        <v>1783</v>
      </c>
      <c r="S263" s="37"/>
      <c r="T263" s="37"/>
      <c r="U263" s="37"/>
      <c r="V263" s="37"/>
      <c r="W263" s="37" t="s">
        <v>17</v>
      </c>
      <c r="X263" s="37"/>
      <c r="Y263" s="37"/>
      <c r="Z263" s="37" t="s">
        <v>22</v>
      </c>
      <c r="AA263" s="37">
        <v>29</v>
      </c>
      <c r="AB263" s="37">
        <v>1</v>
      </c>
      <c r="AC263" s="37">
        <v>1</v>
      </c>
      <c r="AD263" s="37" t="s">
        <v>841</v>
      </c>
      <c r="AE263" s="37">
        <v>0.8</v>
      </c>
      <c r="AF263" s="37" t="s">
        <v>844</v>
      </c>
    </row>
    <row r="264" spans="1:32" customFormat="1" x14ac:dyDescent="0.2">
      <c r="A264" s="37"/>
      <c r="B264" s="37" t="s">
        <v>166</v>
      </c>
      <c r="C264" s="37"/>
      <c r="D264" s="37"/>
      <c r="E264" s="37"/>
      <c r="F264" s="37"/>
      <c r="G264" s="37"/>
      <c r="H264" s="37"/>
      <c r="I264" s="37"/>
      <c r="J264" s="37" t="s">
        <v>15</v>
      </c>
      <c r="K264" s="37">
        <v>66</v>
      </c>
      <c r="L264" s="37">
        <v>145</v>
      </c>
      <c r="M264" s="37">
        <v>15</v>
      </c>
      <c r="N264" s="37">
        <v>226</v>
      </c>
      <c r="O264" s="37">
        <v>99</v>
      </c>
      <c r="P264" s="37">
        <v>0</v>
      </c>
      <c r="Q264" s="37">
        <v>325</v>
      </c>
      <c r="R264" s="37">
        <v>11986</v>
      </c>
      <c r="S264" s="37"/>
      <c r="T264" s="37"/>
      <c r="U264" s="37"/>
      <c r="V264" s="37"/>
      <c r="W264" s="37" t="s">
        <v>17</v>
      </c>
      <c r="X264" s="37"/>
      <c r="Y264" s="37"/>
      <c r="Z264" s="37" t="s">
        <v>22</v>
      </c>
      <c r="AA264" s="37">
        <v>29</v>
      </c>
      <c r="AB264" s="37">
        <v>1</v>
      </c>
      <c r="AC264" s="37">
        <v>1</v>
      </c>
      <c r="AD264" s="37" t="s">
        <v>841</v>
      </c>
      <c r="AE264" s="37">
        <v>0.8</v>
      </c>
      <c r="AF264" s="37" t="s">
        <v>845</v>
      </c>
    </row>
    <row r="265" spans="1:32" customFormat="1" x14ac:dyDescent="0.2">
      <c r="A265" s="37"/>
      <c r="B265" s="37">
        <v>67</v>
      </c>
      <c r="C265" s="37" t="s">
        <v>22</v>
      </c>
      <c r="D265" s="37">
        <v>29</v>
      </c>
      <c r="E265" s="37">
        <v>2</v>
      </c>
      <c r="F265" s="37">
        <v>1</v>
      </c>
      <c r="G265" s="37">
        <v>1.2</v>
      </c>
      <c r="H265" s="37" t="s">
        <v>56</v>
      </c>
      <c r="I265" s="37" t="s">
        <v>23</v>
      </c>
      <c r="J265" s="37" t="s">
        <v>17</v>
      </c>
      <c r="K265" s="37">
        <v>24</v>
      </c>
      <c r="L265" s="37">
        <v>92</v>
      </c>
      <c r="M265" s="37">
        <v>22</v>
      </c>
      <c r="N265" s="37">
        <v>138</v>
      </c>
      <c r="O265" s="37">
        <v>55</v>
      </c>
      <c r="P265" s="37"/>
      <c r="Q265" s="37">
        <v>193</v>
      </c>
      <c r="R265" s="37">
        <v>10864</v>
      </c>
      <c r="S265" s="37"/>
      <c r="T265" s="37" t="s">
        <v>181</v>
      </c>
      <c r="U265" s="37" t="s">
        <v>266</v>
      </c>
      <c r="V265" s="37">
        <v>65</v>
      </c>
      <c r="W265" s="37" t="s">
        <v>17</v>
      </c>
      <c r="X265" s="37" t="s">
        <v>190</v>
      </c>
      <c r="Y265" s="37">
        <v>228</v>
      </c>
      <c r="Z265" s="37" t="s">
        <v>22</v>
      </c>
      <c r="AA265" s="37">
        <v>29</v>
      </c>
      <c r="AB265" s="37">
        <v>2</v>
      </c>
      <c r="AC265" s="37">
        <v>1</v>
      </c>
      <c r="AD265" s="37" t="s">
        <v>846</v>
      </c>
      <c r="AE265" s="37">
        <v>0.6</v>
      </c>
      <c r="AF265" s="37" t="s">
        <v>847</v>
      </c>
    </row>
    <row r="266" spans="1:32" customFormat="1" x14ac:dyDescent="0.2">
      <c r="A266" s="37"/>
      <c r="B266" s="37" t="s">
        <v>166</v>
      </c>
      <c r="C266" s="37"/>
      <c r="D266" s="37"/>
      <c r="E266" s="37"/>
      <c r="F266" s="37"/>
      <c r="G266" s="37"/>
      <c r="H266" s="37" t="s">
        <v>69</v>
      </c>
      <c r="I266" s="37"/>
      <c r="J266" s="37" t="s">
        <v>15</v>
      </c>
      <c r="K266" s="37">
        <v>24</v>
      </c>
      <c r="L266" s="37">
        <v>92</v>
      </c>
      <c r="M266" s="37">
        <v>22</v>
      </c>
      <c r="N266" s="37">
        <v>138</v>
      </c>
      <c r="O266" s="37">
        <v>55</v>
      </c>
      <c r="P266" s="37">
        <v>0</v>
      </c>
      <c r="Q266" s="37">
        <v>193</v>
      </c>
      <c r="R266" s="37">
        <v>10864</v>
      </c>
      <c r="S266" s="37"/>
      <c r="T266" s="37"/>
      <c r="U266" s="37"/>
      <c r="V266" s="37"/>
      <c r="W266" s="37" t="s">
        <v>17</v>
      </c>
      <c r="X266" s="37"/>
      <c r="Y266" s="37"/>
      <c r="Z266" s="37" t="s">
        <v>22</v>
      </c>
      <c r="AA266" s="37">
        <v>29</v>
      </c>
      <c r="AB266" s="37">
        <v>2</v>
      </c>
      <c r="AC266" s="37">
        <v>1</v>
      </c>
      <c r="AD266" s="37" t="s">
        <v>846</v>
      </c>
      <c r="AE266" s="37">
        <v>0.6</v>
      </c>
      <c r="AF266" s="37" t="s">
        <v>848</v>
      </c>
    </row>
    <row r="267" spans="1:32" customFormat="1" x14ac:dyDescent="0.2">
      <c r="A267" s="37"/>
      <c r="B267" s="37">
        <v>68</v>
      </c>
      <c r="C267" s="37" t="s">
        <v>22</v>
      </c>
      <c r="D267" s="37">
        <v>29</v>
      </c>
      <c r="E267" s="37">
        <v>5</v>
      </c>
      <c r="F267" s="37">
        <v>1</v>
      </c>
      <c r="G267" s="37">
        <v>5.2</v>
      </c>
      <c r="H267" s="37" t="s">
        <v>56</v>
      </c>
      <c r="I267" s="37" t="s">
        <v>23</v>
      </c>
      <c r="J267" s="37" t="s">
        <v>17</v>
      </c>
      <c r="K267" s="37">
        <v>122</v>
      </c>
      <c r="L267" s="37">
        <v>479</v>
      </c>
      <c r="M267" s="37">
        <v>113</v>
      </c>
      <c r="N267" s="37">
        <v>714</v>
      </c>
      <c r="O267" s="37">
        <v>283</v>
      </c>
      <c r="P267" s="37"/>
      <c r="Q267" s="37">
        <v>997</v>
      </c>
      <c r="R267" s="37">
        <v>56353</v>
      </c>
      <c r="S267" s="37"/>
      <c r="T267" s="37" t="s">
        <v>181</v>
      </c>
      <c r="U267" s="37" t="s">
        <v>266</v>
      </c>
      <c r="V267" s="37">
        <v>65</v>
      </c>
      <c r="W267" s="37" t="s">
        <v>17</v>
      </c>
      <c r="X267" s="37" t="s">
        <v>190</v>
      </c>
      <c r="Y267" s="37">
        <v>1144</v>
      </c>
      <c r="Z267" s="37" t="s">
        <v>22</v>
      </c>
      <c r="AA267" s="37">
        <v>29</v>
      </c>
      <c r="AB267" s="37">
        <v>5</v>
      </c>
      <c r="AC267" s="37">
        <v>1</v>
      </c>
      <c r="AD267" s="37" t="s">
        <v>849</v>
      </c>
      <c r="AE267" s="37">
        <v>1.5</v>
      </c>
      <c r="AF267" s="37" t="s">
        <v>850</v>
      </c>
    </row>
    <row r="268" spans="1:32" customFormat="1" x14ac:dyDescent="0.2">
      <c r="A268" s="37"/>
      <c r="B268" s="37" t="s">
        <v>166</v>
      </c>
      <c r="C268" s="37"/>
      <c r="D268" s="37"/>
      <c r="E268" s="37"/>
      <c r="F268" s="37"/>
      <c r="G268" s="37"/>
      <c r="H268" s="37" t="s">
        <v>69</v>
      </c>
      <c r="I268" s="37"/>
      <c r="J268" s="37" t="s">
        <v>15</v>
      </c>
      <c r="K268" s="37">
        <v>122</v>
      </c>
      <c r="L268" s="37">
        <v>479</v>
      </c>
      <c r="M268" s="37">
        <v>113</v>
      </c>
      <c r="N268" s="37">
        <v>714</v>
      </c>
      <c r="O268" s="37">
        <v>283</v>
      </c>
      <c r="P268" s="37">
        <v>0</v>
      </c>
      <c r="Q268" s="37">
        <v>997</v>
      </c>
      <c r="R268" s="37">
        <v>56353</v>
      </c>
      <c r="S268" s="37"/>
      <c r="T268" s="37"/>
      <c r="U268" s="37"/>
      <c r="V268" s="37"/>
      <c r="W268" s="37" t="s">
        <v>17</v>
      </c>
      <c r="X268" s="37"/>
      <c r="Y268" s="37"/>
      <c r="Z268" s="37" t="s">
        <v>22</v>
      </c>
      <c r="AA268" s="37">
        <v>29</v>
      </c>
      <c r="AB268" s="37">
        <v>5</v>
      </c>
      <c r="AC268" s="37">
        <v>1</v>
      </c>
      <c r="AD268" s="37" t="s">
        <v>849</v>
      </c>
      <c r="AE268" s="37">
        <v>1.5</v>
      </c>
      <c r="AF268" s="37" t="s">
        <v>851</v>
      </c>
    </row>
    <row r="269" spans="1:32" customFormat="1" x14ac:dyDescent="0.2">
      <c r="A269" s="37"/>
      <c r="B269" s="37">
        <v>69</v>
      </c>
      <c r="C269" s="37" t="s">
        <v>22</v>
      </c>
      <c r="D269" s="37">
        <v>51</v>
      </c>
      <c r="E269" s="37">
        <v>3</v>
      </c>
      <c r="F269" s="37">
        <v>1</v>
      </c>
      <c r="G269" s="37">
        <v>2.5</v>
      </c>
      <c r="H269" s="37" t="s">
        <v>56</v>
      </c>
      <c r="I269" s="37" t="s">
        <v>23</v>
      </c>
      <c r="J269" s="37" t="s">
        <v>18</v>
      </c>
      <c r="K269" s="37">
        <v>17</v>
      </c>
      <c r="L269" s="37">
        <v>50</v>
      </c>
      <c r="M269" s="37">
        <v>2</v>
      </c>
      <c r="N269" s="37">
        <v>69</v>
      </c>
      <c r="O269" s="37">
        <v>26</v>
      </c>
      <c r="P269" s="37"/>
      <c r="Q269" s="37">
        <v>95</v>
      </c>
      <c r="R269" s="37">
        <v>1164</v>
      </c>
      <c r="S269" s="37"/>
      <c r="T269" s="37" t="s">
        <v>181</v>
      </c>
      <c r="U269" s="37" t="s">
        <v>343</v>
      </c>
      <c r="V269" s="37">
        <v>70</v>
      </c>
      <c r="W269" s="37" t="s">
        <v>17</v>
      </c>
      <c r="X269" s="37" t="s">
        <v>190</v>
      </c>
      <c r="Y269" s="37">
        <v>450</v>
      </c>
      <c r="Z269" s="37" t="s">
        <v>22</v>
      </c>
      <c r="AA269" s="37">
        <v>51</v>
      </c>
      <c r="AB269" s="37">
        <v>3</v>
      </c>
      <c r="AC269" s="37">
        <v>1</v>
      </c>
      <c r="AD269" s="37" t="s">
        <v>852</v>
      </c>
      <c r="AE269" s="37">
        <v>0.9</v>
      </c>
      <c r="AF269" s="37" t="s">
        <v>853</v>
      </c>
    </row>
    <row r="270" spans="1:32" customFormat="1" x14ac:dyDescent="0.2">
      <c r="A270" s="37"/>
      <c r="B270" s="37" t="s">
        <v>166</v>
      </c>
      <c r="C270" s="37"/>
      <c r="D270" s="37"/>
      <c r="E270" s="37"/>
      <c r="F270" s="37"/>
      <c r="G270" s="37"/>
      <c r="H270" s="37" t="s">
        <v>81</v>
      </c>
      <c r="I270" s="37"/>
      <c r="J270" s="37" t="s">
        <v>17</v>
      </c>
      <c r="K270" s="37">
        <v>34</v>
      </c>
      <c r="L270" s="37">
        <v>111</v>
      </c>
      <c r="M270" s="37">
        <v>28</v>
      </c>
      <c r="N270" s="37">
        <v>173</v>
      </c>
      <c r="O270" s="37">
        <v>71</v>
      </c>
      <c r="P270" s="37"/>
      <c r="Q270" s="37">
        <v>244</v>
      </c>
      <c r="R270" s="37">
        <v>13850</v>
      </c>
      <c r="S270" s="37"/>
      <c r="T270" s="37"/>
      <c r="U270" s="37"/>
      <c r="V270" s="37"/>
      <c r="W270" s="37" t="s">
        <v>17</v>
      </c>
      <c r="X270" s="37"/>
      <c r="Y270" s="37"/>
      <c r="Z270" s="37" t="s">
        <v>22</v>
      </c>
      <c r="AA270" s="37">
        <v>51</v>
      </c>
      <c r="AB270" s="37">
        <v>3</v>
      </c>
      <c r="AC270" s="37">
        <v>1</v>
      </c>
      <c r="AD270" s="37" t="s">
        <v>852</v>
      </c>
      <c r="AE270" s="37">
        <v>0.9</v>
      </c>
      <c r="AF270" s="37" t="s">
        <v>854</v>
      </c>
    </row>
    <row r="271" spans="1:32" customFormat="1" x14ac:dyDescent="0.2">
      <c r="A271" s="37"/>
      <c r="B271" s="37" t="s">
        <v>166</v>
      </c>
      <c r="C271" s="37"/>
      <c r="D271" s="37"/>
      <c r="E271" s="37"/>
      <c r="F271" s="37"/>
      <c r="G271" s="37"/>
      <c r="H271" s="37">
        <v>70</v>
      </c>
      <c r="I271" s="37"/>
      <c r="J271" s="37" t="s">
        <v>19</v>
      </c>
      <c r="K271" s="37">
        <v>2</v>
      </c>
      <c r="L271" s="37">
        <v>26</v>
      </c>
      <c r="M271" s="37">
        <v>5</v>
      </c>
      <c r="N271" s="37">
        <v>33</v>
      </c>
      <c r="O271" s="37">
        <v>23</v>
      </c>
      <c r="P271" s="37"/>
      <c r="Q271" s="37">
        <v>56</v>
      </c>
      <c r="R271" s="37">
        <v>1482</v>
      </c>
      <c r="S271" s="37"/>
      <c r="T271" s="37"/>
      <c r="U271" s="37"/>
      <c r="V271" s="37"/>
      <c r="W271" s="37" t="s">
        <v>17</v>
      </c>
      <c r="X271" s="37"/>
      <c r="Y271" s="37"/>
      <c r="Z271" s="37" t="s">
        <v>22</v>
      </c>
      <c r="AA271" s="37">
        <v>51</v>
      </c>
      <c r="AB271" s="37">
        <v>3</v>
      </c>
      <c r="AC271" s="37">
        <v>1</v>
      </c>
      <c r="AD271" s="37" t="s">
        <v>852</v>
      </c>
      <c r="AE271" s="37">
        <v>0.9</v>
      </c>
      <c r="AF271" s="37" t="s">
        <v>855</v>
      </c>
    </row>
    <row r="272" spans="1:32" customFormat="1" x14ac:dyDescent="0.2">
      <c r="A272" s="37"/>
      <c r="B272" s="37" t="s">
        <v>166</v>
      </c>
      <c r="C272" s="37"/>
      <c r="D272" s="37"/>
      <c r="E272" s="37"/>
      <c r="F272" s="37"/>
      <c r="G272" s="37"/>
      <c r="H272" s="37"/>
      <c r="I272" s="37"/>
      <c r="J272" s="37" t="s">
        <v>15</v>
      </c>
      <c r="K272" s="37">
        <v>53</v>
      </c>
      <c r="L272" s="37">
        <v>187</v>
      </c>
      <c r="M272" s="37">
        <v>35</v>
      </c>
      <c r="N272" s="37">
        <v>275</v>
      </c>
      <c r="O272" s="37">
        <v>120</v>
      </c>
      <c r="P272" s="37">
        <v>0</v>
      </c>
      <c r="Q272" s="37">
        <v>395</v>
      </c>
      <c r="R272" s="37">
        <v>16496</v>
      </c>
      <c r="S272" s="37"/>
      <c r="T272" s="37"/>
      <c r="U272" s="37"/>
      <c r="V272" s="37"/>
      <c r="W272" s="37" t="s">
        <v>17</v>
      </c>
      <c r="X272" s="37"/>
      <c r="Y272" s="37"/>
      <c r="Z272" s="37" t="s">
        <v>22</v>
      </c>
      <c r="AA272" s="37">
        <v>51</v>
      </c>
      <c r="AB272" s="37">
        <v>3</v>
      </c>
      <c r="AC272" s="37">
        <v>1</v>
      </c>
      <c r="AD272" s="37" t="s">
        <v>852</v>
      </c>
      <c r="AE272" s="37">
        <v>0.9</v>
      </c>
      <c r="AF272" s="37" t="s">
        <v>856</v>
      </c>
    </row>
    <row r="273" spans="1:32" customFormat="1" x14ac:dyDescent="0.2">
      <c r="A273" s="37"/>
      <c r="B273" s="37">
        <v>70</v>
      </c>
      <c r="C273" s="37" t="s">
        <v>22</v>
      </c>
      <c r="D273" s="37">
        <v>51</v>
      </c>
      <c r="E273" s="37">
        <v>6</v>
      </c>
      <c r="F273" s="37">
        <v>1</v>
      </c>
      <c r="G273" s="37">
        <v>5.0999999999999996</v>
      </c>
      <c r="H273" s="37" t="s">
        <v>56</v>
      </c>
      <c r="I273" s="37" t="s">
        <v>23</v>
      </c>
      <c r="J273" s="37" t="s">
        <v>18</v>
      </c>
      <c r="K273" s="37">
        <v>52</v>
      </c>
      <c r="L273" s="37">
        <v>124</v>
      </c>
      <c r="M273" s="37">
        <v>6</v>
      </c>
      <c r="N273" s="37">
        <v>182</v>
      </c>
      <c r="O273" s="37">
        <v>86</v>
      </c>
      <c r="P273" s="37"/>
      <c r="Q273" s="37">
        <v>268</v>
      </c>
      <c r="R273" s="37">
        <v>3108</v>
      </c>
      <c r="S273" s="37"/>
      <c r="T273" s="37" t="s">
        <v>181</v>
      </c>
      <c r="U273" s="37" t="s">
        <v>215</v>
      </c>
      <c r="V273" s="37">
        <v>75</v>
      </c>
      <c r="W273" s="37" t="s">
        <v>17</v>
      </c>
      <c r="X273" s="37" t="s">
        <v>190</v>
      </c>
      <c r="Y273" s="37">
        <v>816</v>
      </c>
      <c r="Z273" s="37" t="s">
        <v>22</v>
      </c>
      <c r="AA273" s="37">
        <v>51</v>
      </c>
      <c r="AB273" s="37">
        <v>6</v>
      </c>
      <c r="AC273" s="37">
        <v>1</v>
      </c>
      <c r="AD273" s="37" t="s">
        <v>857</v>
      </c>
      <c r="AE273" s="37">
        <v>2.2000000000000002</v>
      </c>
      <c r="AF273" s="37" t="s">
        <v>858</v>
      </c>
    </row>
    <row r="274" spans="1:32" customFormat="1" x14ac:dyDescent="0.2">
      <c r="A274" s="37"/>
      <c r="B274" s="37" t="s">
        <v>166</v>
      </c>
      <c r="C274" s="37"/>
      <c r="D274" s="37"/>
      <c r="E274" s="37"/>
      <c r="F274" s="37"/>
      <c r="G274" s="37"/>
      <c r="H274" s="37" t="s">
        <v>31</v>
      </c>
      <c r="I274" s="37"/>
      <c r="J274" s="37" t="s">
        <v>17</v>
      </c>
      <c r="K274" s="37">
        <v>56</v>
      </c>
      <c r="L274" s="37">
        <v>171</v>
      </c>
      <c r="M274" s="37">
        <v>26</v>
      </c>
      <c r="N274" s="37">
        <v>253</v>
      </c>
      <c r="O274" s="37">
        <v>107</v>
      </c>
      <c r="P274" s="37"/>
      <c r="Q274" s="37">
        <v>360</v>
      </c>
      <c r="R274" s="37">
        <v>20902</v>
      </c>
      <c r="S274" s="37"/>
      <c r="T274" s="37"/>
      <c r="U274" s="37"/>
      <c r="V274" s="37"/>
      <c r="W274" s="37" t="s">
        <v>17</v>
      </c>
      <c r="X274" s="37"/>
      <c r="Y274" s="37"/>
      <c r="Z274" s="37" t="s">
        <v>22</v>
      </c>
      <c r="AA274" s="37">
        <v>51</v>
      </c>
      <c r="AB274" s="37">
        <v>6</v>
      </c>
      <c r="AC274" s="37">
        <v>1</v>
      </c>
      <c r="AD274" s="37" t="s">
        <v>857</v>
      </c>
      <c r="AE274" s="37">
        <v>2.2000000000000002</v>
      </c>
      <c r="AF274" s="37" t="s">
        <v>859</v>
      </c>
    </row>
    <row r="275" spans="1:32" customFormat="1" x14ac:dyDescent="0.2">
      <c r="A275" s="37"/>
      <c r="B275" s="37" t="s">
        <v>166</v>
      </c>
      <c r="C275" s="37"/>
      <c r="D275" s="37"/>
      <c r="E275" s="37"/>
      <c r="F275" s="37"/>
      <c r="G275" s="37"/>
      <c r="H275" s="37">
        <v>75</v>
      </c>
      <c r="I275" s="37"/>
      <c r="J275" s="37" t="s">
        <v>19</v>
      </c>
      <c r="K275" s="37">
        <v>1</v>
      </c>
      <c r="L275" s="37">
        <v>38</v>
      </c>
      <c r="M275" s="37">
        <v>11</v>
      </c>
      <c r="N275" s="37">
        <v>50</v>
      </c>
      <c r="O275" s="37">
        <v>38</v>
      </c>
      <c r="P275" s="37"/>
      <c r="Q275" s="37">
        <v>88</v>
      </c>
      <c r="R275" s="37">
        <v>2139</v>
      </c>
      <c r="S275" s="37"/>
      <c r="T275" s="37"/>
      <c r="U275" s="37"/>
      <c r="V275" s="37"/>
      <c r="W275" s="37" t="s">
        <v>17</v>
      </c>
      <c r="X275" s="37"/>
      <c r="Y275" s="37"/>
      <c r="Z275" s="37" t="s">
        <v>22</v>
      </c>
      <c r="AA275" s="37">
        <v>51</v>
      </c>
      <c r="AB275" s="37">
        <v>6</v>
      </c>
      <c r="AC275" s="37">
        <v>1</v>
      </c>
      <c r="AD275" s="37" t="s">
        <v>857</v>
      </c>
      <c r="AE275" s="37">
        <v>2.2000000000000002</v>
      </c>
      <c r="AF275" s="37" t="s">
        <v>860</v>
      </c>
    </row>
    <row r="276" spans="1:32" customFormat="1" x14ac:dyDescent="0.2">
      <c r="A276" s="37"/>
      <c r="B276" s="37" t="s">
        <v>166</v>
      </c>
      <c r="C276" s="37"/>
      <c r="D276" s="37"/>
      <c r="E276" s="37"/>
      <c r="F276" s="37"/>
      <c r="G276" s="37"/>
      <c r="H276" s="37"/>
      <c r="I276" s="37"/>
      <c r="J276" s="37" t="s">
        <v>15</v>
      </c>
      <c r="K276" s="37">
        <v>109</v>
      </c>
      <c r="L276" s="37">
        <v>333</v>
      </c>
      <c r="M276" s="37">
        <v>43</v>
      </c>
      <c r="N276" s="37">
        <v>485</v>
      </c>
      <c r="O276" s="37">
        <v>231</v>
      </c>
      <c r="P276" s="37">
        <v>0</v>
      </c>
      <c r="Q276" s="37">
        <v>716</v>
      </c>
      <c r="R276" s="37">
        <v>26149</v>
      </c>
      <c r="S276" s="37"/>
      <c r="T276" s="37"/>
      <c r="U276" s="37"/>
      <c r="V276" s="37"/>
      <c r="W276" s="37" t="s">
        <v>17</v>
      </c>
      <c r="X276" s="37"/>
      <c r="Y276" s="37"/>
      <c r="Z276" s="37" t="s">
        <v>22</v>
      </c>
      <c r="AA276" s="37">
        <v>51</v>
      </c>
      <c r="AB276" s="37">
        <v>6</v>
      </c>
      <c r="AC276" s="37">
        <v>1</v>
      </c>
      <c r="AD276" s="37" t="s">
        <v>857</v>
      </c>
      <c r="AE276" s="37">
        <v>2.2000000000000002</v>
      </c>
      <c r="AF276" s="37" t="s">
        <v>861</v>
      </c>
    </row>
    <row r="277" spans="1:32" customFormat="1" x14ac:dyDescent="0.2">
      <c r="A277" s="37"/>
      <c r="B277" s="37">
        <v>71</v>
      </c>
      <c r="C277" s="37" t="s">
        <v>22</v>
      </c>
      <c r="D277" s="37">
        <v>56</v>
      </c>
      <c r="E277" s="37">
        <v>19</v>
      </c>
      <c r="F277" s="37">
        <v>1</v>
      </c>
      <c r="G277" s="37">
        <v>9.6</v>
      </c>
      <c r="H277" s="37" t="s">
        <v>56</v>
      </c>
      <c r="I277" s="37"/>
      <c r="J277" s="37" t="s">
        <v>18</v>
      </c>
      <c r="K277" s="37">
        <v>202</v>
      </c>
      <c r="L277" s="37">
        <v>346</v>
      </c>
      <c r="M277" s="37">
        <v>10</v>
      </c>
      <c r="N277" s="37">
        <v>558</v>
      </c>
      <c r="O277" s="37">
        <v>240</v>
      </c>
      <c r="P277" s="37"/>
      <c r="Q277" s="37">
        <v>798</v>
      </c>
      <c r="R277" s="37">
        <v>9790.5</v>
      </c>
      <c r="S277" s="37"/>
      <c r="T277" s="37" t="s">
        <v>181</v>
      </c>
      <c r="U277" s="37" t="s">
        <v>248</v>
      </c>
      <c r="V277" s="37">
        <v>50</v>
      </c>
      <c r="W277" s="37" t="s">
        <v>18</v>
      </c>
      <c r="X277" s="37" t="s">
        <v>190</v>
      </c>
      <c r="Y277" s="37">
        <v>1920</v>
      </c>
      <c r="Z277" s="37" t="s">
        <v>22</v>
      </c>
      <c r="AA277" s="37">
        <v>56</v>
      </c>
      <c r="AB277" s="37">
        <v>19</v>
      </c>
      <c r="AC277" s="37">
        <v>1</v>
      </c>
      <c r="AD277" s="37" t="s">
        <v>862</v>
      </c>
      <c r="AE277" s="37">
        <v>1.6</v>
      </c>
      <c r="AF277" s="37" t="s">
        <v>863</v>
      </c>
    </row>
    <row r="278" spans="1:32" customFormat="1" x14ac:dyDescent="0.2">
      <c r="A278" s="37"/>
      <c r="B278" s="37" t="s">
        <v>166</v>
      </c>
      <c r="C278" s="37"/>
      <c r="D278" s="37"/>
      <c r="E278" s="37"/>
      <c r="F278" s="37"/>
      <c r="G278" s="37"/>
      <c r="H278" s="37" t="s">
        <v>248</v>
      </c>
      <c r="I278" s="37"/>
      <c r="J278" s="37" t="s">
        <v>17</v>
      </c>
      <c r="K278" s="37">
        <v>99</v>
      </c>
      <c r="L278" s="37">
        <v>320</v>
      </c>
      <c r="M278" s="37">
        <v>62</v>
      </c>
      <c r="N278" s="37">
        <v>481</v>
      </c>
      <c r="O278" s="37">
        <v>191</v>
      </c>
      <c r="P278" s="37"/>
      <c r="Q278" s="37">
        <v>672</v>
      </c>
      <c r="R278" s="37">
        <v>39013.5</v>
      </c>
      <c r="S278" s="37"/>
      <c r="T278" s="37"/>
      <c r="U278" s="37"/>
      <c r="V278" s="37"/>
      <c r="W278" s="37" t="s">
        <v>18</v>
      </c>
      <c r="X278" s="37"/>
      <c r="Y278" s="37"/>
      <c r="Z278" s="37" t="s">
        <v>22</v>
      </c>
      <c r="AA278" s="37">
        <v>56</v>
      </c>
      <c r="AB278" s="37">
        <v>19</v>
      </c>
      <c r="AC278" s="37">
        <v>1</v>
      </c>
      <c r="AD278" s="37" t="s">
        <v>862</v>
      </c>
      <c r="AE278" s="37">
        <v>1.6</v>
      </c>
      <c r="AF278" s="37" t="s">
        <v>864</v>
      </c>
    </row>
    <row r="279" spans="1:32" customFormat="1" x14ac:dyDescent="0.2">
      <c r="A279" s="37"/>
      <c r="B279" s="37" t="s">
        <v>166</v>
      </c>
      <c r="C279" s="37"/>
      <c r="D279" s="37"/>
      <c r="E279" s="37"/>
      <c r="F279" s="37"/>
      <c r="G279" s="37"/>
      <c r="H279" s="37">
        <v>50</v>
      </c>
      <c r="I279" s="37"/>
      <c r="J279" s="37" t="s">
        <v>19</v>
      </c>
      <c r="K279" s="37">
        <v>8</v>
      </c>
      <c r="L279" s="37">
        <v>84</v>
      </c>
      <c r="M279" s="37">
        <v>17</v>
      </c>
      <c r="N279" s="37">
        <v>109</v>
      </c>
      <c r="O279" s="37">
        <v>87</v>
      </c>
      <c r="P279" s="37"/>
      <c r="Q279" s="37">
        <v>196</v>
      </c>
      <c r="R279" s="37">
        <v>4976</v>
      </c>
      <c r="S279" s="37"/>
      <c r="T279" s="37"/>
      <c r="U279" s="37"/>
      <c r="V279" s="37"/>
      <c r="W279" s="37" t="s">
        <v>18</v>
      </c>
      <c r="X279" s="37"/>
      <c r="Y279" s="37"/>
      <c r="Z279" s="37" t="s">
        <v>22</v>
      </c>
      <c r="AA279" s="37">
        <v>56</v>
      </c>
      <c r="AB279" s="37">
        <v>19</v>
      </c>
      <c r="AC279" s="37">
        <v>1</v>
      </c>
      <c r="AD279" s="37" t="s">
        <v>862</v>
      </c>
      <c r="AE279" s="37">
        <v>1.6</v>
      </c>
      <c r="AF279" s="37" t="s">
        <v>865</v>
      </c>
    </row>
    <row r="280" spans="1:32" customFormat="1" x14ac:dyDescent="0.2">
      <c r="A280" s="37"/>
      <c r="B280" s="37" t="s">
        <v>166</v>
      </c>
      <c r="C280" s="37"/>
      <c r="D280" s="37"/>
      <c r="E280" s="37"/>
      <c r="F280" s="37"/>
      <c r="G280" s="37"/>
      <c r="H280" s="37"/>
      <c r="I280" s="37"/>
      <c r="J280" s="37" t="s">
        <v>15</v>
      </c>
      <c r="K280" s="37">
        <v>309</v>
      </c>
      <c r="L280" s="37">
        <v>750</v>
      </c>
      <c r="M280" s="37">
        <v>89</v>
      </c>
      <c r="N280" s="37">
        <v>1148</v>
      </c>
      <c r="O280" s="37">
        <v>518</v>
      </c>
      <c r="P280" s="37">
        <v>0</v>
      </c>
      <c r="Q280" s="37">
        <v>1666</v>
      </c>
      <c r="R280" s="37">
        <v>53780</v>
      </c>
      <c r="S280" s="37"/>
      <c r="T280" s="37"/>
      <c r="U280" s="37"/>
      <c r="V280" s="37"/>
      <c r="W280" s="37" t="s">
        <v>18</v>
      </c>
      <c r="X280" s="37"/>
      <c r="Y280" s="37"/>
      <c r="Z280" s="37" t="s">
        <v>22</v>
      </c>
      <c r="AA280" s="37">
        <v>56</v>
      </c>
      <c r="AB280" s="37">
        <v>19</v>
      </c>
      <c r="AC280" s="37">
        <v>1</v>
      </c>
      <c r="AD280" s="37" t="s">
        <v>862</v>
      </c>
      <c r="AE280" s="37">
        <v>1.6</v>
      </c>
      <c r="AF280" s="37" t="s">
        <v>866</v>
      </c>
    </row>
    <row r="281" spans="1:32" customFormat="1" x14ac:dyDescent="0.2">
      <c r="A281" s="37"/>
      <c r="B281" s="37">
        <v>72</v>
      </c>
      <c r="C281" s="37" t="s">
        <v>22</v>
      </c>
      <c r="D281" s="37">
        <v>79</v>
      </c>
      <c r="E281" s="37">
        <v>7</v>
      </c>
      <c r="F281" s="37">
        <v>1</v>
      </c>
      <c r="G281" s="37">
        <v>3.9</v>
      </c>
      <c r="H281" s="37" t="s">
        <v>56</v>
      </c>
      <c r="I281" s="37" t="s">
        <v>23</v>
      </c>
      <c r="J281" s="37" t="s">
        <v>18</v>
      </c>
      <c r="K281" s="37">
        <v>183</v>
      </c>
      <c r="L281" s="37">
        <v>376</v>
      </c>
      <c r="M281" s="37">
        <v>31</v>
      </c>
      <c r="N281" s="37">
        <v>590</v>
      </c>
      <c r="O281" s="37">
        <v>243</v>
      </c>
      <c r="P281" s="37"/>
      <c r="Q281" s="37">
        <v>833</v>
      </c>
      <c r="R281" s="37">
        <v>10055</v>
      </c>
      <c r="S281" s="37"/>
      <c r="T281" s="37" t="s">
        <v>181</v>
      </c>
      <c r="U281" s="37" t="s">
        <v>225</v>
      </c>
      <c r="V281" s="37">
        <v>55</v>
      </c>
      <c r="W281" s="37" t="s">
        <v>18</v>
      </c>
      <c r="X281" s="37" t="s">
        <v>190</v>
      </c>
      <c r="Y281" s="37">
        <v>1092</v>
      </c>
      <c r="Z281" s="37" t="s">
        <v>22</v>
      </c>
      <c r="AA281" s="37">
        <v>79</v>
      </c>
      <c r="AB281" s="37">
        <v>7</v>
      </c>
      <c r="AC281" s="37">
        <v>1</v>
      </c>
      <c r="AD281" s="37" t="s">
        <v>867</v>
      </c>
      <c r="AE281" s="37">
        <v>0.6</v>
      </c>
      <c r="AF281" s="37" t="s">
        <v>868</v>
      </c>
    </row>
    <row r="282" spans="1:32" customFormat="1" x14ac:dyDescent="0.2">
      <c r="A282" s="37"/>
      <c r="B282" s="37" t="s">
        <v>166</v>
      </c>
      <c r="C282" s="37"/>
      <c r="D282" s="37"/>
      <c r="E282" s="37"/>
      <c r="F282" s="37"/>
      <c r="G282" s="37"/>
      <c r="H282" s="37" t="s">
        <v>82</v>
      </c>
      <c r="I282" s="37"/>
      <c r="J282" s="37" t="s">
        <v>15</v>
      </c>
      <c r="K282" s="37">
        <v>183</v>
      </c>
      <c r="L282" s="37">
        <v>376</v>
      </c>
      <c r="M282" s="37">
        <v>31</v>
      </c>
      <c r="N282" s="37">
        <v>590</v>
      </c>
      <c r="O282" s="37">
        <v>243</v>
      </c>
      <c r="P282" s="37">
        <v>0</v>
      </c>
      <c r="Q282" s="37">
        <v>833</v>
      </c>
      <c r="R282" s="37">
        <v>10055</v>
      </c>
      <c r="S282" s="37"/>
      <c r="T282" s="37"/>
      <c r="U282" s="37"/>
      <c r="V282" s="37"/>
      <c r="W282" s="37" t="s">
        <v>18</v>
      </c>
      <c r="X282" s="37"/>
      <c r="Y282" s="37"/>
      <c r="Z282" s="37" t="s">
        <v>22</v>
      </c>
      <c r="AA282" s="37">
        <v>79</v>
      </c>
      <c r="AB282" s="37">
        <v>7</v>
      </c>
      <c r="AC282" s="37">
        <v>1</v>
      </c>
      <c r="AD282" s="37" t="s">
        <v>867</v>
      </c>
      <c r="AE282" s="37">
        <v>0.6</v>
      </c>
      <c r="AF282" s="37" t="s">
        <v>869</v>
      </c>
    </row>
    <row r="283" spans="1:32" customFormat="1" x14ac:dyDescent="0.2">
      <c r="A283" s="37"/>
      <c r="B283" s="37">
        <v>73</v>
      </c>
      <c r="C283" s="37" t="s">
        <v>22</v>
      </c>
      <c r="D283" s="37">
        <v>79</v>
      </c>
      <c r="E283" s="37">
        <v>9</v>
      </c>
      <c r="F283" s="37">
        <v>1</v>
      </c>
      <c r="G283" s="37">
        <v>11</v>
      </c>
      <c r="H283" s="37" t="s">
        <v>56</v>
      </c>
      <c r="I283" s="37" t="s">
        <v>23</v>
      </c>
      <c r="J283" s="37" t="s">
        <v>18</v>
      </c>
      <c r="K283" s="37">
        <v>663.7</v>
      </c>
      <c r="L283" s="37">
        <v>581.20000000000005</v>
      </c>
      <c r="M283" s="37">
        <v>30.9</v>
      </c>
      <c r="N283" s="37">
        <v>1275.8000000000002</v>
      </c>
      <c r="O283" s="37">
        <v>579.30000000000007</v>
      </c>
      <c r="P283" s="37"/>
      <c r="Q283" s="37">
        <v>1855.1000000000004</v>
      </c>
      <c r="R283" s="37">
        <v>23337</v>
      </c>
      <c r="S283" s="37"/>
      <c r="T283" s="37" t="s">
        <v>181</v>
      </c>
      <c r="U283" s="37" t="s">
        <v>226</v>
      </c>
      <c r="V283" s="37">
        <v>45</v>
      </c>
      <c r="W283" s="37" t="s">
        <v>18</v>
      </c>
      <c r="X283" s="37" t="s">
        <v>190</v>
      </c>
      <c r="Y283" s="37">
        <v>2640</v>
      </c>
      <c r="Z283" s="37" t="s">
        <v>22</v>
      </c>
      <c r="AA283" s="37">
        <v>79</v>
      </c>
      <c r="AB283" s="37">
        <v>9</v>
      </c>
      <c r="AC283" s="37">
        <v>1</v>
      </c>
      <c r="AD283" s="37" t="s">
        <v>870</v>
      </c>
      <c r="AE283" s="37">
        <v>1.5</v>
      </c>
      <c r="AF283" s="37" t="s">
        <v>871</v>
      </c>
    </row>
    <row r="284" spans="1:32" customFormat="1" x14ac:dyDescent="0.2">
      <c r="A284" s="37"/>
      <c r="B284" s="37" t="s">
        <v>166</v>
      </c>
      <c r="C284" s="37"/>
      <c r="D284" s="37"/>
      <c r="E284" s="37"/>
      <c r="F284" s="37"/>
      <c r="G284" s="37"/>
      <c r="H284" s="37" t="s">
        <v>32</v>
      </c>
      <c r="I284" s="37"/>
      <c r="J284" s="37" t="s">
        <v>17</v>
      </c>
      <c r="K284" s="37">
        <v>52.5</v>
      </c>
      <c r="L284" s="37">
        <v>201.5</v>
      </c>
      <c r="M284" s="37">
        <v>39</v>
      </c>
      <c r="N284" s="37">
        <v>293</v>
      </c>
      <c r="O284" s="37">
        <v>165.9</v>
      </c>
      <c r="P284" s="37"/>
      <c r="Q284" s="37">
        <v>458.9</v>
      </c>
      <c r="R284" s="37">
        <v>23800</v>
      </c>
      <c r="S284" s="37"/>
      <c r="T284" s="37"/>
      <c r="U284" s="37"/>
      <c r="V284" s="37"/>
      <c r="W284" s="37" t="s">
        <v>18</v>
      </c>
      <c r="X284" s="37"/>
      <c r="Y284" s="37"/>
      <c r="Z284" s="37" t="s">
        <v>22</v>
      </c>
      <c r="AA284" s="37">
        <v>79</v>
      </c>
      <c r="AB284" s="37">
        <v>9</v>
      </c>
      <c r="AC284" s="37">
        <v>1</v>
      </c>
      <c r="AD284" s="37" t="s">
        <v>870</v>
      </c>
      <c r="AE284" s="37">
        <v>1.5</v>
      </c>
      <c r="AF284" s="37" t="s">
        <v>872</v>
      </c>
    </row>
    <row r="285" spans="1:32" customFormat="1" x14ac:dyDescent="0.2">
      <c r="A285" s="37"/>
      <c r="B285" s="37" t="s">
        <v>166</v>
      </c>
      <c r="C285" s="37"/>
      <c r="D285" s="37"/>
      <c r="E285" s="37"/>
      <c r="F285" s="37"/>
      <c r="G285" s="37"/>
      <c r="H285" s="37">
        <v>45</v>
      </c>
      <c r="I285" s="37"/>
      <c r="J285" s="37" t="s">
        <v>15</v>
      </c>
      <c r="K285" s="37">
        <v>716.2</v>
      </c>
      <c r="L285" s="37">
        <v>782.7</v>
      </c>
      <c r="M285" s="37">
        <v>69.900000000000006</v>
      </c>
      <c r="N285" s="37">
        <v>1568.8000000000002</v>
      </c>
      <c r="O285" s="37">
        <v>745.2</v>
      </c>
      <c r="P285" s="37">
        <v>0</v>
      </c>
      <c r="Q285" s="37">
        <v>2314.0000000000005</v>
      </c>
      <c r="R285" s="37">
        <v>47137</v>
      </c>
      <c r="S285" s="37"/>
      <c r="T285" s="37"/>
      <c r="U285" s="37"/>
      <c r="V285" s="37"/>
      <c r="W285" s="37" t="s">
        <v>18</v>
      </c>
      <c r="X285" s="37"/>
      <c r="Y285" s="37"/>
      <c r="Z285" s="37" t="s">
        <v>22</v>
      </c>
      <c r="AA285" s="37">
        <v>79</v>
      </c>
      <c r="AB285" s="37">
        <v>9</v>
      </c>
      <c r="AC285" s="37">
        <v>1</v>
      </c>
      <c r="AD285" s="37" t="s">
        <v>870</v>
      </c>
      <c r="AE285" s="37">
        <v>1.5</v>
      </c>
      <c r="AF285" s="37" t="s">
        <v>873</v>
      </c>
    </row>
    <row r="286" spans="1:32" customFormat="1" x14ac:dyDescent="0.2">
      <c r="A286" s="37"/>
      <c r="B286" s="37">
        <v>74</v>
      </c>
      <c r="C286" s="37" t="s">
        <v>22</v>
      </c>
      <c r="D286" s="37">
        <v>79</v>
      </c>
      <c r="E286" s="37">
        <v>9</v>
      </c>
      <c r="F286" s="37">
        <v>2</v>
      </c>
      <c r="G286" s="37">
        <v>10</v>
      </c>
      <c r="H286" s="37" t="s">
        <v>56</v>
      </c>
      <c r="I286" s="37" t="s">
        <v>23</v>
      </c>
      <c r="J286" s="37" t="s">
        <v>18</v>
      </c>
      <c r="K286" s="37">
        <v>595.29999999999995</v>
      </c>
      <c r="L286" s="37">
        <v>518.6</v>
      </c>
      <c r="M286" s="37">
        <v>27</v>
      </c>
      <c r="N286" s="37">
        <v>1140.9000000000001</v>
      </c>
      <c r="O286" s="37">
        <v>518.70000000000005</v>
      </c>
      <c r="P286" s="37"/>
      <c r="Q286" s="37">
        <v>1659.6000000000001</v>
      </c>
      <c r="R286" s="37">
        <v>20884</v>
      </c>
      <c r="S286" s="37"/>
      <c r="T286" s="37" t="s">
        <v>181</v>
      </c>
      <c r="U286" s="37" t="s">
        <v>226</v>
      </c>
      <c r="V286" s="37">
        <v>45</v>
      </c>
      <c r="W286" s="37" t="s">
        <v>18</v>
      </c>
      <c r="X286" s="37" t="s">
        <v>190</v>
      </c>
      <c r="Y286" s="37">
        <v>2400</v>
      </c>
      <c r="Z286" s="37" t="s">
        <v>22</v>
      </c>
      <c r="AA286" s="37">
        <v>79</v>
      </c>
      <c r="AB286" s="37">
        <v>9</v>
      </c>
      <c r="AC286" s="37">
        <v>2</v>
      </c>
      <c r="AD286" s="37" t="s">
        <v>874</v>
      </c>
      <c r="AE286" s="37">
        <v>1.3</v>
      </c>
      <c r="AF286" s="37" t="s">
        <v>875</v>
      </c>
    </row>
    <row r="287" spans="1:32" customFormat="1" x14ac:dyDescent="0.2">
      <c r="A287" s="37"/>
      <c r="B287" s="37" t="s">
        <v>166</v>
      </c>
      <c r="C287" s="37"/>
      <c r="D287" s="37"/>
      <c r="E287" s="37"/>
      <c r="F287" s="37"/>
      <c r="G287" s="37"/>
      <c r="H287" s="37" t="s">
        <v>32</v>
      </c>
      <c r="I287" s="37"/>
      <c r="J287" s="37" t="s">
        <v>17</v>
      </c>
      <c r="K287" s="37">
        <v>38.5</v>
      </c>
      <c r="L287" s="37">
        <v>196.29999999999998</v>
      </c>
      <c r="M287" s="37">
        <v>39.6</v>
      </c>
      <c r="N287" s="37">
        <v>274.39999999999998</v>
      </c>
      <c r="O287" s="37">
        <v>164.9</v>
      </c>
      <c r="P287" s="37"/>
      <c r="Q287" s="37">
        <v>439.29999999999995</v>
      </c>
      <c r="R287" s="37">
        <v>21898</v>
      </c>
      <c r="S287" s="37"/>
      <c r="T287" s="37"/>
      <c r="U287" s="37"/>
      <c r="V287" s="37"/>
      <c r="W287" s="37" t="s">
        <v>18</v>
      </c>
      <c r="X287" s="37"/>
      <c r="Y287" s="37"/>
      <c r="Z287" s="37" t="s">
        <v>22</v>
      </c>
      <c r="AA287" s="37">
        <v>79</v>
      </c>
      <c r="AB287" s="37">
        <v>9</v>
      </c>
      <c r="AC287" s="37">
        <v>2</v>
      </c>
      <c r="AD287" s="37" t="s">
        <v>874</v>
      </c>
      <c r="AE287" s="37">
        <v>1.3</v>
      </c>
      <c r="AF287" s="37" t="s">
        <v>876</v>
      </c>
    </row>
    <row r="288" spans="1:32" customFormat="1" x14ac:dyDescent="0.2">
      <c r="A288" s="37"/>
      <c r="B288" s="37" t="s">
        <v>166</v>
      </c>
      <c r="C288" s="37"/>
      <c r="D288" s="37"/>
      <c r="E288" s="37"/>
      <c r="F288" s="37"/>
      <c r="G288" s="37"/>
      <c r="H288" s="37">
        <v>45</v>
      </c>
      <c r="I288" s="37"/>
      <c r="J288" s="37" t="s">
        <v>15</v>
      </c>
      <c r="K288" s="37">
        <v>633.79999999999995</v>
      </c>
      <c r="L288" s="37">
        <v>714.9</v>
      </c>
      <c r="M288" s="37">
        <v>66.599999999999994</v>
      </c>
      <c r="N288" s="37">
        <v>1415.3000000000002</v>
      </c>
      <c r="O288" s="37">
        <v>683.6</v>
      </c>
      <c r="P288" s="37">
        <v>0</v>
      </c>
      <c r="Q288" s="37">
        <v>2098.9</v>
      </c>
      <c r="R288" s="37">
        <v>42782</v>
      </c>
      <c r="S288" s="37"/>
      <c r="T288" s="37"/>
      <c r="U288" s="37"/>
      <c r="V288" s="37"/>
      <c r="W288" s="37" t="s">
        <v>18</v>
      </c>
      <c r="X288" s="37"/>
      <c r="Y288" s="37"/>
      <c r="Z288" s="37" t="s">
        <v>22</v>
      </c>
      <c r="AA288" s="37">
        <v>79</v>
      </c>
      <c r="AB288" s="37">
        <v>9</v>
      </c>
      <c r="AC288" s="37">
        <v>2</v>
      </c>
      <c r="AD288" s="37" t="s">
        <v>874</v>
      </c>
      <c r="AE288" s="37">
        <v>1.3</v>
      </c>
      <c r="AF288" s="37" t="s">
        <v>877</v>
      </c>
    </row>
    <row r="289" spans="1:32" customFormat="1" x14ac:dyDescent="0.2">
      <c r="A289" s="37"/>
      <c r="B289" s="37">
        <v>75</v>
      </c>
      <c r="C289" s="37" t="s">
        <v>22</v>
      </c>
      <c r="D289" s="37">
        <v>79</v>
      </c>
      <c r="E289" s="37">
        <v>9</v>
      </c>
      <c r="F289" s="37">
        <v>3</v>
      </c>
      <c r="G289" s="37">
        <v>10</v>
      </c>
      <c r="H289" s="37" t="s">
        <v>56</v>
      </c>
      <c r="I289" s="37" t="s">
        <v>23</v>
      </c>
      <c r="J289" s="37" t="s">
        <v>18</v>
      </c>
      <c r="K289" s="37">
        <v>567</v>
      </c>
      <c r="L289" s="37">
        <v>497</v>
      </c>
      <c r="M289" s="37">
        <v>22</v>
      </c>
      <c r="N289" s="37">
        <v>1086</v>
      </c>
      <c r="O289" s="37">
        <v>566</v>
      </c>
      <c r="P289" s="37"/>
      <c r="Q289" s="37">
        <v>1652</v>
      </c>
      <c r="R289" s="37">
        <v>19943</v>
      </c>
      <c r="S289" s="37"/>
      <c r="T289" s="37" t="s">
        <v>181</v>
      </c>
      <c r="U289" s="37" t="s">
        <v>226</v>
      </c>
      <c r="V289" s="37">
        <v>45</v>
      </c>
      <c r="W289" s="37" t="s">
        <v>18</v>
      </c>
      <c r="X289" s="37" t="s">
        <v>190</v>
      </c>
      <c r="Y289" s="37">
        <v>2400</v>
      </c>
      <c r="Z289" s="37" t="s">
        <v>22</v>
      </c>
      <c r="AA289" s="37">
        <v>79</v>
      </c>
      <c r="AB289" s="37">
        <v>9</v>
      </c>
      <c r="AC289" s="37">
        <v>3</v>
      </c>
      <c r="AD289" s="37" t="s">
        <v>878</v>
      </c>
      <c r="AE289" s="37">
        <v>1.6</v>
      </c>
      <c r="AF289" s="37" t="s">
        <v>879</v>
      </c>
    </row>
    <row r="290" spans="1:32" customFormat="1" x14ac:dyDescent="0.2">
      <c r="A290" s="37"/>
      <c r="B290" s="37" t="s">
        <v>166</v>
      </c>
      <c r="C290" s="37"/>
      <c r="D290" s="37"/>
      <c r="E290" s="37"/>
      <c r="F290" s="37"/>
      <c r="G290" s="37"/>
      <c r="H290" s="37" t="s">
        <v>32</v>
      </c>
      <c r="I290" s="37"/>
      <c r="J290" s="37" t="s">
        <v>17</v>
      </c>
      <c r="K290" s="37">
        <v>48</v>
      </c>
      <c r="L290" s="37">
        <v>193</v>
      </c>
      <c r="M290" s="37">
        <v>24</v>
      </c>
      <c r="N290" s="37">
        <v>265</v>
      </c>
      <c r="O290" s="37">
        <v>179</v>
      </c>
      <c r="P290" s="37"/>
      <c r="Q290" s="37">
        <v>444</v>
      </c>
      <c r="R290" s="37">
        <v>22181</v>
      </c>
      <c r="S290" s="37"/>
      <c r="T290" s="37"/>
      <c r="U290" s="37"/>
      <c r="V290" s="37"/>
      <c r="W290" s="37" t="s">
        <v>18</v>
      </c>
      <c r="X290" s="37"/>
      <c r="Y290" s="37"/>
      <c r="Z290" s="37" t="s">
        <v>22</v>
      </c>
      <c r="AA290" s="37">
        <v>79</v>
      </c>
      <c r="AB290" s="37">
        <v>9</v>
      </c>
      <c r="AC290" s="37">
        <v>3</v>
      </c>
      <c r="AD290" s="37" t="s">
        <v>878</v>
      </c>
      <c r="AE290" s="37">
        <v>1.6</v>
      </c>
      <c r="AF290" s="37" t="s">
        <v>880</v>
      </c>
    </row>
    <row r="291" spans="1:32" customFormat="1" x14ac:dyDescent="0.2">
      <c r="A291" s="37"/>
      <c r="B291" s="37" t="s">
        <v>166</v>
      </c>
      <c r="C291" s="37"/>
      <c r="D291" s="37"/>
      <c r="E291" s="37"/>
      <c r="F291" s="37"/>
      <c r="G291" s="37"/>
      <c r="H291" s="37">
        <v>45</v>
      </c>
      <c r="I291" s="37"/>
      <c r="J291" s="37" t="s">
        <v>15</v>
      </c>
      <c r="K291" s="37">
        <v>615</v>
      </c>
      <c r="L291" s="37">
        <v>690</v>
      </c>
      <c r="M291" s="37">
        <v>46</v>
      </c>
      <c r="N291" s="37">
        <v>1351</v>
      </c>
      <c r="O291" s="37">
        <v>745</v>
      </c>
      <c r="P291" s="37">
        <v>0</v>
      </c>
      <c r="Q291" s="37">
        <v>2096</v>
      </c>
      <c r="R291" s="37">
        <v>42124</v>
      </c>
      <c r="S291" s="37"/>
      <c r="T291" s="37"/>
      <c r="U291" s="37"/>
      <c r="V291" s="37"/>
      <c r="W291" s="37" t="s">
        <v>18</v>
      </c>
      <c r="X291" s="37"/>
      <c r="Y291" s="37"/>
      <c r="Z291" s="37" t="s">
        <v>22</v>
      </c>
      <c r="AA291" s="37">
        <v>79</v>
      </c>
      <c r="AB291" s="37">
        <v>9</v>
      </c>
      <c r="AC291" s="37">
        <v>3</v>
      </c>
      <c r="AD291" s="37" t="s">
        <v>878</v>
      </c>
      <c r="AE291" s="37">
        <v>1.6</v>
      </c>
      <c r="AF291" s="37" t="s">
        <v>881</v>
      </c>
    </row>
    <row r="292" spans="1:32" customFormat="1" x14ac:dyDescent="0.2">
      <c r="A292" s="37"/>
      <c r="B292" s="37">
        <v>76</v>
      </c>
      <c r="C292" s="37" t="s">
        <v>22</v>
      </c>
      <c r="D292" s="37">
        <v>79</v>
      </c>
      <c r="E292" s="37">
        <v>9</v>
      </c>
      <c r="F292" s="37">
        <v>4</v>
      </c>
      <c r="G292" s="37">
        <v>10</v>
      </c>
      <c r="H292" s="37" t="s">
        <v>56</v>
      </c>
      <c r="I292" s="37" t="s">
        <v>23</v>
      </c>
      <c r="J292" s="37" t="s">
        <v>18</v>
      </c>
      <c r="K292" s="37">
        <v>511</v>
      </c>
      <c r="L292" s="37">
        <v>512</v>
      </c>
      <c r="M292" s="37">
        <v>26</v>
      </c>
      <c r="N292" s="37">
        <v>1049</v>
      </c>
      <c r="O292" s="37">
        <v>566</v>
      </c>
      <c r="P292" s="37"/>
      <c r="Q292" s="37">
        <v>1615</v>
      </c>
      <c r="R292" s="37">
        <v>19062</v>
      </c>
      <c r="S292" s="37"/>
      <c r="T292" s="37" t="s">
        <v>181</v>
      </c>
      <c r="U292" s="37" t="s">
        <v>226</v>
      </c>
      <c r="V292" s="37">
        <v>45</v>
      </c>
      <c r="W292" s="37" t="s">
        <v>18</v>
      </c>
      <c r="X292" s="37" t="s">
        <v>190</v>
      </c>
      <c r="Y292" s="37">
        <v>2400</v>
      </c>
      <c r="Z292" s="37" t="s">
        <v>22</v>
      </c>
      <c r="AA292" s="37">
        <v>79</v>
      </c>
      <c r="AB292" s="37">
        <v>9</v>
      </c>
      <c r="AC292" s="37">
        <v>4</v>
      </c>
      <c r="AD292" s="37" t="s">
        <v>882</v>
      </c>
      <c r="AE292" s="37">
        <v>2</v>
      </c>
      <c r="AF292" s="37" t="s">
        <v>883</v>
      </c>
    </row>
    <row r="293" spans="1:32" customFormat="1" x14ac:dyDescent="0.2">
      <c r="A293" s="37"/>
      <c r="B293" s="37" t="s">
        <v>166</v>
      </c>
      <c r="C293" s="37"/>
      <c r="D293" s="37"/>
      <c r="E293" s="37"/>
      <c r="F293" s="37"/>
      <c r="G293" s="37"/>
      <c r="H293" s="37" t="s">
        <v>32</v>
      </c>
      <c r="I293" s="37"/>
      <c r="J293" s="37" t="s">
        <v>17</v>
      </c>
      <c r="K293" s="37">
        <v>50</v>
      </c>
      <c r="L293" s="37">
        <v>189</v>
      </c>
      <c r="M293" s="37">
        <v>24</v>
      </c>
      <c r="N293" s="37">
        <v>263</v>
      </c>
      <c r="O293" s="37">
        <v>197</v>
      </c>
      <c r="P293" s="37"/>
      <c r="Q293" s="37">
        <v>460</v>
      </c>
      <c r="R293" s="37">
        <v>22204</v>
      </c>
      <c r="S293" s="37"/>
      <c r="T293" s="37"/>
      <c r="U293" s="37"/>
      <c r="V293" s="37"/>
      <c r="W293" s="37" t="s">
        <v>18</v>
      </c>
      <c r="X293" s="37"/>
      <c r="Y293" s="37"/>
      <c r="Z293" s="37" t="s">
        <v>22</v>
      </c>
      <c r="AA293" s="37">
        <v>79</v>
      </c>
      <c r="AB293" s="37">
        <v>9</v>
      </c>
      <c r="AC293" s="37">
        <v>4</v>
      </c>
      <c r="AD293" s="37" t="s">
        <v>882</v>
      </c>
      <c r="AE293" s="37">
        <v>2</v>
      </c>
      <c r="AF293" s="37" t="s">
        <v>884</v>
      </c>
    </row>
    <row r="294" spans="1:32" customFormat="1" x14ac:dyDescent="0.2">
      <c r="A294" s="37"/>
      <c r="B294" s="37" t="s">
        <v>166</v>
      </c>
      <c r="C294" s="37"/>
      <c r="D294" s="37"/>
      <c r="E294" s="37"/>
      <c r="F294" s="37"/>
      <c r="G294" s="37"/>
      <c r="H294" s="37">
        <v>45</v>
      </c>
      <c r="I294" s="37"/>
      <c r="J294" s="37" t="s">
        <v>15</v>
      </c>
      <c r="K294" s="37">
        <v>561</v>
      </c>
      <c r="L294" s="37">
        <v>701</v>
      </c>
      <c r="M294" s="37">
        <v>50</v>
      </c>
      <c r="N294" s="37">
        <v>1312</v>
      </c>
      <c r="O294" s="37">
        <v>763</v>
      </c>
      <c r="P294" s="37">
        <v>0</v>
      </c>
      <c r="Q294" s="37">
        <v>2075</v>
      </c>
      <c r="R294" s="37">
        <v>41266</v>
      </c>
      <c r="S294" s="37"/>
      <c r="T294" s="37"/>
      <c r="U294" s="37"/>
      <c r="V294" s="37"/>
      <c r="W294" s="37" t="s">
        <v>18</v>
      </c>
      <c r="X294" s="37"/>
      <c r="Y294" s="37"/>
      <c r="Z294" s="37" t="s">
        <v>22</v>
      </c>
      <c r="AA294" s="37">
        <v>79</v>
      </c>
      <c r="AB294" s="37">
        <v>9</v>
      </c>
      <c r="AC294" s="37">
        <v>4</v>
      </c>
      <c r="AD294" s="37" t="s">
        <v>882</v>
      </c>
      <c r="AE294" s="37">
        <v>2</v>
      </c>
      <c r="AF294" s="37" t="s">
        <v>885</v>
      </c>
    </row>
    <row r="295" spans="1:32" customFormat="1" x14ac:dyDescent="0.2">
      <c r="A295" s="37"/>
      <c r="B295" s="37">
        <v>77</v>
      </c>
      <c r="C295" s="37" t="s">
        <v>22</v>
      </c>
      <c r="D295" s="37">
        <v>92</v>
      </c>
      <c r="E295" s="37">
        <v>5</v>
      </c>
      <c r="F295" s="37">
        <v>1</v>
      </c>
      <c r="G295" s="37">
        <v>26.4</v>
      </c>
      <c r="H295" s="37" t="s">
        <v>56</v>
      </c>
      <c r="I295" s="37" t="s">
        <v>23</v>
      </c>
      <c r="J295" s="37" t="s">
        <v>18</v>
      </c>
      <c r="K295" s="37">
        <v>195</v>
      </c>
      <c r="L295" s="37">
        <v>411</v>
      </c>
      <c r="M295" s="37">
        <v>18</v>
      </c>
      <c r="N295" s="37">
        <v>624</v>
      </c>
      <c r="O295" s="37">
        <v>271</v>
      </c>
      <c r="P295" s="37"/>
      <c r="Q295" s="37">
        <v>895</v>
      </c>
      <c r="R295" s="37">
        <v>10740</v>
      </c>
      <c r="S295" s="37"/>
      <c r="T295" s="37" t="s">
        <v>181</v>
      </c>
      <c r="U295" s="37" t="s">
        <v>391</v>
      </c>
      <c r="V295" s="37">
        <v>70</v>
      </c>
      <c r="W295" s="37" t="s">
        <v>19</v>
      </c>
      <c r="X295" s="37" t="s">
        <v>190</v>
      </c>
      <c r="Y295" s="37">
        <v>4752</v>
      </c>
      <c r="Z295" s="37" t="s">
        <v>22</v>
      </c>
      <c r="AA295" s="37">
        <v>92</v>
      </c>
      <c r="AB295" s="37">
        <v>5</v>
      </c>
      <c r="AC295" s="37">
        <v>1</v>
      </c>
      <c r="AD295" s="37" t="s">
        <v>886</v>
      </c>
      <c r="AE295" s="37">
        <v>4.5</v>
      </c>
      <c r="AF295" s="37" t="s">
        <v>887</v>
      </c>
    </row>
    <row r="296" spans="1:32" customFormat="1" x14ac:dyDescent="0.2">
      <c r="A296" s="37"/>
      <c r="B296" s="37" t="s">
        <v>166</v>
      </c>
      <c r="C296" s="37"/>
      <c r="D296" s="37"/>
      <c r="E296" s="37"/>
      <c r="F296" s="37"/>
      <c r="G296" s="37"/>
      <c r="H296" s="37" t="s">
        <v>83</v>
      </c>
      <c r="I296" s="37"/>
      <c r="J296" s="37" t="s">
        <v>17</v>
      </c>
      <c r="K296" s="37">
        <v>103</v>
      </c>
      <c r="L296" s="37">
        <v>422</v>
      </c>
      <c r="M296" s="37">
        <v>102</v>
      </c>
      <c r="N296" s="37">
        <v>627</v>
      </c>
      <c r="O296" s="37">
        <v>278</v>
      </c>
      <c r="P296" s="37"/>
      <c r="Q296" s="37">
        <v>905</v>
      </c>
      <c r="R296" s="37">
        <v>49473</v>
      </c>
      <c r="S296" s="37"/>
      <c r="T296" s="37"/>
      <c r="U296" s="37"/>
      <c r="V296" s="37"/>
      <c r="W296" s="37" t="s">
        <v>19</v>
      </c>
      <c r="X296" s="37"/>
      <c r="Y296" s="37"/>
      <c r="Z296" s="37" t="s">
        <v>22</v>
      </c>
      <c r="AA296" s="37">
        <v>92</v>
      </c>
      <c r="AB296" s="37">
        <v>5</v>
      </c>
      <c r="AC296" s="37">
        <v>1</v>
      </c>
      <c r="AD296" s="37" t="s">
        <v>886</v>
      </c>
      <c r="AE296" s="37">
        <v>4.5</v>
      </c>
      <c r="AF296" s="37" t="s">
        <v>888</v>
      </c>
    </row>
    <row r="297" spans="1:32" customFormat="1" x14ac:dyDescent="0.2">
      <c r="A297" s="37"/>
      <c r="B297" s="37" t="s">
        <v>166</v>
      </c>
      <c r="C297" s="37"/>
      <c r="D297" s="37"/>
      <c r="E297" s="37"/>
      <c r="F297" s="37"/>
      <c r="G297" s="37"/>
      <c r="H297" s="37">
        <v>70</v>
      </c>
      <c r="I297" s="37"/>
      <c r="J297" s="37" t="s">
        <v>19</v>
      </c>
      <c r="K297" s="37">
        <v>206</v>
      </c>
      <c r="L297" s="37">
        <v>1047</v>
      </c>
      <c r="M297" s="37">
        <v>159</v>
      </c>
      <c r="N297" s="37">
        <v>1412</v>
      </c>
      <c r="O297" s="37">
        <v>955</v>
      </c>
      <c r="P297" s="37"/>
      <c r="Q297" s="37">
        <v>2367</v>
      </c>
      <c r="R297" s="37">
        <v>67346</v>
      </c>
      <c r="S297" s="37"/>
      <c r="T297" s="37"/>
      <c r="U297" s="37"/>
      <c r="V297" s="37"/>
      <c r="W297" s="37" t="s">
        <v>19</v>
      </c>
      <c r="X297" s="37"/>
      <c r="Y297" s="37"/>
      <c r="Z297" s="37" t="s">
        <v>22</v>
      </c>
      <c r="AA297" s="37">
        <v>92</v>
      </c>
      <c r="AB297" s="37">
        <v>5</v>
      </c>
      <c r="AC297" s="37">
        <v>1</v>
      </c>
      <c r="AD297" s="37" t="s">
        <v>886</v>
      </c>
      <c r="AE297" s="37">
        <v>4.5</v>
      </c>
      <c r="AF297" s="37" t="s">
        <v>889</v>
      </c>
    </row>
    <row r="298" spans="1:32" customFormat="1" x14ac:dyDescent="0.2">
      <c r="A298" s="37"/>
      <c r="B298" s="37" t="s">
        <v>166</v>
      </c>
      <c r="C298" s="37"/>
      <c r="D298" s="37"/>
      <c r="E298" s="37"/>
      <c r="F298" s="37"/>
      <c r="G298" s="37"/>
      <c r="H298" s="37"/>
      <c r="I298" s="37"/>
      <c r="J298" s="37" t="s">
        <v>15</v>
      </c>
      <c r="K298" s="37">
        <v>504</v>
      </c>
      <c r="L298" s="37">
        <v>1880</v>
      </c>
      <c r="M298" s="37">
        <v>279</v>
      </c>
      <c r="N298" s="37">
        <v>2663</v>
      </c>
      <c r="O298" s="37">
        <v>1504</v>
      </c>
      <c r="P298" s="37">
        <v>0</v>
      </c>
      <c r="Q298" s="37">
        <v>4167</v>
      </c>
      <c r="R298" s="37">
        <v>127559</v>
      </c>
      <c r="S298" s="37"/>
      <c r="T298" s="37"/>
      <c r="U298" s="37"/>
      <c r="V298" s="37"/>
      <c r="W298" s="37" t="s">
        <v>19</v>
      </c>
      <c r="X298" s="37"/>
      <c r="Y298" s="37"/>
      <c r="Z298" s="37" t="s">
        <v>22</v>
      </c>
      <c r="AA298" s="37">
        <v>92</v>
      </c>
      <c r="AB298" s="37">
        <v>5</v>
      </c>
      <c r="AC298" s="37">
        <v>1</v>
      </c>
      <c r="AD298" s="37" t="s">
        <v>886</v>
      </c>
      <c r="AE298" s="37">
        <v>4.5</v>
      </c>
      <c r="AF298" s="37" t="s">
        <v>890</v>
      </c>
    </row>
    <row r="299" spans="1:32" customFormat="1" x14ac:dyDescent="0.2">
      <c r="A299" s="37"/>
      <c r="B299" s="37">
        <v>78</v>
      </c>
      <c r="C299" s="37" t="s">
        <v>22</v>
      </c>
      <c r="D299" s="37">
        <v>80</v>
      </c>
      <c r="E299" s="37">
        <v>1</v>
      </c>
      <c r="F299" s="37">
        <v>1</v>
      </c>
      <c r="G299" s="37">
        <v>5.7</v>
      </c>
      <c r="H299" s="37" t="s">
        <v>56</v>
      </c>
      <c r="I299" s="37" t="s">
        <v>23</v>
      </c>
      <c r="J299" s="37" t="s">
        <v>18</v>
      </c>
      <c r="K299" s="37">
        <v>163</v>
      </c>
      <c r="L299" s="37">
        <v>229</v>
      </c>
      <c r="M299" s="37">
        <v>12</v>
      </c>
      <c r="N299" s="37">
        <v>404</v>
      </c>
      <c r="O299" s="37">
        <v>220</v>
      </c>
      <c r="P299" s="37"/>
      <c r="Q299" s="37">
        <v>624</v>
      </c>
      <c r="R299" s="37">
        <v>7150</v>
      </c>
      <c r="S299" s="37"/>
      <c r="T299" s="37"/>
      <c r="U299" s="37"/>
      <c r="V299" s="37"/>
      <c r="W299" s="37"/>
      <c r="X299" s="37"/>
      <c r="Y299" s="37"/>
      <c r="Z299" s="37"/>
      <c r="AA299" s="37"/>
      <c r="AB299" s="37"/>
      <c r="AC299" s="37"/>
      <c r="AD299" s="37"/>
      <c r="AE299" s="37"/>
      <c r="AF299" s="37"/>
    </row>
    <row r="300" spans="1:32" customFormat="1" x14ac:dyDescent="0.2">
      <c r="A300" s="37"/>
      <c r="B300" s="37" t="s">
        <v>166</v>
      </c>
      <c r="C300" s="37"/>
      <c r="D300" s="37"/>
      <c r="E300" s="37"/>
      <c r="F300" s="37"/>
      <c r="G300" s="37"/>
      <c r="H300" s="37" t="s">
        <v>34</v>
      </c>
      <c r="I300" s="37"/>
      <c r="J300" s="37" t="s">
        <v>17</v>
      </c>
      <c r="K300" s="37">
        <v>28</v>
      </c>
      <c r="L300" s="37">
        <v>115</v>
      </c>
      <c r="M300" s="37">
        <v>19</v>
      </c>
      <c r="N300" s="37">
        <v>162</v>
      </c>
      <c r="O300" s="37">
        <v>102</v>
      </c>
      <c r="P300" s="37"/>
      <c r="Q300" s="37">
        <v>264</v>
      </c>
      <c r="R300" s="37">
        <v>13275</v>
      </c>
      <c r="S300" s="37"/>
      <c r="T300" s="37"/>
      <c r="U300" s="37"/>
      <c r="V300" s="37"/>
      <c r="W300" s="37"/>
      <c r="X300" s="37"/>
      <c r="Y300" s="37"/>
      <c r="Z300" s="37"/>
      <c r="AA300" s="37"/>
      <c r="AB300" s="37"/>
      <c r="AC300" s="37"/>
      <c r="AD300" s="37"/>
      <c r="AE300" s="37"/>
      <c r="AF300" s="37"/>
    </row>
    <row r="301" spans="1:32" customFormat="1" x14ac:dyDescent="0.2">
      <c r="A301" s="37"/>
      <c r="B301" s="37" t="s">
        <v>166</v>
      </c>
      <c r="C301" s="37"/>
      <c r="D301" s="37"/>
      <c r="E301" s="37"/>
      <c r="F301" s="37"/>
      <c r="G301" s="37"/>
      <c r="H301" s="37">
        <v>45</v>
      </c>
      <c r="I301" s="37"/>
      <c r="J301" s="37" t="s">
        <v>15</v>
      </c>
      <c r="K301" s="37">
        <v>191</v>
      </c>
      <c r="L301" s="37">
        <v>344</v>
      </c>
      <c r="M301" s="37">
        <v>31</v>
      </c>
      <c r="N301" s="37">
        <v>566</v>
      </c>
      <c r="O301" s="37">
        <v>322</v>
      </c>
      <c r="P301" s="37">
        <v>0</v>
      </c>
      <c r="Q301" s="37">
        <v>888</v>
      </c>
      <c r="R301" s="37">
        <v>20425</v>
      </c>
      <c r="S301" s="37"/>
      <c r="T301" s="37"/>
      <c r="U301" s="37"/>
      <c r="V301" s="37"/>
      <c r="W301" s="37"/>
      <c r="X301" s="37"/>
      <c r="Y301" s="37"/>
      <c r="Z301" s="37"/>
      <c r="AA301" s="37"/>
      <c r="AB301" s="37"/>
      <c r="AC301" s="37"/>
      <c r="AD301" s="37"/>
      <c r="AE301" s="37"/>
      <c r="AF301" s="37"/>
    </row>
    <row r="302" spans="1:32" customFormat="1" x14ac:dyDescent="0.2">
      <c r="A302" s="37"/>
      <c r="B302" s="37">
        <v>79</v>
      </c>
      <c r="C302" s="37" t="s">
        <v>27</v>
      </c>
      <c r="D302" s="37">
        <v>4</v>
      </c>
      <c r="E302" s="37">
        <v>2</v>
      </c>
      <c r="F302" s="37">
        <v>1</v>
      </c>
      <c r="G302" s="37">
        <v>10</v>
      </c>
      <c r="H302" s="37" t="s">
        <v>56</v>
      </c>
      <c r="I302" s="37" t="s">
        <v>23</v>
      </c>
      <c r="J302" s="37" t="s">
        <v>18</v>
      </c>
      <c r="K302" s="37">
        <v>502</v>
      </c>
      <c r="L302" s="37">
        <v>248</v>
      </c>
      <c r="M302" s="37">
        <v>0</v>
      </c>
      <c r="N302" s="37">
        <v>750</v>
      </c>
      <c r="O302" s="37">
        <v>515</v>
      </c>
      <c r="P302" s="37"/>
      <c r="Q302" s="37">
        <v>1265</v>
      </c>
      <c r="R302" s="37">
        <v>14501</v>
      </c>
      <c r="S302" s="37"/>
      <c r="T302" s="37" t="s">
        <v>181</v>
      </c>
      <c r="U302" s="37" t="s">
        <v>221</v>
      </c>
      <c r="V302" s="37">
        <v>45</v>
      </c>
      <c r="W302" s="37" t="s">
        <v>18</v>
      </c>
      <c r="X302" s="37" t="s">
        <v>190</v>
      </c>
      <c r="Y302" s="37">
        <v>2600</v>
      </c>
      <c r="Z302" s="37" t="s">
        <v>27</v>
      </c>
      <c r="AA302" s="37">
        <v>4</v>
      </c>
      <c r="AB302" s="37">
        <v>2</v>
      </c>
      <c r="AC302" s="37">
        <v>1</v>
      </c>
      <c r="AD302" s="37" t="s">
        <v>891</v>
      </c>
      <c r="AE302" s="37">
        <v>1.3</v>
      </c>
      <c r="AF302" s="37" t="s">
        <v>892</v>
      </c>
    </row>
    <row r="303" spans="1:32" customFormat="1" x14ac:dyDescent="0.2">
      <c r="A303" s="37"/>
      <c r="B303" s="37" t="s">
        <v>166</v>
      </c>
      <c r="C303" s="37"/>
      <c r="D303" s="37"/>
      <c r="E303" s="37"/>
      <c r="F303" s="37"/>
      <c r="G303" s="37"/>
      <c r="H303" s="37" t="s">
        <v>53</v>
      </c>
      <c r="I303" s="37"/>
      <c r="J303" s="37" t="s">
        <v>17</v>
      </c>
      <c r="K303" s="37">
        <v>24</v>
      </c>
      <c r="L303" s="37">
        <v>54</v>
      </c>
      <c r="M303" s="37">
        <v>4</v>
      </c>
      <c r="N303" s="37">
        <v>82</v>
      </c>
      <c r="O303" s="37">
        <v>277</v>
      </c>
      <c r="P303" s="37"/>
      <c r="Q303" s="37">
        <v>359</v>
      </c>
      <c r="R303" s="37">
        <v>8698</v>
      </c>
      <c r="S303" s="37"/>
      <c r="T303" s="37"/>
      <c r="U303" s="37"/>
      <c r="V303" s="37"/>
      <c r="W303" s="37" t="s">
        <v>18</v>
      </c>
      <c r="X303" s="37"/>
      <c r="Y303" s="37"/>
      <c r="Z303" s="37" t="s">
        <v>27</v>
      </c>
      <c r="AA303" s="37">
        <v>4</v>
      </c>
      <c r="AB303" s="37">
        <v>2</v>
      </c>
      <c r="AC303" s="37">
        <v>1</v>
      </c>
      <c r="AD303" s="37" t="s">
        <v>891</v>
      </c>
      <c r="AE303" s="37">
        <v>1.3</v>
      </c>
      <c r="AF303" s="37" t="s">
        <v>893</v>
      </c>
    </row>
    <row r="304" spans="1:32" customFormat="1" x14ac:dyDescent="0.2">
      <c r="A304" s="37"/>
      <c r="B304" s="37" t="s">
        <v>166</v>
      </c>
      <c r="C304" s="37"/>
      <c r="D304" s="37"/>
      <c r="E304" s="37"/>
      <c r="F304" s="37"/>
      <c r="G304" s="37"/>
      <c r="H304" s="37">
        <v>45</v>
      </c>
      <c r="I304" s="37"/>
      <c r="J304" s="37" t="s">
        <v>15</v>
      </c>
      <c r="K304" s="37">
        <v>526</v>
      </c>
      <c r="L304" s="37">
        <v>302</v>
      </c>
      <c r="M304" s="37">
        <v>4</v>
      </c>
      <c r="N304" s="37">
        <v>832</v>
      </c>
      <c r="O304" s="37">
        <v>792</v>
      </c>
      <c r="P304" s="37">
        <v>0</v>
      </c>
      <c r="Q304" s="37">
        <v>1624</v>
      </c>
      <c r="R304" s="37">
        <v>23199</v>
      </c>
      <c r="S304" s="37"/>
      <c r="T304" s="37"/>
      <c r="U304" s="37"/>
      <c r="V304" s="37"/>
      <c r="W304" s="37" t="s">
        <v>18</v>
      </c>
      <c r="X304" s="37"/>
      <c r="Y304" s="37"/>
      <c r="Z304" s="37" t="s">
        <v>27</v>
      </c>
      <c r="AA304" s="37">
        <v>4</v>
      </c>
      <c r="AB304" s="37">
        <v>2</v>
      </c>
      <c r="AC304" s="37">
        <v>1</v>
      </c>
      <c r="AD304" s="37" t="s">
        <v>891</v>
      </c>
      <c r="AE304" s="37">
        <v>1.3</v>
      </c>
      <c r="AF304" s="37" t="s">
        <v>894</v>
      </c>
    </row>
    <row r="305" spans="1:32" customFormat="1" x14ac:dyDescent="0.2">
      <c r="A305" s="37"/>
      <c r="B305" s="37">
        <v>80</v>
      </c>
      <c r="C305" s="37" t="s">
        <v>27</v>
      </c>
      <c r="D305" s="37">
        <v>6</v>
      </c>
      <c r="E305" s="37">
        <v>4</v>
      </c>
      <c r="F305" s="37">
        <v>1</v>
      </c>
      <c r="G305" s="37">
        <v>10</v>
      </c>
      <c r="H305" s="37" t="s">
        <v>56</v>
      </c>
      <c r="I305" s="37" t="s">
        <v>23</v>
      </c>
      <c r="J305" s="37" t="s">
        <v>18</v>
      </c>
      <c r="K305" s="37">
        <v>249</v>
      </c>
      <c r="L305" s="37">
        <v>178</v>
      </c>
      <c r="M305" s="37">
        <v>6</v>
      </c>
      <c r="N305" s="37">
        <v>433</v>
      </c>
      <c r="O305" s="37">
        <v>815</v>
      </c>
      <c r="P305" s="37"/>
      <c r="Q305" s="37">
        <v>1248</v>
      </c>
      <c r="R305" s="37">
        <v>8386</v>
      </c>
      <c r="S305" s="37"/>
      <c r="T305" s="37" t="s">
        <v>181</v>
      </c>
      <c r="U305" s="37" t="s">
        <v>214</v>
      </c>
      <c r="V305" s="37">
        <v>45</v>
      </c>
      <c r="W305" s="37" t="s">
        <v>18</v>
      </c>
      <c r="X305" s="37" t="s">
        <v>190</v>
      </c>
      <c r="Y305" s="37">
        <v>2300</v>
      </c>
      <c r="Z305" s="37" t="s">
        <v>27</v>
      </c>
      <c r="AA305" s="37">
        <v>6</v>
      </c>
      <c r="AB305" s="37">
        <v>4</v>
      </c>
      <c r="AC305" s="37">
        <v>1</v>
      </c>
      <c r="AD305" s="37" t="s">
        <v>895</v>
      </c>
      <c r="AE305" s="37">
        <v>1.5</v>
      </c>
      <c r="AF305" s="37" t="s">
        <v>896</v>
      </c>
    </row>
    <row r="306" spans="1:32" customFormat="1" x14ac:dyDescent="0.2">
      <c r="A306" s="37"/>
      <c r="B306" s="37" t="s">
        <v>166</v>
      </c>
      <c r="C306" s="37"/>
      <c r="D306" s="37"/>
      <c r="E306" s="37"/>
      <c r="F306" s="37"/>
      <c r="G306" s="37"/>
      <c r="H306" s="37" t="s">
        <v>70</v>
      </c>
      <c r="I306" s="37"/>
      <c r="J306" s="37" t="s">
        <v>17</v>
      </c>
      <c r="K306" s="37">
        <v>33</v>
      </c>
      <c r="L306" s="37">
        <v>121</v>
      </c>
      <c r="M306" s="37">
        <v>6</v>
      </c>
      <c r="N306" s="37">
        <v>160</v>
      </c>
      <c r="O306" s="37">
        <v>243</v>
      </c>
      <c r="P306" s="37"/>
      <c r="Q306" s="37">
        <v>403</v>
      </c>
      <c r="R306" s="37">
        <v>14628</v>
      </c>
      <c r="S306" s="37"/>
      <c r="T306" s="37"/>
      <c r="U306" s="37"/>
      <c r="V306" s="37"/>
      <c r="W306" s="37" t="s">
        <v>18</v>
      </c>
      <c r="X306" s="37"/>
      <c r="Y306" s="37"/>
      <c r="Z306" s="37" t="s">
        <v>27</v>
      </c>
      <c r="AA306" s="37">
        <v>6</v>
      </c>
      <c r="AB306" s="37">
        <v>4</v>
      </c>
      <c r="AC306" s="37">
        <v>1</v>
      </c>
      <c r="AD306" s="37" t="s">
        <v>895</v>
      </c>
      <c r="AE306" s="37">
        <v>1.5</v>
      </c>
      <c r="AF306" s="37" t="s">
        <v>897</v>
      </c>
    </row>
    <row r="307" spans="1:32" customFormat="1" x14ac:dyDescent="0.2">
      <c r="A307" s="37"/>
      <c r="B307" s="37" t="s">
        <v>166</v>
      </c>
      <c r="C307" s="37"/>
      <c r="D307" s="37"/>
      <c r="E307" s="37"/>
      <c r="F307" s="37"/>
      <c r="G307" s="37"/>
      <c r="H307" s="37">
        <v>45</v>
      </c>
      <c r="I307" s="37"/>
      <c r="J307" s="37" t="s">
        <v>19</v>
      </c>
      <c r="K307" s="37">
        <v>1</v>
      </c>
      <c r="L307" s="37">
        <v>7</v>
      </c>
      <c r="M307" s="37">
        <v>1</v>
      </c>
      <c r="N307" s="37">
        <v>9</v>
      </c>
      <c r="O307" s="37">
        <v>16</v>
      </c>
      <c r="P307" s="37"/>
      <c r="Q307" s="37">
        <v>25</v>
      </c>
      <c r="R307" s="37">
        <v>448</v>
      </c>
      <c r="S307" s="37"/>
      <c r="T307" s="37"/>
      <c r="U307" s="37"/>
      <c r="V307" s="37"/>
      <c r="W307" s="37" t="s">
        <v>18</v>
      </c>
      <c r="X307" s="37"/>
      <c r="Y307" s="37"/>
      <c r="Z307" s="37" t="s">
        <v>27</v>
      </c>
      <c r="AA307" s="37">
        <v>6</v>
      </c>
      <c r="AB307" s="37">
        <v>4</v>
      </c>
      <c r="AC307" s="37">
        <v>1</v>
      </c>
      <c r="AD307" s="37" t="s">
        <v>895</v>
      </c>
      <c r="AE307" s="37">
        <v>1.5</v>
      </c>
      <c r="AF307" s="37" t="s">
        <v>898</v>
      </c>
    </row>
    <row r="308" spans="1:32" customFormat="1" x14ac:dyDescent="0.2">
      <c r="A308" s="37"/>
      <c r="B308" s="37" t="s">
        <v>166</v>
      </c>
      <c r="C308" s="37"/>
      <c r="D308" s="37"/>
      <c r="E308" s="37"/>
      <c r="F308" s="37"/>
      <c r="G308" s="37"/>
      <c r="H308" s="37"/>
      <c r="I308" s="37"/>
      <c r="J308" s="37" t="s">
        <v>15</v>
      </c>
      <c r="K308" s="37">
        <v>283</v>
      </c>
      <c r="L308" s="37">
        <v>306</v>
      </c>
      <c r="M308" s="37">
        <v>13</v>
      </c>
      <c r="N308" s="37">
        <v>602</v>
      </c>
      <c r="O308" s="37">
        <v>1074</v>
      </c>
      <c r="P308" s="37">
        <v>0</v>
      </c>
      <c r="Q308" s="37">
        <v>1676</v>
      </c>
      <c r="R308" s="37">
        <v>23462</v>
      </c>
      <c r="S308" s="37"/>
      <c r="T308" s="37"/>
      <c r="U308" s="37"/>
      <c r="V308" s="37"/>
      <c r="W308" s="37" t="s">
        <v>18</v>
      </c>
      <c r="X308" s="37"/>
      <c r="Y308" s="37"/>
      <c r="Z308" s="37" t="s">
        <v>27</v>
      </c>
      <c r="AA308" s="37">
        <v>6</v>
      </c>
      <c r="AB308" s="37">
        <v>4</v>
      </c>
      <c r="AC308" s="37">
        <v>1</v>
      </c>
      <c r="AD308" s="37" t="s">
        <v>895</v>
      </c>
      <c r="AE308" s="37">
        <v>1.5</v>
      </c>
      <c r="AF308" s="37" t="s">
        <v>899</v>
      </c>
    </row>
    <row r="309" spans="1:32" customFormat="1" x14ac:dyDescent="0.2">
      <c r="A309" s="37"/>
      <c r="B309" s="37">
        <v>81</v>
      </c>
      <c r="C309" s="37" t="s">
        <v>27</v>
      </c>
      <c r="D309" s="37">
        <v>6</v>
      </c>
      <c r="E309" s="37">
        <v>6</v>
      </c>
      <c r="F309" s="37">
        <v>1</v>
      </c>
      <c r="G309" s="37">
        <v>10</v>
      </c>
      <c r="H309" s="37" t="s">
        <v>56</v>
      </c>
      <c r="I309" s="37" t="s">
        <v>23</v>
      </c>
      <c r="J309" s="37" t="s">
        <v>18</v>
      </c>
      <c r="K309" s="37">
        <v>370</v>
      </c>
      <c r="L309" s="37">
        <v>182</v>
      </c>
      <c r="M309" s="37">
        <v>13</v>
      </c>
      <c r="N309" s="37">
        <v>565</v>
      </c>
      <c r="O309" s="37">
        <v>798</v>
      </c>
      <c r="P309" s="37"/>
      <c r="Q309" s="37">
        <v>1363</v>
      </c>
      <c r="R309" s="37">
        <v>10995</v>
      </c>
      <c r="S309" s="37"/>
      <c r="T309" s="37" t="s">
        <v>181</v>
      </c>
      <c r="U309" s="37" t="s">
        <v>353</v>
      </c>
      <c r="V309" s="37">
        <v>45</v>
      </c>
      <c r="W309" s="37" t="s">
        <v>18</v>
      </c>
      <c r="X309" s="37" t="s">
        <v>190</v>
      </c>
      <c r="Y309" s="37">
        <v>2200</v>
      </c>
      <c r="Z309" s="37" t="s">
        <v>27</v>
      </c>
      <c r="AA309" s="37">
        <v>6</v>
      </c>
      <c r="AB309" s="37">
        <v>6</v>
      </c>
      <c r="AC309" s="37">
        <v>1</v>
      </c>
      <c r="AD309" s="37" t="s">
        <v>900</v>
      </c>
      <c r="AE309" s="37">
        <v>1.2</v>
      </c>
      <c r="AF309" s="37" t="s">
        <v>901</v>
      </c>
    </row>
    <row r="310" spans="1:32" customFormat="1" x14ac:dyDescent="0.2">
      <c r="A310" s="37"/>
      <c r="B310" s="37" t="s">
        <v>166</v>
      </c>
      <c r="C310" s="37"/>
      <c r="D310" s="37"/>
      <c r="E310" s="37"/>
      <c r="F310" s="37"/>
      <c r="G310" s="37"/>
      <c r="H310" s="37" t="s">
        <v>71</v>
      </c>
      <c r="I310" s="37"/>
      <c r="J310" s="37" t="s">
        <v>17</v>
      </c>
      <c r="K310" s="37">
        <v>19</v>
      </c>
      <c r="L310" s="37">
        <v>30</v>
      </c>
      <c r="M310" s="37">
        <v>3</v>
      </c>
      <c r="N310" s="37">
        <v>52</v>
      </c>
      <c r="O310" s="37">
        <v>122</v>
      </c>
      <c r="P310" s="37"/>
      <c r="Q310" s="37">
        <v>174</v>
      </c>
      <c r="R310" s="37">
        <v>5287</v>
      </c>
      <c r="S310" s="37"/>
      <c r="T310" s="37"/>
      <c r="U310" s="37"/>
      <c r="V310" s="37"/>
      <c r="W310" s="37" t="s">
        <v>18</v>
      </c>
      <c r="X310" s="37"/>
      <c r="Y310" s="37"/>
      <c r="Z310" s="37" t="s">
        <v>27</v>
      </c>
      <c r="AA310" s="37">
        <v>6</v>
      </c>
      <c r="AB310" s="37">
        <v>6</v>
      </c>
      <c r="AC310" s="37">
        <v>1</v>
      </c>
      <c r="AD310" s="37" t="s">
        <v>900</v>
      </c>
      <c r="AE310" s="37">
        <v>1.2</v>
      </c>
      <c r="AF310" s="37" t="s">
        <v>902</v>
      </c>
    </row>
    <row r="311" spans="1:32" customFormat="1" x14ac:dyDescent="0.2">
      <c r="A311" s="37"/>
      <c r="B311" s="37" t="s">
        <v>166</v>
      </c>
      <c r="C311" s="37"/>
      <c r="D311" s="37"/>
      <c r="E311" s="37"/>
      <c r="F311" s="37"/>
      <c r="G311" s="37"/>
      <c r="H311" s="37">
        <v>45</v>
      </c>
      <c r="I311" s="37"/>
      <c r="J311" s="37" t="s">
        <v>19</v>
      </c>
      <c r="K311" s="37">
        <v>1</v>
      </c>
      <c r="L311" s="37">
        <v>29</v>
      </c>
      <c r="M311" s="37">
        <v>5</v>
      </c>
      <c r="N311" s="37">
        <v>35</v>
      </c>
      <c r="O311" s="37">
        <v>52</v>
      </c>
      <c r="P311" s="37"/>
      <c r="Q311" s="37">
        <v>87</v>
      </c>
      <c r="R311" s="37">
        <v>1592</v>
      </c>
      <c r="S311" s="37"/>
      <c r="T311" s="37"/>
      <c r="U311" s="37"/>
      <c r="V311" s="37"/>
      <c r="W311" s="37" t="s">
        <v>18</v>
      </c>
      <c r="X311" s="37"/>
      <c r="Y311" s="37"/>
      <c r="Z311" s="37" t="s">
        <v>27</v>
      </c>
      <c r="AA311" s="37">
        <v>6</v>
      </c>
      <c r="AB311" s="37">
        <v>6</v>
      </c>
      <c r="AC311" s="37">
        <v>1</v>
      </c>
      <c r="AD311" s="37" t="s">
        <v>900</v>
      </c>
      <c r="AE311" s="37">
        <v>1.2</v>
      </c>
      <c r="AF311" s="37" t="s">
        <v>903</v>
      </c>
    </row>
    <row r="312" spans="1:32" customFormat="1" x14ac:dyDescent="0.2">
      <c r="A312" s="37"/>
      <c r="B312" s="37" t="s">
        <v>166</v>
      </c>
      <c r="C312" s="37"/>
      <c r="D312" s="37"/>
      <c r="E312" s="37"/>
      <c r="F312" s="37"/>
      <c r="G312" s="37"/>
      <c r="H312" s="37"/>
      <c r="I312" s="37"/>
      <c r="J312" s="37" t="s">
        <v>15</v>
      </c>
      <c r="K312" s="37">
        <v>390</v>
      </c>
      <c r="L312" s="37">
        <v>241</v>
      </c>
      <c r="M312" s="37">
        <v>21</v>
      </c>
      <c r="N312" s="37">
        <v>652</v>
      </c>
      <c r="O312" s="37">
        <v>972</v>
      </c>
      <c r="P312" s="37">
        <v>0</v>
      </c>
      <c r="Q312" s="37">
        <v>1624</v>
      </c>
      <c r="R312" s="37">
        <v>17874</v>
      </c>
      <c r="S312" s="37"/>
      <c r="T312" s="37"/>
      <c r="U312" s="37"/>
      <c r="V312" s="37"/>
      <c r="W312" s="37" t="s">
        <v>18</v>
      </c>
      <c r="X312" s="37"/>
      <c r="Y312" s="37"/>
      <c r="Z312" s="37" t="s">
        <v>27</v>
      </c>
      <c r="AA312" s="37">
        <v>6</v>
      </c>
      <c r="AB312" s="37">
        <v>6</v>
      </c>
      <c r="AC312" s="37">
        <v>1</v>
      </c>
      <c r="AD312" s="37" t="s">
        <v>900</v>
      </c>
      <c r="AE312" s="37">
        <v>1.2</v>
      </c>
      <c r="AF312" s="37" t="s">
        <v>904</v>
      </c>
    </row>
    <row r="313" spans="1:32" customFormat="1" x14ac:dyDescent="0.2">
      <c r="A313" s="37"/>
      <c r="B313" s="37">
        <v>82</v>
      </c>
      <c r="C313" s="37" t="s">
        <v>27</v>
      </c>
      <c r="D313" s="37">
        <v>6</v>
      </c>
      <c r="E313" s="37">
        <v>9</v>
      </c>
      <c r="F313" s="37">
        <v>1</v>
      </c>
      <c r="G313" s="37">
        <v>5</v>
      </c>
      <c r="H313" s="37" t="s">
        <v>56</v>
      </c>
      <c r="I313" s="37" t="s">
        <v>23</v>
      </c>
      <c r="J313" s="37" t="s">
        <v>18</v>
      </c>
      <c r="K313" s="37">
        <v>280.45</v>
      </c>
      <c r="L313" s="37">
        <v>106.8</v>
      </c>
      <c r="M313" s="37">
        <v>3.3</v>
      </c>
      <c r="N313" s="37">
        <v>390.55</v>
      </c>
      <c r="O313" s="37">
        <v>164.65</v>
      </c>
      <c r="P313" s="37"/>
      <c r="Q313" s="37">
        <v>555.20000000000005</v>
      </c>
      <c r="R313" s="37">
        <v>7563</v>
      </c>
      <c r="S313" s="37"/>
      <c r="T313" s="37" t="s">
        <v>181</v>
      </c>
      <c r="U313" s="37" t="s">
        <v>214</v>
      </c>
      <c r="V313" s="37">
        <v>45</v>
      </c>
      <c r="W313" s="37" t="s">
        <v>18</v>
      </c>
      <c r="X313" s="37" t="s">
        <v>190</v>
      </c>
      <c r="Y313" s="37">
        <v>1150</v>
      </c>
      <c r="Z313" s="37" t="s">
        <v>27</v>
      </c>
      <c r="AA313" s="37">
        <v>6</v>
      </c>
      <c r="AB313" s="37">
        <v>9</v>
      </c>
      <c r="AC313" s="37">
        <v>1</v>
      </c>
      <c r="AD313" s="37" t="s">
        <v>905</v>
      </c>
      <c r="AE313" s="37">
        <v>0.8</v>
      </c>
      <c r="AF313" s="37" t="s">
        <v>906</v>
      </c>
    </row>
    <row r="314" spans="1:32" customFormat="1" x14ac:dyDescent="0.2">
      <c r="A314" s="37"/>
      <c r="B314" s="37" t="s">
        <v>166</v>
      </c>
      <c r="C314" s="37"/>
      <c r="D314" s="37"/>
      <c r="E314" s="37"/>
      <c r="F314" s="37"/>
      <c r="G314" s="37"/>
      <c r="H314" s="37" t="s">
        <v>70</v>
      </c>
      <c r="I314" s="37"/>
      <c r="J314" s="37" t="s">
        <v>17</v>
      </c>
      <c r="K314" s="37">
        <v>28.25</v>
      </c>
      <c r="L314" s="37">
        <v>54.399999999999991</v>
      </c>
      <c r="M314" s="37">
        <v>4.05</v>
      </c>
      <c r="N314" s="37">
        <v>86.699999999999989</v>
      </c>
      <c r="O314" s="37">
        <v>60.05</v>
      </c>
      <c r="P314" s="37"/>
      <c r="Q314" s="37">
        <v>146.75</v>
      </c>
      <c r="R314" s="37">
        <v>7792</v>
      </c>
      <c r="S314" s="37"/>
      <c r="T314" s="37"/>
      <c r="U314" s="37"/>
      <c r="V314" s="37"/>
      <c r="W314" s="37" t="s">
        <v>18</v>
      </c>
      <c r="X314" s="37"/>
      <c r="Y314" s="37"/>
      <c r="Z314" s="37" t="s">
        <v>27</v>
      </c>
      <c r="AA314" s="37">
        <v>6</v>
      </c>
      <c r="AB314" s="37">
        <v>9</v>
      </c>
      <c r="AC314" s="37">
        <v>1</v>
      </c>
      <c r="AD314" s="37" t="s">
        <v>905</v>
      </c>
      <c r="AE314" s="37">
        <v>0.8</v>
      </c>
      <c r="AF314" s="37" t="s">
        <v>907</v>
      </c>
    </row>
    <row r="315" spans="1:32" customFormat="1" x14ac:dyDescent="0.2">
      <c r="A315" s="37"/>
      <c r="B315" s="37" t="s">
        <v>166</v>
      </c>
      <c r="C315" s="37"/>
      <c r="D315" s="37"/>
      <c r="E315" s="37"/>
      <c r="F315" s="37"/>
      <c r="G315" s="37"/>
      <c r="H315" s="37">
        <v>45</v>
      </c>
      <c r="I315" s="37"/>
      <c r="J315" s="37" t="s">
        <v>19</v>
      </c>
      <c r="K315" s="37">
        <v>4.7949999999999999</v>
      </c>
      <c r="L315" s="37">
        <v>34.335000000000008</v>
      </c>
      <c r="M315" s="37">
        <v>4.9399999999999995</v>
      </c>
      <c r="N315" s="37">
        <v>44.070000000000007</v>
      </c>
      <c r="O315" s="37">
        <v>54.540000000000006</v>
      </c>
      <c r="P315" s="37"/>
      <c r="Q315" s="37">
        <v>98.610000000000014</v>
      </c>
      <c r="R315" s="37">
        <v>2105</v>
      </c>
      <c r="S315" s="37"/>
      <c r="T315" s="37"/>
      <c r="U315" s="37"/>
      <c r="V315" s="37"/>
      <c r="W315" s="37" t="s">
        <v>18</v>
      </c>
      <c r="X315" s="37"/>
      <c r="Y315" s="37"/>
      <c r="Z315" s="37" t="s">
        <v>27</v>
      </c>
      <c r="AA315" s="37">
        <v>6</v>
      </c>
      <c r="AB315" s="37">
        <v>9</v>
      </c>
      <c r="AC315" s="37">
        <v>1</v>
      </c>
      <c r="AD315" s="37" t="s">
        <v>905</v>
      </c>
      <c r="AE315" s="37">
        <v>0.8</v>
      </c>
      <c r="AF315" s="37" t="s">
        <v>908</v>
      </c>
    </row>
    <row r="316" spans="1:32" customFormat="1" x14ac:dyDescent="0.2">
      <c r="A316" s="37"/>
      <c r="B316" s="37" t="s">
        <v>166</v>
      </c>
      <c r="C316" s="37"/>
      <c r="D316" s="37"/>
      <c r="E316" s="37"/>
      <c r="F316" s="37"/>
      <c r="G316" s="37"/>
      <c r="H316" s="37"/>
      <c r="I316" s="37"/>
      <c r="J316" s="37" t="s">
        <v>15</v>
      </c>
      <c r="K316" s="37">
        <v>313.495</v>
      </c>
      <c r="L316" s="37">
        <v>195.535</v>
      </c>
      <c r="M316" s="37">
        <v>12.29</v>
      </c>
      <c r="N316" s="37">
        <v>521.32000000000005</v>
      </c>
      <c r="O316" s="37">
        <v>279.24</v>
      </c>
      <c r="P316" s="37">
        <v>0</v>
      </c>
      <c r="Q316" s="37">
        <v>800.56000000000006</v>
      </c>
      <c r="R316" s="37">
        <v>17460</v>
      </c>
      <c r="S316" s="37"/>
      <c r="T316" s="37"/>
      <c r="U316" s="37"/>
      <c r="V316" s="37"/>
      <c r="W316" s="37" t="s">
        <v>18</v>
      </c>
      <c r="X316" s="37"/>
      <c r="Y316" s="37"/>
      <c r="Z316" s="37" t="s">
        <v>27</v>
      </c>
      <c r="AA316" s="37">
        <v>6</v>
      </c>
      <c r="AB316" s="37">
        <v>9</v>
      </c>
      <c r="AC316" s="37">
        <v>1</v>
      </c>
      <c r="AD316" s="37" t="s">
        <v>905</v>
      </c>
      <c r="AE316" s="37">
        <v>0.8</v>
      </c>
      <c r="AF316" s="37" t="s">
        <v>909</v>
      </c>
    </row>
    <row r="317" spans="1:32" customFormat="1" x14ac:dyDescent="0.2">
      <c r="A317" s="37"/>
      <c r="B317" s="37">
        <v>83</v>
      </c>
      <c r="C317" s="37" t="s">
        <v>27</v>
      </c>
      <c r="D317" s="37">
        <v>9</v>
      </c>
      <c r="E317" s="37">
        <v>3</v>
      </c>
      <c r="F317" s="37">
        <v>1</v>
      </c>
      <c r="G317" s="37">
        <v>10</v>
      </c>
      <c r="H317" s="37" t="s">
        <v>56</v>
      </c>
      <c r="I317" s="37" t="s">
        <v>23</v>
      </c>
      <c r="J317" s="37" t="s">
        <v>18</v>
      </c>
      <c r="K317" s="37">
        <v>298</v>
      </c>
      <c r="L317" s="37">
        <v>153</v>
      </c>
      <c r="M317" s="37">
        <v>4</v>
      </c>
      <c r="N317" s="37">
        <v>455</v>
      </c>
      <c r="O317" s="37">
        <v>266</v>
      </c>
      <c r="P317" s="37"/>
      <c r="Q317" s="37">
        <v>721</v>
      </c>
      <c r="R317" s="37">
        <v>8702</v>
      </c>
      <c r="S317" s="37"/>
      <c r="T317" s="37" t="s">
        <v>181</v>
      </c>
      <c r="U317" s="37" t="s">
        <v>245</v>
      </c>
      <c r="V317" s="37">
        <v>55</v>
      </c>
      <c r="W317" s="37" t="s">
        <v>18</v>
      </c>
      <c r="X317" s="37" t="s">
        <v>190</v>
      </c>
      <c r="Y317" s="37">
        <v>2100</v>
      </c>
      <c r="Z317" s="37" t="s">
        <v>27</v>
      </c>
      <c r="AA317" s="37">
        <v>9</v>
      </c>
      <c r="AB317" s="37">
        <v>3</v>
      </c>
      <c r="AC317" s="37">
        <v>1</v>
      </c>
      <c r="AD317" s="37" t="s">
        <v>910</v>
      </c>
      <c r="AE317" s="37">
        <v>1.2</v>
      </c>
      <c r="AF317" s="37" t="s">
        <v>911</v>
      </c>
    </row>
    <row r="318" spans="1:32" customFormat="1" x14ac:dyDescent="0.2">
      <c r="A318" s="37"/>
      <c r="B318" s="37" t="s">
        <v>166</v>
      </c>
      <c r="C318" s="37"/>
      <c r="D318" s="37"/>
      <c r="E318" s="37"/>
      <c r="F318" s="37"/>
      <c r="G318" s="37"/>
      <c r="H318" s="37" t="s">
        <v>72</v>
      </c>
      <c r="I318" s="37"/>
      <c r="J318" s="37" t="s">
        <v>17</v>
      </c>
      <c r="K318" s="37">
        <v>106</v>
      </c>
      <c r="L318" s="37">
        <v>162</v>
      </c>
      <c r="M318" s="37">
        <v>15</v>
      </c>
      <c r="N318" s="37">
        <v>283</v>
      </c>
      <c r="O318" s="37">
        <v>517</v>
      </c>
      <c r="P318" s="37"/>
      <c r="Q318" s="37">
        <v>800</v>
      </c>
      <c r="R318" s="37">
        <v>27810</v>
      </c>
      <c r="S318" s="37"/>
      <c r="T318" s="37"/>
      <c r="U318" s="37"/>
      <c r="V318" s="37"/>
      <c r="W318" s="37" t="s">
        <v>18</v>
      </c>
      <c r="X318" s="37"/>
      <c r="Y318" s="37"/>
      <c r="Z318" s="37" t="s">
        <v>27</v>
      </c>
      <c r="AA318" s="37">
        <v>9</v>
      </c>
      <c r="AB318" s="37">
        <v>3</v>
      </c>
      <c r="AC318" s="37">
        <v>1</v>
      </c>
      <c r="AD318" s="37" t="s">
        <v>910</v>
      </c>
      <c r="AE318" s="37">
        <v>1.2</v>
      </c>
      <c r="AF318" s="37" t="s">
        <v>912</v>
      </c>
    </row>
    <row r="319" spans="1:32" customFormat="1" x14ac:dyDescent="0.2">
      <c r="A319" s="37"/>
      <c r="B319" s="37" t="s">
        <v>166</v>
      </c>
      <c r="C319" s="37"/>
      <c r="D319" s="37"/>
      <c r="E319" s="37"/>
      <c r="F319" s="37"/>
      <c r="G319" s="37"/>
      <c r="H319" s="37">
        <v>55</v>
      </c>
      <c r="I319" s="37"/>
      <c r="J319" s="37" t="s">
        <v>15</v>
      </c>
      <c r="K319" s="37">
        <v>404</v>
      </c>
      <c r="L319" s="37">
        <v>315</v>
      </c>
      <c r="M319" s="37">
        <v>19</v>
      </c>
      <c r="N319" s="37">
        <v>738</v>
      </c>
      <c r="O319" s="37">
        <v>783</v>
      </c>
      <c r="P319" s="37">
        <v>0</v>
      </c>
      <c r="Q319" s="37">
        <v>1521</v>
      </c>
      <c r="R319" s="37">
        <v>36512</v>
      </c>
      <c r="S319" s="37"/>
      <c r="T319" s="37"/>
      <c r="U319" s="37"/>
      <c r="V319" s="37"/>
      <c r="W319" s="37" t="s">
        <v>18</v>
      </c>
      <c r="X319" s="37"/>
      <c r="Y319" s="37"/>
      <c r="Z319" s="37" t="s">
        <v>27</v>
      </c>
      <c r="AA319" s="37">
        <v>9</v>
      </c>
      <c r="AB319" s="37">
        <v>3</v>
      </c>
      <c r="AC319" s="37">
        <v>1</v>
      </c>
      <c r="AD319" s="37" t="s">
        <v>910</v>
      </c>
      <c r="AE319" s="37">
        <v>1.2</v>
      </c>
      <c r="AF319" s="37" t="s">
        <v>913</v>
      </c>
    </row>
    <row r="320" spans="1:32" customFormat="1" x14ac:dyDescent="0.2">
      <c r="A320" s="37"/>
      <c r="B320" s="37">
        <v>84</v>
      </c>
      <c r="C320" s="37" t="s">
        <v>27</v>
      </c>
      <c r="D320" s="37">
        <v>10</v>
      </c>
      <c r="E320" s="37">
        <v>1</v>
      </c>
      <c r="F320" s="37">
        <v>1</v>
      </c>
      <c r="G320" s="37">
        <v>10</v>
      </c>
      <c r="H320" s="37" t="s">
        <v>56</v>
      </c>
      <c r="I320" s="37" t="s">
        <v>23</v>
      </c>
      <c r="J320" s="37" t="s">
        <v>18</v>
      </c>
      <c r="K320" s="37">
        <v>0</v>
      </c>
      <c r="L320" s="37">
        <v>15</v>
      </c>
      <c r="M320" s="37">
        <v>2</v>
      </c>
      <c r="N320" s="37">
        <v>17</v>
      </c>
      <c r="O320" s="37">
        <v>28</v>
      </c>
      <c r="P320" s="37"/>
      <c r="Q320" s="37">
        <v>45</v>
      </c>
      <c r="R320" s="37">
        <v>271</v>
      </c>
      <c r="S320" s="37"/>
      <c r="T320" s="37" t="s">
        <v>181</v>
      </c>
      <c r="U320" s="37" t="s">
        <v>251</v>
      </c>
      <c r="V320" s="37">
        <v>65</v>
      </c>
      <c r="W320" s="37" t="s">
        <v>17</v>
      </c>
      <c r="X320" s="37" t="s">
        <v>190</v>
      </c>
      <c r="Y320" s="37">
        <v>1200</v>
      </c>
      <c r="Z320" s="37" t="s">
        <v>27</v>
      </c>
      <c r="AA320" s="37">
        <v>10</v>
      </c>
      <c r="AB320" s="37">
        <v>1</v>
      </c>
      <c r="AC320" s="37">
        <v>1</v>
      </c>
      <c r="AD320" s="37" t="s">
        <v>914</v>
      </c>
      <c r="AE320" s="37">
        <v>1.4</v>
      </c>
      <c r="AF320" s="37" t="s">
        <v>915</v>
      </c>
    </row>
    <row r="321" spans="1:32" customFormat="1" x14ac:dyDescent="0.2">
      <c r="A321" s="37"/>
      <c r="B321" s="37" t="s">
        <v>166</v>
      </c>
      <c r="C321" s="37"/>
      <c r="D321" s="37"/>
      <c r="E321" s="37"/>
      <c r="F321" s="37"/>
      <c r="G321" s="37"/>
      <c r="H321" s="37" t="s">
        <v>63</v>
      </c>
      <c r="I321" s="37"/>
      <c r="J321" s="37" t="s">
        <v>17</v>
      </c>
      <c r="K321" s="37">
        <v>100</v>
      </c>
      <c r="L321" s="37">
        <v>223</v>
      </c>
      <c r="M321" s="37">
        <v>19</v>
      </c>
      <c r="N321" s="37">
        <v>342</v>
      </c>
      <c r="O321" s="37">
        <v>567</v>
      </c>
      <c r="P321" s="37"/>
      <c r="Q321" s="37">
        <v>909</v>
      </c>
      <c r="R321" s="37">
        <v>32323</v>
      </c>
      <c r="S321" s="37"/>
      <c r="T321" s="37"/>
      <c r="U321" s="37"/>
      <c r="V321" s="37"/>
      <c r="W321" s="37" t="s">
        <v>17</v>
      </c>
      <c r="X321" s="37"/>
      <c r="Y321" s="37"/>
      <c r="Z321" s="37" t="s">
        <v>27</v>
      </c>
      <c r="AA321" s="37">
        <v>10</v>
      </c>
      <c r="AB321" s="37">
        <v>1</v>
      </c>
      <c r="AC321" s="37">
        <v>1</v>
      </c>
      <c r="AD321" s="37" t="s">
        <v>914</v>
      </c>
      <c r="AE321" s="37">
        <v>1.4</v>
      </c>
      <c r="AF321" s="37" t="s">
        <v>916</v>
      </c>
    </row>
    <row r="322" spans="1:32" customFormat="1" x14ac:dyDescent="0.2">
      <c r="A322" s="37"/>
      <c r="B322" s="37" t="s">
        <v>166</v>
      </c>
      <c r="C322" s="37"/>
      <c r="D322" s="37"/>
      <c r="E322" s="37"/>
      <c r="F322" s="37"/>
      <c r="G322" s="37"/>
      <c r="H322" s="37">
        <v>65</v>
      </c>
      <c r="I322" s="37"/>
      <c r="J322" s="37" t="s">
        <v>19</v>
      </c>
      <c r="K322" s="37">
        <v>0</v>
      </c>
      <c r="L322" s="37">
        <v>16</v>
      </c>
      <c r="M322" s="37">
        <v>6</v>
      </c>
      <c r="N322" s="37">
        <v>22</v>
      </c>
      <c r="O322" s="37">
        <v>25</v>
      </c>
      <c r="P322" s="37"/>
      <c r="Q322" s="37">
        <v>47</v>
      </c>
      <c r="R322" s="37">
        <v>949</v>
      </c>
      <c r="S322" s="37"/>
      <c r="T322" s="37"/>
      <c r="U322" s="37"/>
      <c r="V322" s="37"/>
      <c r="W322" s="37" t="s">
        <v>17</v>
      </c>
      <c r="X322" s="37"/>
      <c r="Y322" s="37"/>
      <c r="Z322" s="37" t="s">
        <v>27</v>
      </c>
      <c r="AA322" s="37">
        <v>10</v>
      </c>
      <c r="AB322" s="37">
        <v>1</v>
      </c>
      <c r="AC322" s="37">
        <v>1</v>
      </c>
      <c r="AD322" s="37" t="s">
        <v>914</v>
      </c>
      <c r="AE322" s="37">
        <v>1.4</v>
      </c>
      <c r="AF322" s="37" t="s">
        <v>917</v>
      </c>
    </row>
    <row r="323" spans="1:32" customFormat="1" x14ac:dyDescent="0.2">
      <c r="A323" s="37"/>
      <c r="B323" s="37" t="s">
        <v>166</v>
      </c>
      <c r="C323" s="37"/>
      <c r="D323" s="37"/>
      <c r="E323" s="37"/>
      <c r="F323" s="37"/>
      <c r="G323" s="37"/>
      <c r="H323" s="37"/>
      <c r="I323" s="37"/>
      <c r="J323" s="37" t="s">
        <v>15</v>
      </c>
      <c r="K323" s="37">
        <v>100</v>
      </c>
      <c r="L323" s="37">
        <v>254</v>
      </c>
      <c r="M323" s="37">
        <v>27</v>
      </c>
      <c r="N323" s="37">
        <v>381</v>
      </c>
      <c r="O323" s="37">
        <v>620</v>
      </c>
      <c r="P323" s="37">
        <v>0</v>
      </c>
      <c r="Q323" s="37">
        <v>1001</v>
      </c>
      <c r="R323" s="37">
        <v>33543</v>
      </c>
      <c r="S323" s="37"/>
      <c r="T323" s="37"/>
      <c r="U323" s="37"/>
      <c r="V323" s="37"/>
      <c r="W323" s="37" t="s">
        <v>17</v>
      </c>
      <c r="X323" s="37"/>
      <c r="Y323" s="37"/>
      <c r="Z323" s="37" t="s">
        <v>27</v>
      </c>
      <c r="AA323" s="37">
        <v>10</v>
      </c>
      <c r="AB323" s="37">
        <v>1</v>
      </c>
      <c r="AC323" s="37">
        <v>1</v>
      </c>
      <c r="AD323" s="37" t="s">
        <v>914</v>
      </c>
      <c r="AE323" s="37">
        <v>1.4</v>
      </c>
      <c r="AF323" s="37" t="s">
        <v>918</v>
      </c>
    </row>
    <row r="324" spans="1:32" customFormat="1" x14ac:dyDescent="0.2">
      <c r="A324" s="37"/>
      <c r="B324" s="37">
        <v>85</v>
      </c>
      <c r="C324" s="37" t="s">
        <v>27</v>
      </c>
      <c r="D324" s="37">
        <v>17</v>
      </c>
      <c r="E324" s="37">
        <v>9</v>
      </c>
      <c r="F324" s="37">
        <v>1</v>
      </c>
      <c r="G324" s="37">
        <v>10</v>
      </c>
      <c r="H324" s="37" t="s">
        <v>56</v>
      </c>
      <c r="I324" s="37" t="s">
        <v>23</v>
      </c>
      <c r="J324" s="37" t="s">
        <v>18</v>
      </c>
      <c r="K324" s="37">
        <v>266</v>
      </c>
      <c r="L324" s="37">
        <v>179</v>
      </c>
      <c r="M324" s="37">
        <v>8</v>
      </c>
      <c r="N324" s="37">
        <v>453</v>
      </c>
      <c r="O324" s="37">
        <v>295</v>
      </c>
      <c r="P324" s="37"/>
      <c r="Q324" s="37">
        <v>748</v>
      </c>
      <c r="R324" s="37">
        <v>8504</v>
      </c>
      <c r="S324" s="37"/>
      <c r="T324" s="37" t="s">
        <v>181</v>
      </c>
      <c r="U324" s="37" t="s">
        <v>269</v>
      </c>
      <c r="V324" s="37">
        <v>50</v>
      </c>
      <c r="W324" s="37" t="s">
        <v>18</v>
      </c>
      <c r="X324" s="37" t="s">
        <v>190</v>
      </c>
      <c r="Y324" s="37">
        <v>1400</v>
      </c>
      <c r="Z324" s="37" t="s">
        <v>27</v>
      </c>
      <c r="AA324" s="37">
        <v>17</v>
      </c>
      <c r="AB324" s="37">
        <v>9</v>
      </c>
      <c r="AC324" s="37">
        <v>1</v>
      </c>
      <c r="AD324" s="37" t="s">
        <v>919</v>
      </c>
      <c r="AE324" s="37">
        <v>1.6</v>
      </c>
      <c r="AF324" s="37" t="s">
        <v>920</v>
      </c>
    </row>
    <row r="325" spans="1:32" customFormat="1" x14ac:dyDescent="0.2">
      <c r="A325" s="37"/>
      <c r="B325" s="37" t="s">
        <v>166</v>
      </c>
      <c r="C325" s="37"/>
      <c r="D325" s="37"/>
      <c r="E325" s="37"/>
      <c r="F325" s="37"/>
      <c r="G325" s="37"/>
      <c r="H325" s="37" t="s">
        <v>73</v>
      </c>
      <c r="I325" s="37"/>
      <c r="J325" s="37" t="s">
        <v>17</v>
      </c>
      <c r="K325" s="37">
        <v>29</v>
      </c>
      <c r="L325" s="37">
        <v>69</v>
      </c>
      <c r="M325" s="37">
        <v>2</v>
      </c>
      <c r="N325" s="37">
        <v>100</v>
      </c>
      <c r="O325" s="37">
        <v>98</v>
      </c>
      <c r="P325" s="37"/>
      <c r="Q325" s="37">
        <v>198</v>
      </c>
      <c r="R325" s="37">
        <v>9175</v>
      </c>
      <c r="S325" s="37"/>
      <c r="T325" s="37"/>
      <c r="U325" s="37"/>
      <c r="V325" s="37"/>
      <c r="W325" s="37" t="s">
        <v>18</v>
      </c>
      <c r="X325" s="37"/>
      <c r="Y325" s="37"/>
      <c r="Z325" s="37" t="s">
        <v>27</v>
      </c>
      <c r="AA325" s="37">
        <v>17</v>
      </c>
      <c r="AB325" s="37">
        <v>9</v>
      </c>
      <c r="AC325" s="37">
        <v>1</v>
      </c>
      <c r="AD325" s="37" t="s">
        <v>919</v>
      </c>
      <c r="AE325" s="37">
        <v>1.6</v>
      </c>
      <c r="AF325" s="37" t="s">
        <v>921</v>
      </c>
    </row>
    <row r="326" spans="1:32" customFormat="1" x14ac:dyDescent="0.2">
      <c r="A326" s="37"/>
      <c r="B326" s="37" t="s">
        <v>166</v>
      </c>
      <c r="C326" s="37"/>
      <c r="D326" s="37"/>
      <c r="E326" s="37"/>
      <c r="F326" s="37"/>
      <c r="G326" s="37"/>
      <c r="H326" s="37">
        <v>50</v>
      </c>
      <c r="I326" s="37"/>
      <c r="J326" s="37" t="s">
        <v>19</v>
      </c>
      <c r="K326" s="37">
        <v>0</v>
      </c>
      <c r="L326" s="37">
        <v>10</v>
      </c>
      <c r="M326" s="37">
        <v>5</v>
      </c>
      <c r="N326" s="37">
        <v>15</v>
      </c>
      <c r="O326" s="37">
        <v>49</v>
      </c>
      <c r="P326" s="37"/>
      <c r="Q326" s="37">
        <v>64</v>
      </c>
      <c r="R326" s="37">
        <v>639</v>
      </c>
      <c r="S326" s="37"/>
      <c r="T326" s="37"/>
      <c r="U326" s="37"/>
      <c r="V326" s="37"/>
      <c r="W326" s="37" t="s">
        <v>18</v>
      </c>
      <c r="X326" s="37"/>
      <c r="Y326" s="37"/>
      <c r="Z326" s="37" t="s">
        <v>27</v>
      </c>
      <c r="AA326" s="37">
        <v>17</v>
      </c>
      <c r="AB326" s="37">
        <v>9</v>
      </c>
      <c r="AC326" s="37">
        <v>1</v>
      </c>
      <c r="AD326" s="37" t="s">
        <v>919</v>
      </c>
      <c r="AE326" s="37">
        <v>1.6</v>
      </c>
      <c r="AF326" s="37" t="s">
        <v>922</v>
      </c>
    </row>
    <row r="327" spans="1:32" customFormat="1" x14ac:dyDescent="0.2">
      <c r="A327" s="37"/>
      <c r="B327" s="37" t="s">
        <v>166</v>
      </c>
      <c r="C327" s="37"/>
      <c r="D327" s="37"/>
      <c r="E327" s="37"/>
      <c r="F327" s="37"/>
      <c r="G327" s="37"/>
      <c r="H327" s="37"/>
      <c r="I327" s="37"/>
      <c r="J327" s="37" t="s">
        <v>15</v>
      </c>
      <c r="K327" s="37">
        <v>295</v>
      </c>
      <c r="L327" s="37">
        <v>258</v>
      </c>
      <c r="M327" s="37">
        <v>15</v>
      </c>
      <c r="N327" s="37">
        <v>568</v>
      </c>
      <c r="O327" s="37">
        <v>442</v>
      </c>
      <c r="P327" s="37">
        <v>0</v>
      </c>
      <c r="Q327" s="37">
        <v>1010</v>
      </c>
      <c r="R327" s="37">
        <v>18318</v>
      </c>
      <c r="S327" s="37"/>
      <c r="T327" s="37"/>
      <c r="U327" s="37"/>
      <c r="V327" s="37"/>
      <c r="W327" s="37" t="s">
        <v>18</v>
      </c>
      <c r="X327" s="37"/>
      <c r="Y327" s="37"/>
      <c r="Z327" s="37" t="s">
        <v>27</v>
      </c>
      <c r="AA327" s="37">
        <v>17</v>
      </c>
      <c r="AB327" s="37">
        <v>9</v>
      </c>
      <c r="AC327" s="37">
        <v>1</v>
      </c>
      <c r="AD327" s="37" t="s">
        <v>919</v>
      </c>
      <c r="AE327" s="37">
        <v>1.6</v>
      </c>
      <c r="AF327" s="37" t="s">
        <v>923</v>
      </c>
    </row>
    <row r="328" spans="1:32" customFormat="1" x14ac:dyDescent="0.2">
      <c r="A328" s="37"/>
      <c r="B328" s="37">
        <v>86</v>
      </c>
      <c r="C328" s="37" t="s">
        <v>27</v>
      </c>
      <c r="D328" s="37">
        <v>28</v>
      </c>
      <c r="E328" s="37">
        <v>5</v>
      </c>
      <c r="F328" s="37">
        <v>1</v>
      </c>
      <c r="G328" s="37">
        <v>10</v>
      </c>
      <c r="H328" s="37" t="s">
        <v>56</v>
      </c>
      <c r="I328" s="37" t="s">
        <v>23</v>
      </c>
      <c r="J328" s="37" t="s">
        <v>18</v>
      </c>
      <c r="K328" s="37">
        <v>13</v>
      </c>
      <c r="L328" s="37">
        <v>15</v>
      </c>
      <c r="M328" s="37">
        <v>0</v>
      </c>
      <c r="N328" s="37">
        <v>28</v>
      </c>
      <c r="O328" s="37">
        <v>53</v>
      </c>
      <c r="P328" s="37"/>
      <c r="Q328" s="37">
        <v>81</v>
      </c>
      <c r="R328" s="37">
        <v>529</v>
      </c>
      <c r="S328" s="37"/>
      <c r="T328" s="37" t="s">
        <v>181</v>
      </c>
      <c r="U328" s="37" t="s">
        <v>364</v>
      </c>
      <c r="V328" s="37">
        <v>70</v>
      </c>
      <c r="W328" s="37" t="s">
        <v>17</v>
      </c>
      <c r="X328" s="37" t="s">
        <v>190</v>
      </c>
      <c r="Y328" s="37">
        <v>900</v>
      </c>
      <c r="Z328" s="37" t="s">
        <v>27</v>
      </c>
      <c r="AA328" s="37">
        <v>28</v>
      </c>
      <c r="AB328" s="37">
        <v>5</v>
      </c>
      <c r="AC328" s="37">
        <v>1</v>
      </c>
      <c r="AD328" s="37" t="s">
        <v>924</v>
      </c>
      <c r="AE328" s="37">
        <v>1.7</v>
      </c>
      <c r="AF328" s="37" t="s">
        <v>925</v>
      </c>
    </row>
    <row r="329" spans="1:32" customFormat="1" x14ac:dyDescent="0.2">
      <c r="A329" s="37"/>
      <c r="B329" s="37" t="s">
        <v>166</v>
      </c>
      <c r="C329" s="37"/>
      <c r="D329" s="37"/>
      <c r="E329" s="37"/>
      <c r="F329" s="37"/>
      <c r="G329" s="37"/>
      <c r="H329" s="37" t="s">
        <v>64</v>
      </c>
      <c r="I329" s="37"/>
      <c r="J329" s="37" t="s">
        <v>17</v>
      </c>
      <c r="K329" s="37">
        <v>71</v>
      </c>
      <c r="L329" s="37">
        <v>117</v>
      </c>
      <c r="M329" s="37">
        <v>0</v>
      </c>
      <c r="N329" s="37">
        <v>188</v>
      </c>
      <c r="O329" s="37">
        <v>272</v>
      </c>
      <c r="P329" s="37"/>
      <c r="Q329" s="37">
        <v>460</v>
      </c>
      <c r="R329" s="37">
        <v>18454</v>
      </c>
      <c r="S329" s="37"/>
      <c r="T329" s="37"/>
      <c r="U329" s="37"/>
      <c r="V329" s="37"/>
      <c r="W329" s="37" t="s">
        <v>17</v>
      </c>
      <c r="X329" s="37"/>
      <c r="Y329" s="37"/>
      <c r="Z329" s="37" t="s">
        <v>27</v>
      </c>
      <c r="AA329" s="37">
        <v>28</v>
      </c>
      <c r="AB329" s="37">
        <v>5</v>
      </c>
      <c r="AC329" s="37">
        <v>1</v>
      </c>
      <c r="AD329" s="37" t="s">
        <v>924</v>
      </c>
      <c r="AE329" s="37">
        <v>1.7</v>
      </c>
      <c r="AF329" s="37" t="s">
        <v>926</v>
      </c>
    </row>
    <row r="330" spans="1:32" customFormat="1" x14ac:dyDescent="0.2">
      <c r="A330" s="37"/>
      <c r="B330" s="37" t="s">
        <v>166</v>
      </c>
      <c r="C330" s="37"/>
      <c r="D330" s="37"/>
      <c r="E330" s="37"/>
      <c r="F330" s="37"/>
      <c r="G330" s="37"/>
      <c r="H330" s="37">
        <v>70</v>
      </c>
      <c r="I330" s="37"/>
      <c r="J330" s="37" t="s">
        <v>19</v>
      </c>
      <c r="K330" s="37">
        <v>3</v>
      </c>
      <c r="L330" s="37">
        <v>49</v>
      </c>
      <c r="M330" s="37">
        <v>11</v>
      </c>
      <c r="N330" s="37">
        <v>63</v>
      </c>
      <c r="O330" s="37">
        <v>94</v>
      </c>
      <c r="P330" s="37"/>
      <c r="Q330" s="37">
        <v>157</v>
      </c>
      <c r="R330" s="37">
        <v>2883</v>
      </c>
      <c r="S330" s="37"/>
      <c r="T330" s="37"/>
      <c r="U330" s="37"/>
      <c r="V330" s="37"/>
      <c r="W330" s="37" t="s">
        <v>17</v>
      </c>
      <c r="X330" s="37"/>
      <c r="Y330" s="37"/>
      <c r="Z330" s="37" t="s">
        <v>27</v>
      </c>
      <c r="AA330" s="37">
        <v>28</v>
      </c>
      <c r="AB330" s="37">
        <v>5</v>
      </c>
      <c r="AC330" s="37">
        <v>1</v>
      </c>
      <c r="AD330" s="37" t="s">
        <v>924</v>
      </c>
      <c r="AE330" s="37">
        <v>1.7</v>
      </c>
      <c r="AF330" s="37" t="s">
        <v>927</v>
      </c>
    </row>
    <row r="331" spans="1:32" customFormat="1" x14ac:dyDescent="0.2">
      <c r="A331" s="37"/>
      <c r="B331" s="37" t="s">
        <v>166</v>
      </c>
      <c r="C331" s="37"/>
      <c r="D331" s="37"/>
      <c r="E331" s="37"/>
      <c r="F331" s="37"/>
      <c r="G331" s="37"/>
      <c r="H331" s="37"/>
      <c r="I331" s="37"/>
      <c r="J331" s="37" t="s">
        <v>25</v>
      </c>
      <c r="K331" s="37">
        <v>0</v>
      </c>
      <c r="L331" s="37">
        <v>11</v>
      </c>
      <c r="M331" s="37">
        <v>3</v>
      </c>
      <c r="N331" s="37">
        <v>14</v>
      </c>
      <c r="O331" s="37">
        <v>18</v>
      </c>
      <c r="P331" s="37"/>
      <c r="Q331" s="37">
        <v>32</v>
      </c>
      <c r="R331" s="37">
        <v>7605</v>
      </c>
      <c r="S331" s="37"/>
      <c r="T331" s="37"/>
      <c r="U331" s="37"/>
      <c r="V331" s="37"/>
      <c r="W331" s="37" t="s">
        <v>17</v>
      </c>
      <c r="X331" s="37"/>
      <c r="Y331" s="37"/>
      <c r="Z331" s="37" t="s">
        <v>27</v>
      </c>
      <c r="AA331" s="37">
        <v>28</v>
      </c>
      <c r="AB331" s="37">
        <v>5</v>
      </c>
      <c r="AC331" s="37">
        <v>1</v>
      </c>
      <c r="AD331" s="37" t="s">
        <v>924</v>
      </c>
      <c r="AE331" s="37">
        <v>1.7</v>
      </c>
      <c r="AF331" s="37" t="s">
        <v>928</v>
      </c>
    </row>
    <row r="332" spans="1:32" customFormat="1" x14ac:dyDescent="0.2">
      <c r="A332" s="37"/>
      <c r="B332" s="37" t="s">
        <v>166</v>
      </c>
      <c r="C332" s="37"/>
      <c r="D332" s="37"/>
      <c r="E332" s="37"/>
      <c r="F332" s="37"/>
      <c r="G332" s="37"/>
      <c r="H332" s="37"/>
      <c r="I332" s="37"/>
      <c r="J332" s="37" t="s">
        <v>15</v>
      </c>
      <c r="K332" s="37">
        <v>87</v>
      </c>
      <c r="L332" s="37">
        <v>192</v>
      </c>
      <c r="M332" s="37">
        <v>14</v>
      </c>
      <c r="N332" s="37">
        <v>293</v>
      </c>
      <c r="O332" s="37">
        <v>437</v>
      </c>
      <c r="P332" s="37">
        <v>0</v>
      </c>
      <c r="Q332" s="37">
        <v>730</v>
      </c>
      <c r="R332" s="37">
        <v>29471</v>
      </c>
      <c r="S332" s="37"/>
      <c r="T332" s="37"/>
      <c r="U332" s="37"/>
      <c r="V332" s="37"/>
      <c r="W332" s="37" t="s">
        <v>17</v>
      </c>
      <c r="X332" s="37"/>
      <c r="Y332" s="37"/>
      <c r="Z332" s="37" t="s">
        <v>27</v>
      </c>
      <c r="AA332" s="37">
        <v>28</v>
      </c>
      <c r="AB332" s="37">
        <v>5</v>
      </c>
      <c r="AC332" s="37">
        <v>1</v>
      </c>
      <c r="AD332" s="37" t="s">
        <v>924</v>
      </c>
      <c r="AE332" s="37">
        <v>1.7</v>
      </c>
      <c r="AF332" s="37" t="s">
        <v>929</v>
      </c>
    </row>
    <row r="333" spans="1:32" customFormat="1" x14ac:dyDescent="0.2">
      <c r="A333" s="37"/>
      <c r="B333" s="37">
        <v>87</v>
      </c>
      <c r="C333" s="37" t="s">
        <v>27</v>
      </c>
      <c r="D333" s="37">
        <v>32</v>
      </c>
      <c r="E333" s="37">
        <v>3</v>
      </c>
      <c r="F333" s="37">
        <v>1</v>
      </c>
      <c r="G333" s="37">
        <v>10</v>
      </c>
      <c r="H333" s="37" t="s">
        <v>56</v>
      </c>
      <c r="I333" s="37" t="s">
        <v>23</v>
      </c>
      <c r="J333" s="37" t="s">
        <v>18</v>
      </c>
      <c r="K333" s="37">
        <v>7</v>
      </c>
      <c r="L333" s="37">
        <v>21</v>
      </c>
      <c r="M333" s="37">
        <v>1</v>
      </c>
      <c r="N333" s="37">
        <v>29</v>
      </c>
      <c r="O333" s="37">
        <v>79</v>
      </c>
      <c r="P333" s="37"/>
      <c r="Q333" s="37">
        <v>108</v>
      </c>
      <c r="R333" s="37">
        <v>533</v>
      </c>
      <c r="S333" s="37"/>
      <c r="T333" s="37" t="s">
        <v>181</v>
      </c>
      <c r="U333" s="37" t="s">
        <v>216</v>
      </c>
      <c r="V333" s="37">
        <v>65</v>
      </c>
      <c r="W333" s="37" t="s">
        <v>17</v>
      </c>
      <c r="X333" s="37" t="s">
        <v>190</v>
      </c>
      <c r="Y333" s="37">
        <v>1500</v>
      </c>
      <c r="Z333" s="37" t="s">
        <v>27</v>
      </c>
      <c r="AA333" s="37">
        <v>32</v>
      </c>
      <c r="AB333" s="37">
        <v>3</v>
      </c>
      <c r="AC333" s="37">
        <v>1</v>
      </c>
      <c r="AD333" s="37" t="s">
        <v>930</v>
      </c>
      <c r="AE333" s="37">
        <v>1.4</v>
      </c>
      <c r="AF333" s="37" t="s">
        <v>931</v>
      </c>
    </row>
    <row r="334" spans="1:32" customFormat="1" x14ac:dyDescent="0.2">
      <c r="A334" s="37"/>
      <c r="B334" s="37" t="s">
        <v>166</v>
      </c>
      <c r="C334" s="37"/>
      <c r="D334" s="37"/>
      <c r="E334" s="37"/>
      <c r="F334" s="37"/>
      <c r="G334" s="37"/>
      <c r="H334" s="37" t="s">
        <v>65</v>
      </c>
      <c r="I334" s="37"/>
      <c r="J334" s="37" t="s">
        <v>17</v>
      </c>
      <c r="K334" s="37">
        <v>127</v>
      </c>
      <c r="L334" s="37">
        <v>251</v>
      </c>
      <c r="M334" s="37">
        <v>21</v>
      </c>
      <c r="N334" s="37">
        <v>399</v>
      </c>
      <c r="O334" s="37">
        <v>553</v>
      </c>
      <c r="P334" s="37"/>
      <c r="Q334" s="37">
        <v>952</v>
      </c>
      <c r="R334" s="37">
        <v>37393</v>
      </c>
      <c r="S334" s="37"/>
      <c r="T334" s="37"/>
      <c r="U334" s="37"/>
      <c r="V334" s="37"/>
      <c r="W334" s="37" t="s">
        <v>17</v>
      </c>
      <c r="X334" s="37"/>
      <c r="Y334" s="37"/>
      <c r="Z334" s="37" t="s">
        <v>27</v>
      </c>
      <c r="AA334" s="37">
        <v>32</v>
      </c>
      <c r="AB334" s="37">
        <v>3</v>
      </c>
      <c r="AC334" s="37">
        <v>1</v>
      </c>
      <c r="AD334" s="37" t="s">
        <v>930</v>
      </c>
      <c r="AE334" s="37">
        <v>1.4</v>
      </c>
      <c r="AF334" s="37" t="s">
        <v>932</v>
      </c>
    </row>
    <row r="335" spans="1:32" customFormat="1" x14ac:dyDescent="0.2">
      <c r="A335" s="37"/>
      <c r="B335" s="37" t="s">
        <v>166</v>
      </c>
      <c r="C335" s="37"/>
      <c r="D335" s="37"/>
      <c r="E335" s="37"/>
      <c r="F335" s="37"/>
      <c r="G335" s="37"/>
      <c r="H335" s="37">
        <v>65</v>
      </c>
      <c r="I335" s="37"/>
      <c r="J335" s="37" t="s">
        <v>19</v>
      </c>
      <c r="K335" s="37">
        <v>0</v>
      </c>
      <c r="L335" s="37">
        <v>14</v>
      </c>
      <c r="M335" s="37">
        <v>6</v>
      </c>
      <c r="N335" s="37">
        <v>20</v>
      </c>
      <c r="O335" s="37">
        <v>43</v>
      </c>
      <c r="P335" s="37"/>
      <c r="Q335" s="37">
        <v>63</v>
      </c>
      <c r="R335" s="37">
        <v>877</v>
      </c>
      <c r="S335" s="37"/>
      <c r="T335" s="37"/>
      <c r="U335" s="37"/>
      <c r="V335" s="37"/>
      <c r="W335" s="37" t="s">
        <v>17</v>
      </c>
      <c r="X335" s="37"/>
      <c r="Y335" s="37"/>
      <c r="Z335" s="37" t="s">
        <v>27</v>
      </c>
      <c r="AA335" s="37">
        <v>32</v>
      </c>
      <c r="AB335" s="37">
        <v>3</v>
      </c>
      <c r="AC335" s="37">
        <v>1</v>
      </c>
      <c r="AD335" s="37" t="s">
        <v>930</v>
      </c>
      <c r="AE335" s="37">
        <v>1.4</v>
      </c>
      <c r="AF335" s="37" t="s">
        <v>933</v>
      </c>
    </row>
    <row r="336" spans="1:32" customFormat="1" x14ac:dyDescent="0.2">
      <c r="A336" s="37"/>
      <c r="B336" s="37" t="s">
        <v>166</v>
      </c>
      <c r="C336" s="37"/>
      <c r="D336" s="37"/>
      <c r="E336" s="37"/>
      <c r="F336" s="37"/>
      <c r="G336" s="37"/>
      <c r="H336" s="37"/>
      <c r="I336" s="37"/>
      <c r="J336" s="37" t="s">
        <v>15</v>
      </c>
      <c r="K336" s="37">
        <v>134</v>
      </c>
      <c r="L336" s="37">
        <v>286</v>
      </c>
      <c r="M336" s="37">
        <v>28</v>
      </c>
      <c r="N336" s="37">
        <v>448</v>
      </c>
      <c r="O336" s="37">
        <v>675</v>
      </c>
      <c r="P336" s="37">
        <v>0</v>
      </c>
      <c r="Q336" s="37">
        <v>1123</v>
      </c>
      <c r="R336" s="37">
        <v>38803</v>
      </c>
      <c r="S336" s="37"/>
      <c r="T336" s="37"/>
      <c r="U336" s="37"/>
      <c r="V336" s="37"/>
      <c r="W336" s="37" t="s">
        <v>17</v>
      </c>
      <c r="X336" s="37"/>
      <c r="Y336" s="37"/>
      <c r="Z336" s="37" t="s">
        <v>27</v>
      </c>
      <c r="AA336" s="37">
        <v>32</v>
      </c>
      <c r="AB336" s="37">
        <v>3</v>
      </c>
      <c r="AC336" s="37">
        <v>1</v>
      </c>
      <c r="AD336" s="37" t="s">
        <v>930</v>
      </c>
      <c r="AE336" s="37">
        <v>1.4</v>
      </c>
      <c r="AF336" s="37" t="s">
        <v>934</v>
      </c>
    </row>
    <row r="337" spans="1:32" customFormat="1" x14ac:dyDescent="0.2">
      <c r="A337" s="37"/>
      <c r="B337" s="37">
        <v>88</v>
      </c>
      <c r="C337" s="37" t="s">
        <v>27</v>
      </c>
      <c r="D337" s="37">
        <v>43</v>
      </c>
      <c r="E337" s="37">
        <v>20</v>
      </c>
      <c r="F337" s="37">
        <v>1</v>
      </c>
      <c r="G337" s="37">
        <v>10</v>
      </c>
      <c r="H337" s="37" t="s">
        <v>56</v>
      </c>
      <c r="I337" s="37" t="s">
        <v>23</v>
      </c>
      <c r="J337" s="37" t="s">
        <v>18</v>
      </c>
      <c r="K337" s="37">
        <v>17</v>
      </c>
      <c r="L337" s="37">
        <v>21</v>
      </c>
      <c r="M337" s="37">
        <v>0</v>
      </c>
      <c r="N337" s="37">
        <v>38</v>
      </c>
      <c r="O337" s="37">
        <v>94</v>
      </c>
      <c r="P337" s="37"/>
      <c r="Q337" s="37">
        <v>132</v>
      </c>
      <c r="R337" s="37">
        <v>720</v>
      </c>
      <c r="S337" s="37"/>
      <c r="T337" s="37" t="s">
        <v>181</v>
      </c>
      <c r="U337" s="37" t="s">
        <v>335</v>
      </c>
      <c r="V337" s="37">
        <v>65</v>
      </c>
      <c r="W337" s="37" t="s">
        <v>17</v>
      </c>
      <c r="X337" s="37" t="s">
        <v>190</v>
      </c>
      <c r="Y337" s="37">
        <v>1200</v>
      </c>
      <c r="Z337" s="37" t="s">
        <v>27</v>
      </c>
      <c r="AA337" s="37">
        <v>43</v>
      </c>
      <c r="AB337" s="37">
        <v>20</v>
      </c>
      <c r="AC337" s="37">
        <v>1</v>
      </c>
      <c r="AD337" s="37" t="s">
        <v>935</v>
      </c>
      <c r="AE337" s="37">
        <v>1.6</v>
      </c>
      <c r="AF337" s="37" t="s">
        <v>936</v>
      </c>
    </row>
    <row r="338" spans="1:32" customFormat="1" x14ac:dyDescent="0.2">
      <c r="A338" s="37"/>
      <c r="B338" s="37" t="s">
        <v>166</v>
      </c>
      <c r="C338" s="37"/>
      <c r="D338" s="37"/>
      <c r="E338" s="37"/>
      <c r="F338" s="37"/>
      <c r="G338" s="37"/>
      <c r="H338" s="37" t="s">
        <v>66</v>
      </c>
      <c r="I338" s="37"/>
      <c r="J338" s="37" t="s">
        <v>17</v>
      </c>
      <c r="K338" s="37">
        <v>91</v>
      </c>
      <c r="L338" s="37">
        <v>197</v>
      </c>
      <c r="M338" s="37">
        <v>11</v>
      </c>
      <c r="N338" s="37">
        <v>299</v>
      </c>
      <c r="O338" s="37">
        <v>343</v>
      </c>
      <c r="P338" s="37"/>
      <c r="Q338" s="37">
        <v>642</v>
      </c>
      <c r="R338" s="37">
        <v>27674</v>
      </c>
      <c r="S338" s="37"/>
      <c r="T338" s="37"/>
      <c r="U338" s="37"/>
      <c r="V338" s="37"/>
      <c r="W338" s="37" t="s">
        <v>17</v>
      </c>
      <c r="X338" s="37"/>
      <c r="Y338" s="37"/>
      <c r="Z338" s="37" t="s">
        <v>27</v>
      </c>
      <c r="AA338" s="37">
        <v>43</v>
      </c>
      <c r="AB338" s="37">
        <v>20</v>
      </c>
      <c r="AC338" s="37">
        <v>1</v>
      </c>
      <c r="AD338" s="37" t="s">
        <v>935</v>
      </c>
      <c r="AE338" s="37">
        <v>1.6</v>
      </c>
      <c r="AF338" s="37" t="s">
        <v>937</v>
      </c>
    </row>
    <row r="339" spans="1:32" customFormat="1" x14ac:dyDescent="0.2">
      <c r="A339" s="37"/>
      <c r="B339" s="37" t="s">
        <v>166</v>
      </c>
      <c r="C339" s="37"/>
      <c r="D339" s="37"/>
      <c r="E339" s="37"/>
      <c r="F339" s="37"/>
      <c r="G339" s="37"/>
      <c r="H339" s="37">
        <v>65</v>
      </c>
      <c r="I339" s="37"/>
      <c r="J339" s="37" t="s">
        <v>19</v>
      </c>
      <c r="K339" s="37">
        <v>0</v>
      </c>
      <c r="L339" s="37">
        <v>23</v>
      </c>
      <c r="M339" s="37">
        <v>5</v>
      </c>
      <c r="N339" s="37">
        <v>28</v>
      </c>
      <c r="O339" s="37">
        <v>52</v>
      </c>
      <c r="P339" s="37"/>
      <c r="Q339" s="37">
        <v>80</v>
      </c>
      <c r="R339" s="37">
        <v>1298</v>
      </c>
      <c r="S339" s="37"/>
      <c r="T339" s="37"/>
      <c r="U339" s="37"/>
      <c r="V339" s="37"/>
      <c r="W339" s="37" t="s">
        <v>17</v>
      </c>
      <c r="X339" s="37"/>
      <c r="Y339" s="37"/>
      <c r="Z339" s="37" t="s">
        <v>27</v>
      </c>
      <c r="AA339" s="37">
        <v>43</v>
      </c>
      <c r="AB339" s="37">
        <v>20</v>
      </c>
      <c r="AC339" s="37">
        <v>1</v>
      </c>
      <c r="AD339" s="37" t="s">
        <v>935</v>
      </c>
      <c r="AE339" s="37">
        <v>1.6</v>
      </c>
      <c r="AF339" s="37" t="s">
        <v>938</v>
      </c>
    </row>
    <row r="340" spans="1:32" customFormat="1" x14ac:dyDescent="0.2">
      <c r="A340" s="37"/>
      <c r="B340" s="37" t="s">
        <v>166</v>
      </c>
      <c r="C340" s="37"/>
      <c r="D340" s="37"/>
      <c r="E340" s="37"/>
      <c r="F340" s="37"/>
      <c r="G340" s="37"/>
      <c r="H340" s="37"/>
      <c r="I340" s="37"/>
      <c r="J340" s="37" t="s">
        <v>25</v>
      </c>
      <c r="K340" s="37">
        <v>0</v>
      </c>
      <c r="L340" s="37">
        <v>12</v>
      </c>
      <c r="M340" s="37">
        <v>3</v>
      </c>
      <c r="N340" s="37">
        <v>15</v>
      </c>
      <c r="O340" s="37">
        <v>24</v>
      </c>
      <c r="P340" s="37"/>
      <c r="Q340" s="37">
        <v>39</v>
      </c>
      <c r="R340" s="37">
        <v>8392</v>
      </c>
      <c r="S340" s="37"/>
      <c r="T340" s="37"/>
      <c r="U340" s="37"/>
      <c r="V340" s="37"/>
      <c r="W340" s="37" t="s">
        <v>17</v>
      </c>
      <c r="X340" s="37"/>
      <c r="Y340" s="37"/>
      <c r="Z340" s="37" t="s">
        <v>27</v>
      </c>
      <c r="AA340" s="37">
        <v>43</v>
      </c>
      <c r="AB340" s="37">
        <v>20</v>
      </c>
      <c r="AC340" s="37">
        <v>1</v>
      </c>
      <c r="AD340" s="37" t="s">
        <v>935</v>
      </c>
      <c r="AE340" s="37">
        <v>1.6</v>
      </c>
      <c r="AF340" s="37" t="s">
        <v>939</v>
      </c>
    </row>
    <row r="341" spans="1:32" customFormat="1" x14ac:dyDescent="0.2">
      <c r="A341" s="37"/>
      <c r="B341" s="37" t="s">
        <v>166</v>
      </c>
      <c r="C341" s="37"/>
      <c r="D341" s="37"/>
      <c r="E341" s="37"/>
      <c r="F341" s="37"/>
      <c r="G341" s="37"/>
      <c r="H341" s="37"/>
      <c r="I341" s="37"/>
      <c r="J341" s="37" t="s">
        <v>15</v>
      </c>
      <c r="K341" s="37">
        <v>108</v>
      </c>
      <c r="L341" s="37">
        <v>253</v>
      </c>
      <c r="M341" s="37">
        <v>19</v>
      </c>
      <c r="N341" s="37">
        <v>380</v>
      </c>
      <c r="O341" s="37">
        <v>513</v>
      </c>
      <c r="P341" s="37">
        <v>0</v>
      </c>
      <c r="Q341" s="37">
        <v>893</v>
      </c>
      <c r="R341" s="37">
        <v>38084</v>
      </c>
      <c r="S341" s="37"/>
      <c r="T341" s="37"/>
      <c r="U341" s="37"/>
      <c r="V341" s="37"/>
      <c r="W341" s="37" t="s">
        <v>17</v>
      </c>
      <c r="X341" s="37"/>
      <c r="Y341" s="37"/>
      <c r="Z341" s="37" t="s">
        <v>27</v>
      </c>
      <c r="AA341" s="37">
        <v>43</v>
      </c>
      <c r="AB341" s="37">
        <v>20</v>
      </c>
      <c r="AC341" s="37">
        <v>1</v>
      </c>
      <c r="AD341" s="37" t="s">
        <v>935</v>
      </c>
      <c r="AE341" s="37">
        <v>1.6</v>
      </c>
      <c r="AF341" s="37" t="s">
        <v>940</v>
      </c>
    </row>
    <row r="342" spans="1:32" customFormat="1" x14ac:dyDescent="0.2">
      <c r="A342" s="37"/>
      <c r="B342" s="37">
        <v>89</v>
      </c>
      <c r="C342" s="37" t="s">
        <v>27</v>
      </c>
      <c r="D342" s="37">
        <v>45</v>
      </c>
      <c r="E342" s="37">
        <v>7</v>
      </c>
      <c r="F342" s="37">
        <v>1</v>
      </c>
      <c r="G342" s="37">
        <v>10</v>
      </c>
      <c r="H342" s="37" t="s">
        <v>56</v>
      </c>
      <c r="I342" s="37" t="s">
        <v>23</v>
      </c>
      <c r="J342" s="37" t="s">
        <v>18</v>
      </c>
      <c r="K342" s="37">
        <v>424</v>
      </c>
      <c r="L342" s="37">
        <v>154</v>
      </c>
      <c r="M342" s="37">
        <v>3</v>
      </c>
      <c r="N342" s="37">
        <v>581</v>
      </c>
      <c r="O342" s="37">
        <v>339</v>
      </c>
      <c r="P342" s="37"/>
      <c r="Q342" s="37">
        <v>920</v>
      </c>
      <c r="R342" s="37">
        <v>11336</v>
      </c>
      <c r="S342" s="37"/>
      <c r="T342" s="37" t="s">
        <v>181</v>
      </c>
      <c r="U342" s="37" t="s">
        <v>210</v>
      </c>
      <c r="V342" s="37">
        <v>50</v>
      </c>
      <c r="W342" s="37" t="s">
        <v>18</v>
      </c>
      <c r="X342" s="37" t="s">
        <v>190</v>
      </c>
      <c r="Y342" s="37">
        <v>2000</v>
      </c>
      <c r="Z342" s="37" t="s">
        <v>27</v>
      </c>
      <c r="AA342" s="37">
        <v>45</v>
      </c>
      <c r="AB342" s="37">
        <v>7</v>
      </c>
      <c r="AC342" s="37">
        <v>1</v>
      </c>
      <c r="AD342" s="37" t="s">
        <v>941</v>
      </c>
      <c r="AE342" s="37">
        <v>1</v>
      </c>
      <c r="AF342" s="37" t="s">
        <v>942</v>
      </c>
    </row>
    <row r="343" spans="1:32" customFormat="1" x14ac:dyDescent="0.2">
      <c r="A343" s="37"/>
      <c r="B343" s="37" t="s">
        <v>166</v>
      </c>
      <c r="C343" s="37"/>
      <c r="D343" s="37"/>
      <c r="E343" s="37"/>
      <c r="F343" s="37"/>
      <c r="G343" s="37"/>
      <c r="H343" s="37" t="s">
        <v>52</v>
      </c>
      <c r="I343" s="37"/>
      <c r="J343" s="37" t="s">
        <v>17</v>
      </c>
      <c r="K343" s="37">
        <v>39</v>
      </c>
      <c r="L343" s="37">
        <v>74</v>
      </c>
      <c r="M343" s="37">
        <v>7</v>
      </c>
      <c r="N343" s="37">
        <v>120</v>
      </c>
      <c r="O343" s="37">
        <v>445</v>
      </c>
      <c r="P343" s="37"/>
      <c r="Q343" s="37">
        <v>565</v>
      </c>
      <c r="R343" s="37">
        <v>12942</v>
      </c>
      <c r="S343" s="37"/>
      <c r="T343" s="37"/>
      <c r="U343" s="37"/>
      <c r="V343" s="37"/>
      <c r="W343" s="37" t="s">
        <v>18</v>
      </c>
      <c r="X343" s="37"/>
      <c r="Y343" s="37"/>
      <c r="Z343" s="37" t="s">
        <v>27</v>
      </c>
      <c r="AA343" s="37">
        <v>45</v>
      </c>
      <c r="AB343" s="37">
        <v>7</v>
      </c>
      <c r="AC343" s="37">
        <v>1</v>
      </c>
      <c r="AD343" s="37" t="s">
        <v>941</v>
      </c>
      <c r="AE343" s="37">
        <v>1</v>
      </c>
      <c r="AF343" s="37" t="s">
        <v>943</v>
      </c>
    </row>
    <row r="344" spans="1:32" customFormat="1" x14ac:dyDescent="0.2">
      <c r="A344" s="37"/>
      <c r="B344" s="37" t="s">
        <v>166</v>
      </c>
      <c r="C344" s="37"/>
      <c r="D344" s="37"/>
      <c r="E344" s="37"/>
      <c r="F344" s="37"/>
      <c r="G344" s="37"/>
      <c r="H344" s="37">
        <v>50</v>
      </c>
      <c r="I344" s="37"/>
      <c r="J344" s="37" t="s">
        <v>19</v>
      </c>
      <c r="K344" s="37">
        <v>0</v>
      </c>
      <c r="L344" s="37">
        <v>6</v>
      </c>
      <c r="M344" s="37">
        <v>3</v>
      </c>
      <c r="N344" s="37">
        <v>9</v>
      </c>
      <c r="O344" s="37">
        <v>9</v>
      </c>
      <c r="P344" s="37"/>
      <c r="Q344" s="37">
        <v>18</v>
      </c>
      <c r="R344" s="37">
        <v>387</v>
      </c>
      <c r="S344" s="37"/>
      <c r="T344" s="37"/>
      <c r="U344" s="37"/>
      <c r="V344" s="37"/>
      <c r="W344" s="37" t="s">
        <v>18</v>
      </c>
      <c r="X344" s="37"/>
      <c r="Y344" s="37"/>
      <c r="Z344" s="37" t="s">
        <v>27</v>
      </c>
      <c r="AA344" s="37">
        <v>45</v>
      </c>
      <c r="AB344" s="37">
        <v>7</v>
      </c>
      <c r="AC344" s="37">
        <v>1</v>
      </c>
      <c r="AD344" s="37" t="s">
        <v>941</v>
      </c>
      <c r="AE344" s="37">
        <v>1</v>
      </c>
      <c r="AF344" s="37" t="s">
        <v>944</v>
      </c>
    </row>
    <row r="345" spans="1:32" customFormat="1" x14ac:dyDescent="0.2">
      <c r="A345" s="37"/>
      <c r="B345" s="37" t="s">
        <v>166</v>
      </c>
      <c r="C345" s="37"/>
      <c r="D345" s="37"/>
      <c r="E345" s="37"/>
      <c r="F345" s="37"/>
      <c r="G345" s="37"/>
      <c r="H345" s="37"/>
      <c r="I345" s="37"/>
      <c r="J345" s="37" t="s">
        <v>15</v>
      </c>
      <c r="K345" s="37">
        <v>463</v>
      </c>
      <c r="L345" s="37">
        <v>234</v>
      </c>
      <c r="M345" s="37">
        <v>13</v>
      </c>
      <c r="N345" s="37">
        <v>710</v>
      </c>
      <c r="O345" s="37">
        <v>793</v>
      </c>
      <c r="P345" s="37">
        <v>0</v>
      </c>
      <c r="Q345" s="37">
        <v>1503</v>
      </c>
      <c r="R345" s="37">
        <v>24665</v>
      </c>
      <c r="S345" s="37"/>
      <c r="T345" s="37"/>
      <c r="U345" s="37"/>
      <c r="V345" s="37"/>
      <c r="W345" s="37" t="s">
        <v>18</v>
      </c>
      <c r="X345" s="37"/>
      <c r="Y345" s="37"/>
      <c r="Z345" s="37" t="s">
        <v>27</v>
      </c>
      <c r="AA345" s="37">
        <v>45</v>
      </c>
      <c r="AB345" s="37">
        <v>7</v>
      </c>
      <c r="AC345" s="37">
        <v>1</v>
      </c>
      <c r="AD345" s="37" t="s">
        <v>941</v>
      </c>
      <c r="AE345" s="37">
        <v>1</v>
      </c>
      <c r="AF345" s="37" t="s">
        <v>945</v>
      </c>
    </row>
    <row r="346" spans="1:32" customFormat="1" x14ac:dyDescent="0.2">
      <c r="A346" s="37"/>
      <c r="B346" s="37">
        <v>90</v>
      </c>
      <c r="C346" s="37" t="s">
        <v>27</v>
      </c>
      <c r="D346" s="37">
        <v>50</v>
      </c>
      <c r="E346" s="37">
        <v>10</v>
      </c>
      <c r="F346" s="37">
        <v>1</v>
      </c>
      <c r="G346" s="37">
        <v>10</v>
      </c>
      <c r="H346" s="37" t="s">
        <v>56</v>
      </c>
      <c r="I346" s="37" t="s">
        <v>23</v>
      </c>
      <c r="J346" s="37" t="s">
        <v>18</v>
      </c>
      <c r="K346" s="37">
        <v>7</v>
      </c>
      <c r="L346" s="37">
        <v>21</v>
      </c>
      <c r="M346" s="37">
        <v>1</v>
      </c>
      <c r="N346" s="37">
        <v>29</v>
      </c>
      <c r="O346" s="37">
        <v>79</v>
      </c>
      <c r="P346" s="37"/>
      <c r="Q346" s="37">
        <v>108</v>
      </c>
      <c r="R346" s="37">
        <v>533</v>
      </c>
      <c r="S346" s="37"/>
      <c r="T346" s="37" t="s">
        <v>181</v>
      </c>
      <c r="U346" s="37" t="s">
        <v>228</v>
      </c>
      <c r="V346" s="37">
        <v>65</v>
      </c>
      <c r="W346" s="37" t="s">
        <v>17</v>
      </c>
      <c r="X346" s="37" t="s">
        <v>190</v>
      </c>
      <c r="Y346" s="37">
        <v>1000</v>
      </c>
      <c r="Z346" s="37" t="s">
        <v>27</v>
      </c>
      <c r="AA346" s="37">
        <v>50</v>
      </c>
      <c r="AB346" s="37">
        <v>10</v>
      </c>
      <c r="AC346" s="37">
        <v>1</v>
      </c>
      <c r="AD346" s="37" t="s">
        <v>946</v>
      </c>
      <c r="AE346" s="37">
        <v>1.4</v>
      </c>
      <c r="AF346" s="37" t="s">
        <v>947</v>
      </c>
    </row>
    <row r="347" spans="1:32" customFormat="1" x14ac:dyDescent="0.2">
      <c r="A347" s="37"/>
      <c r="B347" s="37" t="s">
        <v>166</v>
      </c>
      <c r="C347" s="37"/>
      <c r="D347" s="37"/>
      <c r="E347" s="37"/>
      <c r="F347" s="37"/>
      <c r="G347" s="37"/>
      <c r="H347" s="37" t="s">
        <v>67</v>
      </c>
      <c r="I347" s="37"/>
      <c r="J347" s="37" t="s">
        <v>17</v>
      </c>
      <c r="K347" s="37">
        <v>74</v>
      </c>
      <c r="L347" s="37">
        <v>180</v>
      </c>
      <c r="M347" s="37">
        <v>20</v>
      </c>
      <c r="N347" s="37">
        <v>274</v>
      </c>
      <c r="O347" s="37">
        <v>494</v>
      </c>
      <c r="P347" s="37"/>
      <c r="Q347" s="37">
        <v>768</v>
      </c>
      <c r="R347" s="37">
        <v>25744</v>
      </c>
      <c r="S347" s="37"/>
      <c r="T347" s="37"/>
      <c r="U347" s="37"/>
      <c r="V347" s="37"/>
      <c r="W347" s="37" t="s">
        <v>17</v>
      </c>
      <c r="X347" s="37"/>
      <c r="Y347" s="37"/>
      <c r="Z347" s="37" t="s">
        <v>27</v>
      </c>
      <c r="AA347" s="37">
        <v>50</v>
      </c>
      <c r="AB347" s="37">
        <v>10</v>
      </c>
      <c r="AC347" s="37">
        <v>1</v>
      </c>
      <c r="AD347" s="37" t="s">
        <v>946</v>
      </c>
      <c r="AE347" s="37">
        <v>1.4</v>
      </c>
      <c r="AF347" s="37" t="s">
        <v>948</v>
      </c>
    </row>
    <row r="348" spans="1:32" customFormat="1" x14ac:dyDescent="0.2">
      <c r="A348" s="37"/>
      <c r="B348" s="37" t="s">
        <v>166</v>
      </c>
      <c r="C348" s="37"/>
      <c r="D348" s="37"/>
      <c r="E348" s="37"/>
      <c r="F348" s="37"/>
      <c r="G348" s="37"/>
      <c r="H348" s="37">
        <v>65</v>
      </c>
      <c r="I348" s="37"/>
      <c r="J348" s="37" t="s">
        <v>15</v>
      </c>
      <c r="K348" s="37">
        <v>81</v>
      </c>
      <c r="L348" s="37">
        <v>201</v>
      </c>
      <c r="M348" s="37">
        <v>21</v>
      </c>
      <c r="N348" s="37">
        <v>303</v>
      </c>
      <c r="O348" s="37">
        <v>573</v>
      </c>
      <c r="P348" s="37">
        <v>0</v>
      </c>
      <c r="Q348" s="37">
        <v>876</v>
      </c>
      <c r="R348" s="37">
        <v>26277</v>
      </c>
      <c r="S348" s="37"/>
      <c r="T348" s="37"/>
      <c r="U348" s="37"/>
      <c r="V348" s="37"/>
      <c r="W348" s="37" t="s">
        <v>17</v>
      </c>
      <c r="X348" s="37"/>
      <c r="Y348" s="37"/>
      <c r="Z348" s="37" t="s">
        <v>27</v>
      </c>
      <c r="AA348" s="37">
        <v>50</v>
      </c>
      <c r="AB348" s="37">
        <v>10</v>
      </c>
      <c r="AC348" s="37">
        <v>1</v>
      </c>
      <c r="AD348" s="37" t="s">
        <v>946</v>
      </c>
      <c r="AE348" s="37">
        <v>1.4</v>
      </c>
      <c r="AF348" s="37" t="s">
        <v>949</v>
      </c>
    </row>
    <row r="349" spans="1:32" customFormat="1" x14ac:dyDescent="0.2">
      <c r="A349" s="37"/>
      <c r="B349" s="37">
        <v>91</v>
      </c>
      <c r="C349" s="37" t="s">
        <v>27</v>
      </c>
      <c r="D349" s="37">
        <v>68</v>
      </c>
      <c r="E349" s="37">
        <v>4</v>
      </c>
      <c r="F349" s="37">
        <v>1</v>
      </c>
      <c r="G349" s="37">
        <v>10</v>
      </c>
      <c r="H349" s="37" t="s">
        <v>56</v>
      </c>
      <c r="I349" s="37" t="s">
        <v>23</v>
      </c>
      <c r="J349" s="37" t="s">
        <v>18</v>
      </c>
      <c r="K349" s="37">
        <v>249</v>
      </c>
      <c r="L349" s="37">
        <v>185</v>
      </c>
      <c r="M349" s="37">
        <v>5</v>
      </c>
      <c r="N349" s="37">
        <v>439</v>
      </c>
      <c r="O349" s="37">
        <v>679</v>
      </c>
      <c r="P349" s="37"/>
      <c r="Q349" s="37">
        <v>1118</v>
      </c>
      <c r="R349" s="37">
        <v>8418</v>
      </c>
      <c r="S349" s="37"/>
      <c r="T349" s="37" t="s">
        <v>181</v>
      </c>
      <c r="U349" s="37" t="s">
        <v>210</v>
      </c>
      <c r="V349" s="37">
        <v>45</v>
      </c>
      <c r="W349" s="37" t="s">
        <v>18</v>
      </c>
      <c r="X349" s="37" t="s">
        <v>190</v>
      </c>
      <c r="Y349" s="37">
        <v>2200</v>
      </c>
      <c r="Z349" s="37" t="s">
        <v>27</v>
      </c>
      <c r="AA349" s="37">
        <v>68</v>
      </c>
      <c r="AB349" s="37">
        <v>4</v>
      </c>
      <c r="AC349" s="37">
        <v>1</v>
      </c>
      <c r="AD349" s="37" t="s">
        <v>950</v>
      </c>
      <c r="AE349" s="37">
        <v>1.4</v>
      </c>
      <c r="AF349" s="37" t="s">
        <v>951</v>
      </c>
    </row>
    <row r="350" spans="1:32" customFormat="1" x14ac:dyDescent="0.2">
      <c r="A350" s="37"/>
      <c r="B350" s="37" t="s">
        <v>166</v>
      </c>
      <c r="C350" s="37"/>
      <c r="D350" s="37"/>
      <c r="E350" s="37"/>
      <c r="F350" s="37"/>
      <c r="G350" s="37"/>
      <c r="H350" s="37" t="s">
        <v>52</v>
      </c>
      <c r="I350" s="37"/>
      <c r="J350" s="37" t="s">
        <v>17</v>
      </c>
      <c r="K350" s="37">
        <v>18</v>
      </c>
      <c r="L350" s="37">
        <v>59</v>
      </c>
      <c r="M350" s="37">
        <v>4</v>
      </c>
      <c r="N350" s="37">
        <v>81</v>
      </c>
      <c r="O350" s="37">
        <v>197</v>
      </c>
      <c r="P350" s="37"/>
      <c r="Q350" s="37">
        <v>278</v>
      </c>
      <c r="R350" s="37">
        <v>7871</v>
      </c>
      <c r="S350" s="37"/>
      <c r="T350" s="37"/>
      <c r="U350" s="37"/>
      <c r="V350" s="37"/>
      <c r="W350" s="37" t="s">
        <v>18</v>
      </c>
      <c r="X350" s="37"/>
      <c r="Y350" s="37"/>
      <c r="Z350" s="37" t="s">
        <v>27</v>
      </c>
      <c r="AA350" s="37">
        <v>68</v>
      </c>
      <c r="AB350" s="37">
        <v>4</v>
      </c>
      <c r="AC350" s="37">
        <v>1</v>
      </c>
      <c r="AD350" s="37" t="s">
        <v>950</v>
      </c>
      <c r="AE350" s="37">
        <v>1.4</v>
      </c>
      <c r="AF350" s="37" t="s">
        <v>952</v>
      </c>
    </row>
    <row r="351" spans="1:32" customFormat="1" x14ac:dyDescent="0.2">
      <c r="A351" s="37"/>
      <c r="B351" s="37" t="s">
        <v>166</v>
      </c>
      <c r="C351" s="37"/>
      <c r="D351" s="37"/>
      <c r="E351" s="37"/>
      <c r="F351" s="37"/>
      <c r="G351" s="37"/>
      <c r="H351" s="37">
        <v>45</v>
      </c>
      <c r="I351" s="37"/>
      <c r="J351" s="37" t="s">
        <v>19</v>
      </c>
      <c r="K351" s="37">
        <v>0</v>
      </c>
      <c r="L351" s="37">
        <v>12</v>
      </c>
      <c r="M351" s="37">
        <v>2</v>
      </c>
      <c r="N351" s="37">
        <v>14</v>
      </c>
      <c r="O351" s="37">
        <v>19</v>
      </c>
      <c r="P351" s="37"/>
      <c r="Q351" s="37">
        <v>33</v>
      </c>
      <c r="R351" s="37">
        <v>663</v>
      </c>
      <c r="S351" s="37"/>
      <c r="T351" s="37"/>
      <c r="U351" s="37"/>
      <c r="V351" s="37"/>
      <c r="W351" s="37" t="s">
        <v>18</v>
      </c>
      <c r="X351" s="37"/>
      <c r="Y351" s="37"/>
      <c r="Z351" s="37" t="s">
        <v>27</v>
      </c>
      <c r="AA351" s="37">
        <v>68</v>
      </c>
      <c r="AB351" s="37">
        <v>4</v>
      </c>
      <c r="AC351" s="37">
        <v>1</v>
      </c>
      <c r="AD351" s="37" t="s">
        <v>950</v>
      </c>
      <c r="AE351" s="37">
        <v>1.4</v>
      </c>
      <c r="AF351" s="37" t="s">
        <v>953</v>
      </c>
    </row>
    <row r="352" spans="1:32" customFormat="1" x14ac:dyDescent="0.2">
      <c r="A352" s="37"/>
      <c r="B352" s="37" t="s">
        <v>166</v>
      </c>
      <c r="C352" s="37"/>
      <c r="D352" s="37"/>
      <c r="E352" s="37"/>
      <c r="F352" s="37"/>
      <c r="G352" s="37"/>
      <c r="H352" s="37"/>
      <c r="I352" s="37"/>
      <c r="J352" s="37" t="s">
        <v>15</v>
      </c>
      <c r="K352" s="37">
        <v>267</v>
      </c>
      <c r="L352" s="37">
        <v>256</v>
      </c>
      <c r="M352" s="37">
        <v>11</v>
      </c>
      <c r="N352" s="37">
        <v>534</v>
      </c>
      <c r="O352" s="37">
        <v>895</v>
      </c>
      <c r="P352" s="37">
        <v>0</v>
      </c>
      <c r="Q352" s="37">
        <v>1429</v>
      </c>
      <c r="R352" s="37">
        <v>16952</v>
      </c>
      <c r="S352" s="37"/>
      <c r="T352" s="37"/>
      <c r="U352" s="37"/>
      <c r="V352" s="37"/>
      <c r="W352" s="37" t="s">
        <v>18</v>
      </c>
      <c r="X352" s="37"/>
      <c r="Y352" s="37"/>
      <c r="Z352" s="37" t="s">
        <v>27</v>
      </c>
      <c r="AA352" s="37">
        <v>68</v>
      </c>
      <c r="AB352" s="37">
        <v>4</v>
      </c>
      <c r="AC352" s="37">
        <v>1</v>
      </c>
      <c r="AD352" s="37" t="s">
        <v>950</v>
      </c>
      <c r="AE352" s="37">
        <v>1.4</v>
      </c>
      <c r="AF352" s="37" t="s">
        <v>954</v>
      </c>
    </row>
    <row r="353" spans="1:32" customFormat="1" x14ac:dyDescent="0.2">
      <c r="A353" s="37"/>
      <c r="B353" s="37">
        <v>92</v>
      </c>
      <c r="C353" s="37" t="s">
        <v>27</v>
      </c>
      <c r="D353" s="37">
        <v>69</v>
      </c>
      <c r="E353" s="37">
        <v>12</v>
      </c>
      <c r="F353" s="37">
        <v>1</v>
      </c>
      <c r="G353" s="37">
        <v>10</v>
      </c>
      <c r="H353" s="37" t="s">
        <v>56</v>
      </c>
      <c r="I353" s="37" t="s">
        <v>23</v>
      </c>
      <c r="J353" s="37" t="s">
        <v>18</v>
      </c>
      <c r="K353" s="37">
        <v>11</v>
      </c>
      <c r="L353" s="37">
        <v>24</v>
      </c>
      <c r="M353" s="37">
        <v>0</v>
      </c>
      <c r="N353" s="37">
        <v>35</v>
      </c>
      <c r="O353" s="37">
        <v>43</v>
      </c>
      <c r="P353" s="37"/>
      <c r="Q353" s="37">
        <v>78</v>
      </c>
      <c r="R353" s="37">
        <v>634</v>
      </c>
      <c r="S353" s="37"/>
      <c r="T353" s="37" t="s">
        <v>181</v>
      </c>
      <c r="U353" s="37" t="s">
        <v>244</v>
      </c>
      <c r="V353" s="37">
        <v>65</v>
      </c>
      <c r="W353" s="37" t="s">
        <v>17</v>
      </c>
      <c r="X353" s="37" t="s">
        <v>190</v>
      </c>
      <c r="Y353" s="37">
        <v>1600</v>
      </c>
      <c r="Z353" s="37" t="s">
        <v>27</v>
      </c>
      <c r="AA353" s="37">
        <v>69</v>
      </c>
      <c r="AB353" s="37">
        <v>12</v>
      </c>
      <c r="AC353" s="37">
        <v>1</v>
      </c>
      <c r="AD353" s="37" t="s">
        <v>955</v>
      </c>
      <c r="AE353" s="37">
        <v>1.4</v>
      </c>
      <c r="AF353" s="37" t="s">
        <v>956</v>
      </c>
    </row>
    <row r="354" spans="1:32" customFormat="1" x14ac:dyDescent="0.2">
      <c r="A354" s="37"/>
      <c r="B354" s="37" t="s">
        <v>166</v>
      </c>
      <c r="C354" s="37"/>
      <c r="D354" s="37"/>
      <c r="E354" s="37"/>
      <c r="F354" s="37"/>
      <c r="G354" s="37"/>
      <c r="H354" s="37" t="s">
        <v>68</v>
      </c>
      <c r="I354" s="37"/>
      <c r="J354" s="37" t="s">
        <v>17</v>
      </c>
      <c r="K354" s="37">
        <v>126</v>
      </c>
      <c r="L354" s="37">
        <v>276</v>
      </c>
      <c r="M354" s="37">
        <v>35</v>
      </c>
      <c r="N354" s="37">
        <v>437</v>
      </c>
      <c r="O354" s="37">
        <v>659</v>
      </c>
      <c r="P354" s="37"/>
      <c r="Q354" s="37">
        <v>1096</v>
      </c>
      <c r="R354" s="37">
        <v>40390</v>
      </c>
      <c r="S354" s="37"/>
      <c r="T354" s="37"/>
      <c r="U354" s="37"/>
      <c r="V354" s="37"/>
      <c r="W354" s="37" t="s">
        <v>17</v>
      </c>
      <c r="X354" s="37"/>
      <c r="Y354" s="37"/>
      <c r="Z354" s="37" t="s">
        <v>27</v>
      </c>
      <c r="AA354" s="37">
        <v>69</v>
      </c>
      <c r="AB354" s="37">
        <v>12</v>
      </c>
      <c r="AC354" s="37">
        <v>1</v>
      </c>
      <c r="AD354" s="37" t="s">
        <v>955</v>
      </c>
      <c r="AE354" s="37">
        <v>1.4</v>
      </c>
      <c r="AF354" s="37" t="s">
        <v>957</v>
      </c>
    </row>
    <row r="355" spans="1:32" customFormat="1" x14ac:dyDescent="0.2">
      <c r="A355" s="37"/>
      <c r="B355" s="37" t="s">
        <v>166</v>
      </c>
      <c r="C355" s="37"/>
      <c r="D355" s="37"/>
      <c r="E355" s="37"/>
      <c r="F355" s="37"/>
      <c r="G355" s="37"/>
      <c r="H355" s="37">
        <v>65</v>
      </c>
      <c r="I355" s="37"/>
      <c r="J355" s="37" t="s">
        <v>19</v>
      </c>
      <c r="K355" s="37">
        <v>0</v>
      </c>
      <c r="L355" s="37">
        <v>6</v>
      </c>
      <c r="M355" s="37">
        <v>1</v>
      </c>
      <c r="N355" s="37">
        <v>7</v>
      </c>
      <c r="O355" s="37">
        <v>12</v>
      </c>
      <c r="P355" s="37"/>
      <c r="Q355" s="37">
        <v>19</v>
      </c>
      <c r="R355" s="37">
        <v>322</v>
      </c>
      <c r="S355" s="37"/>
      <c r="T355" s="37"/>
      <c r="U355" s="37"/>
      <c r="V355" s="37"/>
      <c r="W355" s="37" t="s">
        <v>17</v>
      </c>
      <c r="X355" s="37"/>
      <c r="Y355" s="37"/>
      <c r="Z355" s="37" t="s">
        <v>27</v>
      </c>
      <c r="AA355" s="37">
        <v>69</v>
      </c>
      <c r="AB355" s="37">
        <v>12</v>
      </c>
      <c r="AC355" s="37">
        <v>1</v>
      </c>
      <c r="AD355" s="37" t="s">
        <v>955</v>
      </c>
      <c r="AE355" s="37">
        <v>1.4</v>
      </c>
      <c r="AF355" s="37" t="s">
        <v>958</v>
      </c>
    </row>
    <row r="356" spans="1:32" customFormat="1" x14ac:dyDescent="0.2">
      <c r="A356" s="37"/>
      <c r="B356" s="37" t="s">
        <v>166</v>
      </c>
      <c r="C356" s="37"/>
      <c r="D356" s="37"/>
      <c r="E356" s="37"/>
      <c r="F356" s="37"/>
      <c r="G356" s="37"/>
      <c r="H356" s="37"/>
      <c r="I356" s="37"/>
      <c r="J356" s="37" t="s">
        <v>15</v>
      </c>
      <c r="K356" s="37">
        <v>137</v>
      </c>
      <c r="L356" s="37">
        <v>306</v>
      </c>
      <c r="M356" s="37">
        <v>36</v>
      </c>
      <c r="N356" s="37">
        <v>479</v>
      </c>
      <c r="O356" s="37">
        <v>714</v>
      </c>
      <c r="P356" s="37">
        <v>0</v>
      </c>
      <c r="Q356" s="37">
        <v>1193</v>
      </c>
      <c r="R356" s="37">
        <v>41346</v>
      </c>
      <c r="S356" s="37"/>
      <c r="T356" s="37"/>
      <c r="U356" s="37"/>
      <c r="V356" s="37"/>
      <c r="W356" s="37" t="s">
        <v>17</v>
      </c>
      <c r="X356" s="37"/>
      <c r="Y356" s="37"/>
      <c r="Z356" s="37" t="s">
        <v>27</v>
      </c>
      <c r="AA356" s="37">
        <v>69</v>
      </c>
      <c r="AB356" s="37">
        <v>12</v>
      </c>
      <c r="AC356" s="37">
        <v>1</v>
      </c>
      <c r="AD356" s="37" t="s">
        <v>955</v>
      </c>
      <c r="AE356" s="37">
        <v>1.4</v>
      </c>
      <c r="AF356" s="37" t="s">
        <v>959</v>
      </c>
    </row>
    <row r="357" spans="1:32" customFormat="1" x14ac:dyDescent="0.2">
      <c r="A357" s="37"/>
      <c r="B357" s="37">
        <v>93</v>
      </c>
      <c r="C357" s="37" t="s">
        <v>27</v>
      </c>
      <c r="D357" s="37">
        <v>69</v>
      </c>
      <c r="E357" s="37">
        <v>2</v>
      </c>
      <c r="F357" s="37">
        <v>1</v>
      </c>
      <c r="G357" s="37">
        <v>3.3</v>
      </c>
      <c r="H357" s="37" t="s">
        <v>56</v>
      </c>
      <c r="I357" s="37" t="s">
        <v>23</v>
      </c>
      <c r="J357" s="37" t="s">
        <v>17</v>
      </c>
      <c r="K357" s="37">
        <v>139</v>
      </c>
      <c r="L357" s="37">
        <v>76</v>
      </c>
      <c r="M357" s="37">
        <v>9</v>
      </c>
      <c r="N357" s="37">
        <v>224</v>
      </c>
      <c r="O357" s="37">
        <v>146</v>
      </c>
      <c r="P357" s="37"/>
      <c r="Q357" s="37">
        <v>370</v>
      </c>
      <c r="R357" s="37">
        <v>22191</v>
      </c>
      <c r="S357" s="37"/>
      <c r="T357" s="37" t="s">
        <v>181</v>
      </c>
      <c r="U357" s="37" t="s">
        <v>266</v>
      </c>
      <c r="V357" s="37">
        <v>65</v>
      </c>
      <c r="W357" s="37" t="s">
        <v>17</v>
      </c>
      <c r="X357" s="37" t="s">
        <v>190</v>
      </c>
      <c r="Y357" s="37">
        <v>429</v>
      </c>
      <c r="Z357" s="37" t="s">
        <v>27</v>
      </c>
      <c r="AA357" s="37">
        <v>69</v>
      </c>
      <c r="AB357" s="37">
        <v>2</v>
      </c>
      <c r="AC357" s="37">
        <v>1</v>
      </c>
      <c r="AD357" s="37" t="s">
        <v>960</v>
      </c>
      <c r="AE357" s="37">
        <v>0.7</v>
      </c>
      <c r="AF357" s="37" t="s">
        <v>961</v>
      </c>
    </row>
    <row r="358" spans="1:32" customFormat="1" x14ac:dyDescent="0.2">
      <c r="A358" s="37"/>
      <c r="B358" s="37" t="s">
        <v>166</v>
      </c>
      <c r="C358" s="37"/>
      <c r="D358" s="37"/>
      <c r="E358" s="37"/>
      <c r="F358" s="37"/>
      <c r="G358" s="37"/>
      <c r="H358" s="37" t="s">
        <v>69</v>
      </c>
      <c r="I358" s="37"/>
      <c r="J358" s="37" t="s">
        <v>15</v>
      </c>
      <c r="K358" s="37">
        <v>139</v>
      </c>
      <c r="L358" s="37">
        <v>76</v>
      </c>
      <c r="M358" s="37">
        <v>9</v>
      </c>
      <c r="N358" s="37">
        <v>224</v>
      </c>
      <c r="O358" s="37">
        <v>146</v>
      </c>
      <c r="P358" s="37">
        <v>0</v>
      </c>
      <c r="Q358" s="37">
        <v>370</v>
      </c>
      <c r="R358" s="37">
        <v>22191</v>
      </c>
      <c r="S358" s="37"/>
      <c r="T358" s="37"/>
      <c r="U358" s="37"/>
      <c r="V358" s="37"/>
      <c r="W358" s="37" t="s">
        <v>17</v>
      </c>
      <c r="X358" s="37"/>
      <c r="Y358" s="37"/>
      <c r="Z358" s="37" t="s">
        <v>27</v>
      </c>
      <c r="AA358" s="37">
        <v>69</v>
      </c>
      <c r="AB358" s="37">
        <v>2</v>
      </c>
      <c r="AC358" s="37">
        <v>1</v>
      </c>
      <c r="AD358" s="37" t="s">
        <v>960</v>
      </c>
      <c r="AE358" s="37">
        <v>0.7</v>
      </c>
      <c r="AF358" s="37" t="s">
        <v>962</v>
      </c>
    </row>
    <row r="359" spans="1:32" customFormat="1" x14ac:dyDescent="0.2">
      <c r="A359" s="37"/>
      <c r="B359" s="37">
        <v>94</v>
      </c>
      <c r="C359" s="37" t="s">
        <v>27</v>
      </c>
      <c r="D359" s="37">
        <v>70</v>
      </c>
      <c r="E359" s="37">
        <v>5</v>
      </c>
      <c r="F359" s="37">
        <v>1</v>
      </c>
      <c r="G359" s="37">
        <v>10</v>
      </c>
      <c r="H359" s="37" t="s">
        <v>56</v>
      </c>
      <c r="I359" s="37" t="s">
        <v>23</v>
      </c>
      <c r="J359" s="37" t="s">
        <v>18</v>
      </c>
      <c r="K359" s="37">
        <v>48</v>
      </c>
      <c r="L359" s="37">
        <v>24</v>
      </c>
      <c r="M359" s="37">
        <v>0</v>
      </c>
      <c r="N359" s="37">
        <v>72</v>
      </c>
      <c r="O359" s="37">
        <v>152</v>
      </c>
      <c r="P359" s="37"/>
      <c r="Q359" s="37">
        <v>224</v>
      </c>
      <c r="R359" s="37">
        <v>1451</v>
      </c>
      <c r="S359" s="37"/>
      <c r="T359" s="37" t="s">
        <v>181</v>
      </c>
      <c r="U359" s="37" t="s">
        <v>215</v>
      </c>
      <c r="V359" s="37">
        <v>65</v>
      </c>
      <c r="W359" s="37" t="s">
        <v>17</v>
      </c>
      <c r="X359" s="37" t="s">
        <v>190</v>
      </c>
      <c r="Y359" s="37">
        <v>1800</v>
      </c>
      <c r="Z359" s="37" t="s">
        <v>27</v>
      </c>
      <c r="AA359" s="37">
        <v>70</v>
      </c>
      <c r="AB359" s="37">
        <v>5</v>
      </c>
      <c r="AC359" s="37">
        <v>1</v>
      </c>
      <c r="AD359" s="37" t="s">
        <v>963</v>
      </c>
      <c r="AE359" s="37">
        <v>1.4</v>
      </c>
      <c r="AF359" s="37" t="s">
        <v>964</v>
      </c>
    </row>
    <row r="360" spans="1:32" customFormat="1" x14ac:dyDescent="0.2">
      <c r="A360" s="37"/>
      <c r="B360" s="37" t="s">
        <v>166</v>
      </c>
      <c r="C360" s="37"/>
      <c r="D360" s="37"/>
      <c r="E360" s="37"/>
      <c r="F360" s="37"/>
      <c r="G360" s="37"/>
      <c r="H360" s="37" t="s">
        <v>31</v>
      </c>
      <c r="I360" s="37"/>
      <c r="J360" s="37" t="s">
        <v>17</v>
      </c>
      <c r="K360" s="37">
        <v>138</v>
      </c>
      <c r="L360" s="37">
        <v>290</v>
      </c>
      <c r="M360" s="37">
        <v>25</v>
      </c>
      <c r="N360" s="37">
        <v>453</v>
      </c>
      <c r="O360" s="37">
        <v>694</v>
      </c>
      <c r="P360" s="37"/>
      <c r="Q360" s="37">
        <v>1147</v>
      </c>
      <c r="R360" s="37">
        <v>42592</v>
      </c>
      <c r="S360" s="37"/>
      <c r="T360" s="37"/>
      <c r="U360" s="37"/>
      <c r="V360" s="37"/>
      <c r="W360" s="37" t="s">
        <v>17</v>
      </c>
      <c r="X360" s="37"/>
      <c r="Y360" s="37"/>
      <c r="Z360" s="37" t="s">
        <v>27</v>
      </c>
      <c r="AA360" s="37">
        <v>70</v>
      </c>
      <c r="AB360" s="37">
        <v>5</v>
      </c>
      <c r="AC360" s="37">
        <v>1</v>
      </c>
      <c r="AD360" s="37" t="s">
        <v>963</v>
      </c>
      <c r="AE360" s="37">
        <v>1.4</v>
      </c>
      <c r="AF360" s="37" t="s">
        <v>965</v>
      </c>
    </row>
    <row r="361" spans="1:32" customFormat="1" x14ac:dyDescent="0.2">
      <c r="A361" s="37"/>
      <c r="B361" s="37" t="s">
        <v>166</v>
      </c>
      <c r="C361" s="37"/>
      <c r="D361" s="37"/>
      <c r="E361" s="37"/>
      <c r="F361" s="37"/>
      <c r="G361" s="37"/>
      <c r="H361" s="37">
        <v>65</v>
      </c>
      <c r="I361" s="37"/>
      <c r="J361" s="37" t="s">
        <v>19</v>
      </c>
      <c r="K361" s="37">
        <v>0</v>
      </c>
      <c r="L361" s="37">
        <v>7</v>
      </c>
      <c r="M361" s="37">
        <v>2</v>
      </c>
      <c r="N361" s="37">
        <v>9</v>
      </c>
      <c r="O361" s="37">
        <v>15</v>
      </c>
      <c r="P361" s="37"/>
      <c r="Q361" s="37">
        <v>24</v>
      </c>
      <c r="R361" s="37">
        <v>384</v>
      </c>
      <c r="S361" s="37"/>
      <c r="T361" s="37"/>
      <c r="U361" s="37"/>
      <c r="V361" s="37"/>
      <c r="W361" s="37" t="s">
        <v>17</v>
      </c>
      <c r="X361" s="37"/>
      <c r="Y361" s="37"/>
      <c r="Z361" s="37" t="s">
        <v>27</v>
      </c>
      <c r="AA361" s="37">
        <v>70</v>
      </c>
      <c r="AB361" s="37">
        <v>5</v>
      </c>
      <c r="AC361" s="37">
        <v>1</v>
      </c>
      <c r="AD361" s="37" t="s">
        <v>963</v>
      </c>
      <c r="AE361" s="37">
        <v>1.4</v>
      </c>
      <c r="AF361" s="37" t="s">
        <v>966</v>
      </c>
    </row>
    <row r="362" spans="1:32" customFormat="1" x14ac:dyDescent="0.2">
      <c r="A362" s="37"/>
      <c r="B362" s="37" t="s">
        <v>166</v>
      </c>
      <c r="C362" s="37"/>
      <c r="D362" s="37"/>
      <c r="E362" s="37"/>
      <c r="F362" s="37"/>
      <c r="G362" s="37"/>
      <c r="H362" s="37"/>
      <c r="I362" s="37"/>
      <c r="J362" s="37" t="s">
        <v>15</v>
      </c>
      <c r="K362" s="37">
        <v>186</v>
      </c>
      <c r="L362" s="37">
        <v>321</v>
      </c>
      <c r="M362" s="37">
        <v>27</v>
      </c>
      <c r="N362" s="37">
        <v>534</v>
      </c>
      <c r="O362" s="37">
        <v>861</v>
      </c>
      <c r="P362" s="37">
        <v>0</v>
      </c>
      <c r="Q362" s="37">
        <v>1395</v>
      </c>
      <c r="R362" s="37">
        <v>44427</v>
      </c>
      <c r="S362" s="37"/>
      <c r="T362" s="37"/>
      <c r="U362" s="37"/>
      <c r="V362" s="37"/>
      <c r="W362" s="37" t="s">
        <v>17</v>
      </c>
      <c r="X362" s="37"/>
      <c r="Y362" s="37"/>
      <c r="Z362" s="37" t="s">
        <v>27</v>
      </c>
      <c r="AA362" s="37">
        <v>70</v>
      </c>
      <c r="AB362" s="37">
        <v>5</v>
      </c>
      <c r="AC362" s="37">
        <v>1</v>
      </c>
      <c r="AD362" s="37" t="s">
        <v>963</v>
      </c>
      <c r="AE362" s="37">
        <v>1.4</v>
      </c>
      <c r="AF362" s="37" t="s">
        <v>967</v>
      </c>
    </row>
    <row r="363" spans="1:32" customFormat="1" x14ac:dyDescent="0.2">
      <c r="A363" s="37"/>
      <c r="B363" s="37">
        <v>95</v>
      </c>
      <c r="C363" s="37" t="s">
        <v>27</v>
      </c>
      <c r="D363" s="37">
        <v>73</v>
      </c>
      <c r="E363" s="37">
        <v>16</v>
      </c>
      <c r="F363" s="37">
        <v>1</v>
      </c>
      <c r="G363" s="37">
        <v>10</v>
      </c>
      <c r="H363" s="37" t="s">
        <v>56</v>
      </c>
      <c r="I363" s="37" t="s">
        <v>23</v>
      </c>
      <c r="J363" s="37" t="s">
        <v>18</v>
      </c>
      <c r="K363" s="37">
        <v>267</v>
      </c>
      <c r="L363" s="37">
        <v>207</v>
      </c>
      <c r="M363" s="37">
        <v>6</v>
      </c>
      <c r="N363" s="37">
        <v>480</v>
      </c>
      <c r="O363" s="37">
        <v>674</v>
      </c>
      <c r="P363" s="37"/>
      <c r="Q363" s="37">
        <v>1154</v>
      </c>
      <c r="R363" s="37">
        <v>9141</v>
      </c>
      <c r="S363" s="37"/>
      <c r="T363" s="37" t="s">
        <v>181</v>
      </c>
      <c r="U363" s="37" t="s">
        <v>219</v>
      </c>
      <c r="V363" s="37">
        <v>50</v>
      </c>
      <c r="W363" s="37" t="s">
        <v>18</v>
      </c>
      <c r="X363" s="37" t="s">
        <v>190</v>
      </c>
      <c r="Y363" s="37">
        <v>2300</v>
      </c>
      <c r="Z363" s="37" t="s">
        <v>27</v>
      </c>
      <c r="AA363" s="37">
        <v>73</v>
      </c>
      <c r="AB363" s="37">
        <v>16</v>
      </c>
      <c r="AC363" s="37">
        <v>1</v>
      </c>
      <c r="AD363" s="37" t="s">
        <v>968</v>
      </c>
      <c r="AE363" s="37">
        <v>1.4</v>
      </c>
      <c r="AF363" s="37" t="s">
        <v>969</v>
      </c>
    </row>
    <row r="364" spans="1:32" customFormat="1" x14ac:dyDescent="0.2">
      <c r="A364" s="37"/>
      <c r="B364" s="37" t="s">
        <v>166</v>
      </c>
      <c r="C364" s="37"/>
      <c r="D364" s="37"/>
      <c r="E364" s="37"/>
      <c r="F364" s="37"/>
      <c r="G364" s="37"/>
      <c r="H364" s="37" t="s">
        <v>75</v>
      </c>
      <c r="I364" s="37"/>
      <c r="J364" s="37" t="s">
        <v>17</v>
      </c>
      <c r="K364" s="37">
        <v>13</v>
      </c>
      <c r="L364" s="37">
        <v>63</v>
      </c>
      <c r="M364" s="37">
        <v>4</v>
      </c>
      <c r="N364" s="37">
        <v>80</v>
      </c>
      <c r="O364" s="37">
        <v>167</v>
      </c>
      <c r="P364" s="37"/>
      <c r="Q364" s="37">
        <v>247</v>
      </c>
      <c r="R364" s="37">
        <v>7489</v>
      </c>
      <c r="S364" s="37"/>
      <c r="T364" s="37"/>
      <c r="U364" s="37"/>
      <c r="V364" s="37"/>
      <c r="W364" s="37" t="s">
        <v>18</v>
      </c>
      <c r="X364" s="37"/>
      <c r="Y364" s="37"/>
      <c r="Z364" s="37" t="s">
        <v>27</v>
      </c>
      <c r="AA364" s="37">
        <v>73</v>
      </c>
      <c r="AB364" s="37">
        <v>16</v>
      </c>
      <c r="AC364" s="37">
        <v>1</v>
      </c>
      <c r="AD364" s="37" t="s">
        <v>968</v>
      </c>
      <c r="AE364" s="37">
        <v>1.4</v>
      </c>
      <c r="AF364" s="37" t="s">
        <v>970</v>
      </c>
    </row>
    <row r="365" spans="1:32" customFormat="1" x14ac:dyDescent="0.2">
      <c r="A365" s="37"/>
      <c r="B365" s="37" t="s">
        <v>166</v>
      </c>
      <c r="C365" s="37"/>
      <c r="D365" s="37"/>
      <c r="E365" s="37"/>
      <c r="F365" s="37"/>
      <c r="G365" s="37"/>
      <c r="H365" s="37">
        <v>50</v>
      </c>
      <c r="I365" s="37"/>
      <c r="J365" s="37" t="s">
        <v>19</v>
      </c>
      <c r="K365" s="37">
        <v>0</v>
      </c>
      <c r="L365" s="37">
        <v>9</v>
      </c>
      <c r="M365" s="37">
        <v>1</v>
      </c>
      <c r="N365" s="37">
        <v>10</v>
      </c>
      <c r="O365" s="37">
        <v>16</v>
      </c>
      <c r="P365" s="37"/>
      <c r="Q365" s="37">
        <v>26</v>
      </c>
      <c r="R365" s="37">
        <v>468</v>
      </c>
      <c r="S365" s="37"/>
      <c r="T365" s="37"/>
      <c r="U365" s="37"/>
      <c r="V365" s="37"/>
      <c r="W365" s="37" t="s">
        <v>18</v>
      </c>
      <c r="X365" s="37"/>
      <c r="Y365" s="37"/>
      <c r="Z365" s="37" t="s">
        <v>27</v>
      </c>
      <c r="AA365" s="37">
        <v>73</v>
      </c>
      <c r="AB365" s="37">
        <v>16</v>
      </c>
      <c r="AC365" s="37">
        <v>1</v>
      </c>
      <c r="AD365" s="37" t="s">
        <v>968</v>
      </c>
      <c r="AE365" s="37">
        <v>1.4</v>
      </c>
      <c r="AF365" s="37" t="s">
        <v>971</v>
      </c>
    </row>
    <row r="366" spans="1:32" customFormat="1" x14ac:dyDescent="0.2">
      <c r="A366" s="37"/>
      <c r="B366" s="37" t="s">
        <v>166</v>
      </c>
      <c r="C366" s="37"/>
      <c r="D366" s="37"/>
      <c r="E366" s="37"/>
      <c r="F366" s="37"/>
      <c r="G366" s="37"/>
      <c r="H366" s="37"/>
      <c r="I366" s="37"/>
      <c r="J366" s="37" t="s">
        <v>15</v>
      </c>
      <c r="K366" s="37">
        <v>280</v>
      </c>
      <c r="L366" s="37">
        <v>279</v>
      </c>
      <c r="M366" s="37">
        <v>11</v>
      </c>
      <c r="N366" s="37">
        <v>570</v>
      </c>
      <c r="O366" s="37">
        <v>857</v>
      </c>
      <c r="P366" s="37">
        <v>0</v>
      </c>
      <c r="Q366" s="37">
        <v>1427</v>
      </c>
      <c r="R366" s="37">
        <v>17098</v>
      </c>
      <c r="S366" s="37"/>
      <c r="T366" s="37"/>
      <c r="U366" s="37"/>
      <c r="V366" s="37"/>
      <c r="W366" s="37" t="s">
        <v>18</v>
      </c>
      <c r="X366" s="37"/>
      <c r="Y366" s="37"/>
      <c r="Z366" s="37" t="s">
        <v>27</v>
      </c>
      <c r="AA366" s="37">
        <v>73</v>
      </c>
      <c r="AB366" s="37">
        <v>16</v>
      </c>
      <c r="AC366" s="37">
        <v>1</v>
      </c>
      <c r="AD366" s="37" t="s">
        <v>968</v>
      </c>
      <c r="AE366" s="37">
        <v>1.4</v>
      </c>
      <c r="AF366" s="37" t="s">
        <v>972</v>
      </c>
    </row>
    <row r="367" spans="1:32" customFormat="1" x14ac:dyDescent="0.2">
      <c r="A367" s="37"/>
      <c r="B367" s="37">
        <v>96</v>
      </c>
      <c r="C367" s="37" t="s">
        <v>27</v>
      </c>
      <c r="D367" s="37">
        <v>75</v>
      </c>
      <c r="E367" s="37">
        <v>9</v>
      </c>
      <c r="F367" s="37">
        <v>1</v>
      </c>
      <c r="G367" s="37">
        <v>10</v>
      </c>
      <c r="H367" s="37" t="s">
        <v>56</v>
      </c>
      <c r="I367" s="37" t="s">
        <v>23</v>
      </c>
      <c r="J367" s="37" t="s">
        <v>17</v>
      </c>
      <c r="K367" s="37">
        <v>124</v>
      </c>
      <c r="L367" s="37">
        <v>388</v>
      </c>
      <c r="M367" s="37">
        <v>50</v>
      </c>
      <c r="N367" s="37">
        <v>562</v>
      </c>
      <c r="O367" s="37">
        <v>770</v>
      </c>
      <c r="P367" s="37"/>
      <c r="Q367" s="37">
        <v>1332</v>
      </c>
      <c r="R367" s="37">
        <v>50132</v>
      </c>
      <c r="S367" s="37"/>
      <c r="T367" s="37" t="s">
        <v>181</v>
      </c>
      <c r="U367" s="37" t="s">
        <v>388</v>
      </c>
      <c r="V367" s="37">
        <v>65</v>
      </c>
      <c r="W367" s="37" t="s">
        <v>17</v>
      </c>
      <c r="X367" s="37" t="s">
        <v>190</v>
      </c>
      <c r="Y367" s="37">
        <v>1800</v>
      </c>
      <c r="Z367" s="37" t="s">
        <v>27</v>
      </c>
      <c r="AA367" s="37">
        <v>75</v>
      </c>
      <c r="AB367" s="37">
        <v>9</v>
      </c>
      <c r="AC367" s="37">
        <v>1</v>
      </c>
      <c r="AD367" s="37" t="s">
        <v>973</v>
      </c>
      <c r="AE367" s="37">
        <v>1.3</v>
      </c>
      <c r="AF367" s="37" t="s">
        <v>974</v>
      </c>
    </row>
    <row r="368" spans="1:32" customFormat="1" x14ac:dyDescent="0.2">
      <c r="A368" s="37"/>
      <c r="B368" s="37" t="s">
        <v>166</v>
      </c>
      <c r="C368" s="37"/>
      <c r="D368" s="37"/>
      <c r="E368" s="37"/>
      <c r="F368" s="37"/>
      <c r="G368" s="37"/>
      <c r="H368" s="37" t="s">
        <v>74</v>
      </c>
      <c r="I368" s="37"/>
      <c r="J368" s="37" t="s">
        <v>19</v>
      </c>
      <c r="K368" s="37">
        <v>3</v>
      </c>
      <c r="L368" s="37">
        <v>31</v>
      </c>
      <c r="M368" s="37">
        <v>2</v>
      </c>
      <c r="N368" s="37">
        <v>36</v>
      </c>
      <c r="O368" s="37">
        <v>42</v>
      </c>
      <c r="P368" s="37"/>
      <c r="Q368" s="37">
        <v>78</v>
      </c>
      <c r="R368" s="37">
        <v>1752</v>
      </c>
      <c r="S368" s="37"/>
      <c r="T368" s="37"/>
      <c r="U368" s="37"/>
      <c r="V368" s="37"/>
      <c r="W368" s="37" t="s">
        <v>17</v>
      </c>
      <c r="X368" s="37"/>
      <c r="Y368" s="37"/>
      <c r="Z368" s="37" t="s">
        <v>27</v>
      </c>
      <c r="AA368" s="37">
        <v>75</v>
      </c>
      <c r="AB368" s="37">
        <v>9</v>
      </c>
      <c r="AC368" s="37">
        <v>1</v>
      </c>
      <c r="AD368" s="37" t="s">
        <v>973</v>
      </c>
      <c r="AE368" s="37">
        <v>1.3</v>
      </c>
      <c r="AF368" s="37" t="s">
        <v>975</v>
      </c>
    </row>
    <row r="369" spans="1:32" customFormat="1" x14ac:dyDescent="0.2">
      <c r="A369" s="37"/>
      <c r="B369" s="37" t="s">
        <v>166</v>
      </c>
      <c r="C369" s="37"/>
      <c r="D369" s="37"/>
      <c r="E369" s="37"/>
      <c r="F369" s="37"/>
      <c r="G369" s="37"/>
      <c r="H369" s="37">
        <v>65</v>
      </c>
      <c r="I369" s="37"/>
      <c r="J369" s="37" t="s">
        <v>15</v>
      </c>
      <c r="K369" s="37">
        <v>127</v>
      </c>
      <c r="L369" s="37">
        <v>419</v>
      </c>
      <c r="M369" s="37">
        <v>52</v>
      </c>
      <c r="N369" s="37">
        <v>598</v>
      </c>
      <c r="O369" s="37">
        <v>812</v>
      </c>
      <c r="P369" s="37">
        <v>0</v>
      </c>
      <c r="Q369" s="37">
        <v>1410</v>
      </c>
      <c r="R369" s="37">
        <v>51884</v>
      </c>
      <c r="S369" s="37"/>
      <c r="T369" s="37"/>
      <c r="U369" s="37"/>
      <c r="V369" s="37"/>
      <c r="W369" s="37" t="s">
        <v>17</v>
      </c>
      <c r="X369" s="37"/>
      <c r="Y369" s="37"/>
      <c r="Z369" s="37" t="s">
        <v>27</v>
      </c>
      <c r="AA369" s="37">
        <v>75</v>
      </c>
      <c r="AB369" s="37">
        <v>9</v>
      </c>
      <c r="AC369" s="37">
        <v>1</v>
      </c>
      <c r="AD369" s="37" t="s">
        <v>973</v>
      </c>
      <c r="AE369" s="37">
        <v>1.3</v>
      </c>
      <c r="AF369" s="37" t="s">
        <v>976</v>
      </c>
    </row>
    <row r="370" spans="1:32" customFormat="1" x14ac:dyDescent="0.2">
      <c r="A370" s="37"/>
      <c r="B370" s="37">
        <v>97</v>
      </c>
      <c r="C370" s="37" t="s">
        <v>39</v>
      </c>
      <c r="D370" s="37">
        <v>5</v>
      </c>
      <c r="E370" s="37">
        <v>9</v>
      </c>
      <c r="F370" s="37">
        <v>1</v>
      </c>
      <c r="G370" s="37">
        <v>10.1</v>
      </c>
      <c r="H370" s="37" t="s">
        <v>56</v>
      </c>
      <c r="I370" s="37" t="s">
        <v>23</v>
      </c>
      <c r="J370" s="37" t="s">
        <v>18</v>
      </c>
      <c r="K370" s="37">
        <v>19</v>
      </c>
      <c r="L370" s="37">
        <v>87</v>
      </c>
      <c r="M370" s="37">
        <v>6</v>
      </c>
      <c r="N370" s="37">
        <v>112</v>
      </c>
      <c r="O370" s="37">
        <v>139</v>
      </c>
      <c r="P370" s="37"/>
      <c r="Q370" s="37">
        <v>251</v>
      </c>
      <c r="R370" s="37">
        <v>1886</v>
      </c>
      <c r="S370" s="37"/>
      <c r="T370" s="37" t="s">
        <v>181</v>
      </c>
      <c r="U370" s="37" t="s">
        <v>416</v>
      </c>
      <c r="V370" s="37">
        <v>70</v>
      </c>
      <c r="W370" s="37" t="s">
        <v>19</v>
      </c>
      <c r="X370" s="37" t="s">
        <v>190</v>
      </c>
      <c r="Y370" s="37">
        <v>1818</v>
      </c>
      <c r="Z370" s="37" t="s">
        <v>39</v>
      </c>
      <c r="AA370" s="37">
        <v>5</v>
      </c>
      <c r="AB370" s="37">
        <v>9</v>
      </c>
      <c r="AC370" s="37">
        <v>1</v>
      </c>
      <c r="AD370" s="37" t="s">
        <v>977</v>
      </c>
      <c r="AE370" s="37">
        <v>0</v>
      </c>
      <c r="AF370" s="37" t="s">
        <v>978</v>
      </c>
    </row>
    <row r="371" spans="1:32" customFormat="1" x14ac:dyDescent="0.2">
      <c r="A371" s="37"/>
      <c r="B371" s="37" t="s">
        <v>166</v>
      </c>
      <c r="C371" s="37"/>
      <c r="D371" s="37"/>
      <c r="E371" s="37"/>
      <c r="F371" s="37"/>
      <c r="G371" s="37"/>
      <c r="H371" s="37" t="s">
        <v>44</v>
      </c>
      <c r="I371" s="37"/>
      <c r="J371" s="37" t="s">
        <v>17</v>
      </c>
      <c r="K371" s="37">
        <v>14</v>
      </c>
      <c r="L371" s="37">
        <v>59</v>
      </c>
      <c r="M371" s="37">
        <v>21</v>
      </c>
      <c r="N371" s="37">
        <v>94</v>
      </c>
      <c r="O371" s="37">
        <v>120</v>
      </c>
      <c r="P371" s="37"/>
      <c r="Q371" s="37">
        <v>214</v>
      </c>
      <c r="R371" s="37">
        <v>7580</v>
      </c>
      <c r="S371" s="37"/>
      <c r="T371" s="37"/>
      <c r="U371" s="37"/>
      <c r="V371" s="37"/>
      <c r="W371" s="37" t="s">
        <v>19</v>
      </c>
      <c r="X371" s="37"/>
      <c r="Y371" s="37"/>
      <c r="Z371" s="37" t="s">
        <v>39</v>
      </c>
      <c r="AA371" s="37">
        <v>5</v>
      </c>
      <c r="AB371" s="37">
        <v>9</v>
      </c>
      <c r="AC371" s="37">
        <v>1</v>
      </c>
      <c r="AD371" s="37" t="s">
        <v>977</v>
      </c>
      <c r="AE371" s="37">
        <v>0</v>
      </c>
      <c r="AF371" s="37" t="s">
        <v>979</v>
      </c>
    </row>
    <row r="372" spans="1:32" customFormat="1" x14ac:dyDescent="0.2">
      <c r="A372" s="37"/>
      <c r="B372" s="37" t="s">
        <v>166</v>
      </c>
      <c r="C372" s="37"/>
      <c r="D372" s="37"/>
      <c r="E372" s="37"/>
      <c r="F372" s="37"/>
      <c r="G372" s="37"/>
      <c r="H372" s="37">
        <v>70</v>
      </c>
      <c r="I372" s="37"/>
      <c r="J372" s="37" t="s">
        <v>19</v>
      </c>
      <c r="K372" s="37">
        <v>14</v>
      </c>
      <c r="L372" s="37">
        <v>262</v>
      </c>
      <c r="M372" s="37">
        <v>64</v>
      </c>
      <c r="N372" s="37">
        <v>340</v>
      </c>
      <c r="O372" s="37">
        <v>618</v>
      </c>
      <c r="P372" s="37"/>
      <c r="Q372" s="37">
        <v>958</v>
      </c>
      <c r="R372" s="37">
        <v>15494</v>
      </c>
      <c r="S372" s="37"/>
      <c r="T372" s="37"/>
      <c r="U372" s="37"/>
      <c r="V372" s="37"/>
      <c r="W372" s="37" t="s">
        <v>19</v>
      </c>
      <c r="X372" s="37"/>
      <c r="Y372" s="37"/>
      <c r="Z372" s="37" t="s">
        <v>39</v>
      </c>
      <c r="AA372" s="37">
        <v>5</v>
      </c>
      <c r="AB372" s="37">
        <v>9</v>
      </c>
      <c r="AC372" s="37">
        <v>1</v>
      </c>
      <c r="AD372" s="37" t="s">
        <v>977</v>
      </c>
      <c r="AE372" s="37">
        <v>0</v>
      </c>
      <c r="AF372" s="37" t="s">
        <v>980</v>
      </c>
    </row>
    <row r="373" spans="1:32" customFormat="1" x14ac:dyDescent="0.2">
      <c r="A373" s="37"/>
      <c r="B373" s="37" t="s">
        <v>166</v>
      </c>
      <c r="C373" s="37"/>
      <c r="D373" s="37"/>
      <c r="E373" s="37"/>
      <c r="F373" s="37"/>
      <c r="G373" s="37"/>
      <c r="H373" s="37"/>
      <c r="I373" s="37"/>
      <c r="J373" s="37" t="s">
        <v>25</v>
      </c>
      <c r="K373" s="37">
        <v>0</v>
      </c>
      <c r="L373" s="37">
        <v>15</v>
      </c>
      <c r="M373" s="37">
        <v>5</v>
      </c>
      <c r="N373" s="37">
        <v>20</v>
      </c>
      <c r="O373" s="37">
        <v>47</v>
      </c>
      <c r="P373" s="37"/>
      <c r="Q373" s="37">
        <v>67</v>
      </c>
      <c r="R373" s="37">
        <v>11537</v>
      </c>
      <c r="S373" s="37"/>
      <c r="T373" s="37"/>
      <c r="U373" s="37"/>
      <c r="V373" s="37"/>
      <c r="W373" s="37" t="s">
        <v>19</v>
      </c>
      <c r="X373" s="37"/>
      <c r="Y373" s="37"/>
      <c r="Z373" s="37" t="s">
        <v>39</v>
      </c>
      <c r="AA373" s="37">
        <v>5</v>
      </c>
      <c r="AB373" s="37">
        <v>9</v>
      </c>
      <c r="AC373" s="37">
        <v>1</v>
      </c>
      <c r="AD373" s="37" t="s">
        <v>977</v>
      </c>
      <c r="AE373" s="37">
        <v>0</v>
      </c>
      <c r="AF373" s="37" t="s">
        <v>981</v>
      </c>
    </row>
    <row r="374" spans="1:32" customFormat="1" x14ac:dyDescent="0.2">
      <c r="A374" s="37"/>
      <c r="B374" s="37" t="s">
        <v>166</v>
      </c>
      <c r="C374" s="37"/>
      <c r="D374" s="37"/>
      <c r="E374" s="37"/>
      <c r="F374" s="37"/>
      <c r="G374" s="37"/>
      <c r="H374" s="37"/>
      <c r="I374" s="37"/>
      <c r="J374" s="37" t="s">
        <v>15</v>
      </c>
      <c r="K374" s="37">
        <v>47</v>
      </c>
      <c r="L374" s="37">
        <v>423</v>
      </c>
      <c r="M374" s="37">
        <v>96</v>
      </c>
      <c r="N374" s="37">
        <v>566</v>
      </c>
      <c r="O374" s="37">
        <v>924</v>
      </c>
      <c r="P374" s="37">
        <v>0</v>
      </c>
      <c r="Q374" s="37">
        <v>1490</v>
      </c>
      <c r="R374" s="37">
        <v>36497</v>
      </c>
      <c r="S374" s="37"/>
      <c r="T374" s="37"/>
      <c r="U374" s="37"/>
      <c r="V374" s="37"/>
      <c r="W374" s="37" t="s">
        <v>19</v>
      </c>
      <c r="X374" s="37"/>
      <c r="Y374" s="37"/>
      <c r="Z374" s="37" t="s">
        <v>39</v>
      </c>
      <c r="AA374" s="37">
        <v>5</v>
      </c>
      <c r="AB374" s="37">
        <v>9</v>
      </c>
      <c r="AC374" s="37">
        <v>1</v>
      </c>
      <c r="AD374" s="37" t="s">
        <v>977</v>
      </c>
      <c r="AE374" s="37">
        <v>0</v>
      </c>
      <c r="AF374" s="37" t="s">
        <v>982</v>
      </c>
    </row>
    <row r="375" spans="1:32" customFormat="1" x14ac:dyDescent="0.2">
      <c r="A375" s="37"/>
      <c r="B375" s="37">
        <v>98</v>
      </c>
      <c r="C375" s="37" t="s">
        <v>39</v>
      </c>
      <c r="D375" s="37">
        <v>16</v>
      </c>
      <c r="E375" s="37">
        <v>5</v>
      </c>
      <c r="F375" s="37">
        <v>1</v>
      </c>
      <c r="G375" s="37">
        <v>12.8</v>
      </c>
      <c r="H375" s="37" t="s">
        <v>56</v>
      </c>
      <c r="I375" s="37" t="s">
        <v>23</v>
      </c>
      <c r="J375" s="37" t="s">
        <v>18</v>
      </c>
      <c r="K375" s="37">
        <v>68</v>
      </c>
      <c r="L375" s="37">
        <v>368</v>
      </c>
      <c r="M375" s="37">
        <v>19</v>
      </c>
      <c r="N375" s="37">
        <v>455</v>
      </c>
      <c r="O375" s="37">
        <v>625</v>
      </c>
      <c r="P375" s="37"/>
      <c r="Q375" s="37">
        <v>1080</v>
      </c>
      <c r="R375" s="37">
        <v>7652</v>
      </c>
      <c r="S375" s="37"/>
      <c r="T375" s="37" t="s">
        <v>181</v>
      </c>
      <c r="U375" s="37" t="s">
        <v>418</v>
      </c>
      <c r="V375" s="37">
        <v>70</v>
      </c>
      <c r="W375" s="37" t="s">
        <v>18</v>
      </c>
      <c r="X375" s="37" t="s">
        <v>190</v>
      </c>
      <c r="Y375" s="37">
        <v>2304</v>
      </c>
      <c r="Z375" s="37" t="s">
        <v>39</v>
      </c>
      <c r="AA375" s="37">
        <v>16</v>
      </c>
      <c r="AB375" s="37">
        <v>5</v>
      </c>
      <c r="AC375" s="37">
        <v>1</v>
      </c>
      <c r="AD375" s="37" t="s">
        <v>983</v>
      </c>
      <c r="AE375" s="37">
        <v>1.7</v>
      </c>
      <c r="AF375" s="37" t="s">
        <v>984</v>
      </c>
    </row>
    <row r="376" spans="1:32" customFormat="1" x14ac:dyDescent="0.2">
      <c r="A376" s="37"/>
      <c r="B376" s="37" t="s">
        <v>166</v>
      </c>
      <c r="C376" s="37"/>
      <c r="D376" s="37"/>
      <c r="E376" s="37"/>
      <c r="F376" s="37"/>
      <c r="G376" s="37"/>
      <c r="H376" s="37" t="s">
        <v>43</v>
      </c>
      <c r="I376" s="37"/>
      <c r="J376" s="37" t="s">
        <v>17</v>
      </c>
      <c r="K376" s="37">
        <v>11</v>
      </c>
      <c r="L376" s="37">
        <v>76</v>
      </c>
      <c r="M376" s="37">
        <v>26</v>
      </c>
      <c r="N376" s="37">
        <v>113</v>
      </c>
      <c r="O376" s="37">
        <v>156</v>
      </c>
      <c r="P376" s="37"/>
      <c r="Q376" s="37">
        <v>269</v>
      </c>
      <c r="R376" s="37">
        <v>9060</v>
      </c>
      <c r="S376" s="37"/>
      <c r="T376" s="37"/>
      <c r="U376" s="37"/>
      <c r="V376" s="37"/>
      <c r="W376" s="37" t="s">
        <v>18</v>
      </c>
      <c r="X376" s="37"/>
      <c r="Y376" s="37"/>
      <c r="Z376" s="37" t="s">
        <v>39</v>
      </c>
      <c r="AA376" s="37">
        <v>16</v>
      </c>
      <c r="AB376" s="37">
        <v>5</v>
      </c>
      <c r="AC376" s="37">
        <v>1</v>
      </c>
      <c r="AD376" s="37" t="s">
        <v>983</v>
      </c>
      <c r="AE376" s="37">
        <v>1.7</v>
      </c>
      <c r="AF376" s="37" t="s">
        <v>985</v>
      </c>
    </row>
    <row r="377" spans="1:32" customFormat="1" x14ac:dyDescent="0.2">
      <c r="A377" s="37"/>
      <c r="B377" s="37" t="s">
        <v>166</v>
      </c>
      <c r="C377" s="37"/>
      <c r="D377" s="37"/>
      <c r="E377" s="37"/>
      <c r="F377" s="37"/>
      <c r="G377" s="37"/>
      <c r="H377" s="37">
        <v>70</v>
      </c>
      <c r="I377" s="37"/>
      <c r="J377" s="37" t="s">
        <v>19</v>
      </c>
      <c r="K377" s="37">
        <v>1</v>
      </c>
      <c r="L377" s="37">
        <v>84</v>
      </c>
      <c r="M377" s="37">
        <v>24</v>
      </c>
      <c r="N377" s="37">
        <v>109</v>
      </c>
      <c r="O377" s="37">
        <v>212</v>
      </c>
      <c r="P377" s="37"/>
      <c r="Q377" s="37">
        <v>321</v>
      </c>
      <c r="R377" s="37">
        <v>4872</v>
      </c>
      <c r="S377" s="37"/>
      <c r="T377" s="37"/>
      <c r="U377" s="37"/>
      <c r="V377" s="37"/>
      <c r="W377" s="37" t="s">
        <v>18</v>
      </c>
      <c r="X377" s="37"/>
      <c r="Y377" s="37"/>
      <c r="Z377" s="37" t="s">
        <v>39</v>
      </c>
      <c r="AA377" s="37">
        <v>16</v>
      </c>
      <c r="AB377" s="37">
        <v>5</v>
      </c>
      <c r="AC377" s="37">
        <v>1</v>
      </c>
      <c r="AD377" s="37" t="s">
        <v>983</v>
      </c>
      <c r="AE377" s="37">
        <v>1.7</v>
      </c>
      <c r="AF377" s="37" t="s">
        <v>986</v>
      </c>
    </row>
    <row r="378" spans="1:32" customFormat="1" x14ac:dyDescent="0.2">
      <c r="A378" s="37"/>
      <c r="B378" s="37" t="s">
        <v>166</v>
      </c>
      <c r="C378" s="37"/>
      <c r="D378" s="37"/>
      <c r="E378" s="37"/>
      <c r="F378" s="37"/>
      <c r="G378" s="37"/>
      <c r="H378" s="37"/>
      <c r="I378" s="37"/>
      <c r="J378" s="37" t="s">
        <v>25</v>
      </c>
      <c r="K378" s="37">
        <v>0</v>
      </c>
      <c r="L378" s="37">
        <v>47</v>
      </c>
      <c r="M378" s="37">
        <v>7</v>
      </c>
      <c r="N378" s="37">
        <v>54</v>
      </c>
      <c r="O378" s="37">
        <v>62</v>
      </c>
      <c r="P378" s="37"/>
      <c r="Q378" s="37">
        <v>116</v>
      </c>
      <c r="R378" s="37">
        <v>31061</v>
      </c>
      <c r="S378" s="37"/>
      <c r="T378" s="37"/>
      <c r="U378" s="37"/>
      <c r="V378" s="37"/>
      <c r="W378" s="37" t="s">
        <v>18</v>
      </c>
      <c r="X378" s="37"/>
      <c r="Y378" s="37"/>
      <c r="Z378" s="37" t="s">
        <v>39</v>
      </c>
      <c r="AA378" s="37">
        <v>16</v>
      </c>
      <c r="AB378" s="37">
        <v>5</v>
      </c>
      <c r="AC378" s="37">
        <v>1</v>
      </c>
      <c r="AD378" s="37" t="s">
        <v>983</v>
      </c>
      <c r="AE378" s="37">
        <v>1.7</v>
      </c>
      <c r="AF378" s="37" t="s">
        <v>987</v>
      </c>
    </row>
    <row r="379" spans="1:32" customFormat="1" x14ac:dyDescent="0.2">
      <c r="A379" s="37"/>
      <c r="B379" s="37" t="s">
        <v>166</v>
      </c>
      <c r="C379" s="37"/>
      <c r="D379" s="37"/>
      <c r="E379" s="37"/>
      <c r="F379" s="37"/>
      <c r="G379" s="37"/>
      <c r="H379" s="37"/>
      <c r="I379" s="37"/>
      <c r="J379" s="37" t="s">
        <v>15</v>
      </c>
      <c r="K379" s="37">
        <v>80</v>
      </c>
      <c r="L379" s="37">
        <v>575</v>
      </c>
      <c r="M379" s="37">
        <v>76</v>
      </c>
      <c r="N379" s="37">
        <v>731</v>
      </c>
      <c r="O379" s="37">
        <v>1055</v>
      </c>
      <c r="P379" s="37">
        <v>0</v>
      </c>
      <c r="Q379" s="37">
        <v>1786</v>
      </c>
      <c r="R379" s="37">
        <v>52645</v>
      </c>
      <c r="S379" s="37"/>
      <c r="T379" s="37"/>
      <c r="U379" s="37"/>
      <c r="V379" s="37"/>
      <c r="W379" s="37" t="s">
        <v>18</v>
      </c>
      <c r="X379" s="37"/>
      <c r="Y379" s="37"/>
      <c r="Z379" s="37" t="s">
        <v>39</v>
      </c>
      <c r="AA379" s="37">
        <v>16</v>
      </c>
      <c r="AB379" s="37">
        <v>5</v>
      </c>
      <c r="AC379" s="37">
        <v>1</v>
      </c>
      <c r="AD379" s="37" t="s">
        <v>983</v>
      </c>
      <c r="AE379" s="37">
        <v>1.7</v>
      </c>
      <c r="AF379" s="37" t="s">
        <v>988</v>
      </c>
    </row>
    <row r="380" spans="1:32" customFormat="1" x14ac:dyDescent="0.2">
      <c r="A380" s="37"/>
      <c r="B380" s="37">
        <v>99</v>
      </c>
      <c r="C380" s="37" t="s">
        <v>39</v>
      </c>
      <c r="D380" s="37">
        <v>22</v>
      </c>
      <c r="E380" s="37">
        <v>27</v>
      </c>
      <c r="F380" s="37">
        <v>1</v>
      </c>
      <c r="G380" s="37">
        <v>3.5</v>
      </c>
      <c r="H380" s="37" t="s">
        <v>56</v>
      </c>
      <c r="I380" s="37" t="s">
        <v>23</v>
      </c>
      <c r="J380" s="37" t="s">
        <v>18</v>
      </c>
      <c r="K380" s="37">
        <v>56</v>
      </c>
      <c r="L380" s="37">
        <v>130</v>
      </c>
      <c r="M380" s="37">
        <v>5</v>
      </c>
      <c r="N380" s="37">
        <v>191</v>
      </c>
      <c r="O380" s="37">
        <v>246</v>
      </c>
      <c r="P380" s="37"/>
      <c r="Q380" s="37">
        <v>437</v>
      </c>
      <c r="R380" s="37">
        <v>3368</v>
      </c>
      <c r="S380" s="37"/>
      <c r="T380" s="37" t="s">
        <v>181</v>
      </c>
      <c r="U380" s="37" t="s">
        <v>421</v>
      </c>
      <c r="V380" s="37">
        <v>45</v>
      </c>
      <c r="W380" s="37" t="s">
        <v>18</v>
      </c>
      <c r="X380" s="37" t="s">
        <v>190</v>
      </c>
      <c r="Y380" s="37">
        <v>735</v>
      </c>
      <c r="Z380" s="37" t="s">
        <v>39</v>
      </c>
      <c r="AA380" s="37">
        <v>22</v>
      </c>
      <c r="AB380" s="37">
        <v>27</v>
      </c>
      <c r="AC380" s="37">
        <v>1</v>
      </c>
      <c r="AD380" s="37" t="s">
        <v>989</v>
      </c>
      <c r="AE380" s="37">
        <v>0.7</v>
      </c>
      <c r="AF380" s="37" t="s">
        <v>990</v>
      </c>
    </row>
    <row r="381" spans="1:32" customFormat="1" x14ac:dyDescent="0.2">
      <c r="A381" s="37"/>
      <c r="B381" s="37" t="s">
        <v>166</v>
      </c>
      <c r="C381" s="37"/>
      <c r="D381" s="37"/>
      <c r="E381" s="37"/>
      <c r="F381" s="37"/>
      <c r="G381" s="37"/>
      <c r="H381" s="37" t="s">
        <v>421</v>
      </c>
      <c r="I381" s="37"/>
      <c r="J381" s="37" t="s">
        <v>17</v>
      </c>
      <c r="K381" s="37">
        <v>4</v>
      </c>
      <c r="L381" s="37">
        <v>25</v>
      </c>
      <c r="M381" s="37">
        <v>7</v>
      </c>
      <c r="N381" s="37">
        <v>36</v>
      </c>
      <c r="O381" s="37">
        <v>49</v>
      </c>
      <c r="P381" s="37"/>
      <c r="Q381" s="37">
        <v>85</v>
      </c>
      <c r="R381" s="37">
        <v>2943</v>
      </c>
      <c r="S381" s="37"/>
      <c r="T381" s="37"/>
      <c r="U381" s="37"/>
      <c r="V381" s="37"/>
      <c r="W381" s="37" t="s">
        <v>18</v>
      </c>
      <c r="X381" s="37"/>
      <c r="Y381" s="37"/>
      <c r="Z381" s="37" t="s">
        <v>39</v>
      </c>
      <c r="AA381" s="37">
        <v>22</v>
      </c>
      <c r="AB381" s="37">
        <v>27</v>
      </c>
      <c r="AC381" s="37">
        <v>1</v>
      </c>
      <c r="AD381" s="37" t="s">
        <v>989</v>
      </c>
      <c r="AE381" s="37">
        <v>0.7</v>
      </c>
      <c r="AF381" s="37" t="s">
        <v>991</v>
      </c>
    </row>
    <row r="382" spans="1:32" customFormat="1" x14ac:dyDescent="0.2">
      <c r="A382" s="37"/>
      <c r="B382" s="37" t="s">
        <v>166</v>
      </c>
      <c r="C382" s="37"/>
      <c r="D382" s="37"/>
      <c r="E382" s="37"/>
      <c r="F382" s="37"/>
      <c r="G382" s="37"/>
      <c r="H382" s="37">
        <v>45</v>
      </c>
      <c r="I382" s="37"/>
      <c r="J382" s="37" t="s">
        <v>25</v>
      </c>
      <c r="K382" s="37">
        <v>0</v>
      </c>
      <c r="L382" s="37">
        <v>1</v>
      </c>
      <c r="M382" s="37">
        <v>0</v>
      </c>
      <c r="N382" s="37">
        <v>1</v>
      </c>
      <c r="O382" s="37">
        <v>2</v>
      </c>
      <c r="P382" s="37"/>
      <c r="Q382" s="37">
        <v>3</v>
      </c>
      <c r="R382" s="37">
        <v>762</v>
      </c>
      <c r="S382" s="37"/>
      <c r="T382" s="37"/>
      <c r="U382" s="37"/>
      <c r="V382" s="37"/>
      <c r="W382" s="37" t="s">
        <v>18</v>
      </c>
      <c r="X382" s="37"/>
      <c r="Y382" s="37"/>
      <c r="Z382" s="37" t="s">
        <v>39</v>
      </c>
      <c r="AA382" s="37">
        <v>22</v>
      </c>
      <c r="AB382" s="37">
        <v>27</v>
      </c>
      <c r="AC382" s="37">
        <v>1</v>
      </c>
      <c r="AD382" s="37" t="s">
        <v>989</v>
      </c>
      <c r="AE382" s="37">
        <v>0.7</v>
      </c>
      <c r="AF382" s="37" t="s">
        <v>992</v>
      </c>
    </row>
    <row r="383" spans="1:32" customFormat="1" x14ac:dyDescent="0.2">
      <c r="A383" s="37"/>
      <c r="B383" s="37" t="s">
        <v>166</v>
      </c>
      <c r="C383" s="37"/>
      <c r="D383" s="37"/>
      <c r="E383" s="37"/>
      <c r="F383" s="37"/>
      <c r="G383" s="37"/>
      <c r="H383" s="37"/>
      <c r="I383" s="37"/>
      <c r="J383" s="37" t="s">
        <v>15</v>
      </c>
      <c r="K383" s="37">
        <v>60</v>
      </c>
      <c r="L383" s="37">
        <v>156</v>
      </c>
      <c r="M383" s="37">
        <v>12</v>
      </c>
      <c r="N383" s="37">
        <v>228</v>
      </c>
      <c r="O383" s="37">
        <v>297</v>
      </c>
      <c r="P383" s="37">
        <v>0</v>
      </c>
      <c r="Q383" s="37">
        <v>525</v>
      </c>
      <c r="R383" s="37">
        <v>7073</v>
      </c>
      <c r="S383" s="37"/>
      <c r="T383" s="37"/>
      <c r="U383" s="37"/>
      <c r="V383" s="37"/>
      <c r="W383" s="37" t="s">
        <v>18</v>
      </c>
      <c r="X383" s="37"/>
      <c r="Y383" s="37"/>
      <c r="Z383" s="37" t="s">
        <v>39</v>
      </c>
      <c r="AA383" s="37">
        <v>22</v>
      </c>
      <c r="AB383" s="37">
        <v>27</v>
      </c>
      <c r="AC383" s="37">
        <v>1</v>
      </c>
      <c r="AD383" s="37" t="s">
        <v>989</v>
      </c>
      <c r="AE383" s="37">
        <v>0.7</v>
      </c>
      <c r="AF383" s="37" t="s">
        <v>993</v>
      </c>
    </row>
    <row r="384" spans="1:32" customFormat="1" x14ac:dyDescent="0.2">
      <c r="A384" s="37"/>
      <c r="B384" s="37">
        <v>100</v>
      </c>
      <c r="C384" s="37" t="s">
        <v>39</v>
      </c>
      <c r="D384" s="37">
        <v>50</v>
      </c>
      <c r="E384" s="37">
        <v>25</v>
      </c>
      <c r="F384" s="37">
        <v>1</v>
      </c>
      <c r="G384" s="37">
        <v>3.4</v>
      </c>
      <c r="H384" s="37" t="s">
        <v>56</v>
      </c>
      <c r="I384" s="37" t="s">
        <v>23</v>
      </c>
      <c r="J384" s="37" t="s">
        <v>40</v>
      </c>
      <c r="K384" s="37">
        <v>31</v>
      </c>
      <c r="L384" s="37">
        <v>114</v>
      </c>
      <c r="M384" s="37">
        <v>22</v>
      </c>
      <c r="N384" s="37">
        <v>167</v>
      </c>
      <c r="O384" s="37">
        <v>337</v>
      </c>
      <c r="P384" s="37"/>
      <c r="Q384" s="37">
        <v>504</v>
      </c>
      <c r="R384" s="37">
        <v>8260</v>
      </c>
      <c r="S384" s="37"/>
      <c r="T384" s="37" t="s">
        <v>181</v>
      </c>
      <c r="U384" s="37" t="s">
        <v>425</v>
      </c>
      <c r="V384" s="37">
        <v>70</v>
      </c>
      <c r="W384" s="37" t="s">
        <v>40</v>
      </c>
      <c r="X384" s="37" t="s">
        <v>190</v>
      </c>
      <c r="Y384" s="37">
        <v>544</v>
      </c>
      <c r="Z384" s="37" t="s">
        <v>39</v>
      </c>
      <c r="AA384" s="37">
        <v>50</v>
      </c>
      <c r="AB384" s="37">
        <v>25</v>
      </c>
      <c r="AC384" s="37">
        <v>1</v>
      </c>
      <c r="AD384" s="37" t="s">
        <v>994</v>
      </c>
      <c r="AE384" s="37">
        <v>0</v>
      </c>
      <c r="AF384" s="37" t="s">
        <v>995</v>
      </c>
    </row>
    <row r="385" spans="1:32" customFormat="1" x14ac:dyDescent="0.2">
      <c r="A385" s="37"/>
      <c r="B385" s="37" t="s">
        <v>166</v>
      </c>
      <c r="C385" s="37"/>
      <c r="D385" s="37"/>
      <c r="E385" s="37"/>
      <c r="F385" s="37"/>
      <c r="G385" s="37"/>
      <c r="H385" s="37" t="s">
        <v>47</v>
      </c>
      <c r="I385" s="37"/>
      <c r="J385" s="37" t="s">
        <v>15</v>
      </c>
      <c r="K385" s="37">
        <v>31</v>
      </c>
      <c r="L385" s="37">
        <v>114</v>
      </c>
      <c r="M385" s="37">
        <v>22</v>
      </c>
      <c r="N385" s="37">
        <v>167</v>
      </c>
      <c r="O385" s="37">
        <v>337</v>
      </c>
      <c r="P385" s="37">
        <v>0</v>
      </c>
      <c r="Q385" s="37">
        <v>504</v>
      </c>
      <c r="R385" s="37">
        <v>8260</v>
      </c>
      <c r="S385" s="37"/>
      <c r="T385" s="37"/>
      <c r="U385" s="37"/>
      <c r="V385" s="37"/>
      <c r="W385" s="37" t="s">
        <v>40</v>
      </c>
      <c r="X385" s="37"/>
      <c r="Y385" s="37"/>
      <c r="Z385" s="37" t="s">
        <v>39</v>
      </c>
      <c r="AA385" s="37">
        <v>50</v>
      </c>
      <c r="AB385" s="37">
        <v>25</v>
      </c>
      <c r="AC385" s="37">
        <v>1</v>
      </c>
      <c r="AD385" s="37" t="s">
        <v>994</v>
      </c>
      <c r="AE385" s="37">
        <v>0</v>
      </c>
      <c r="AF385" s="37" t="s">
        <v>996</v>
      </c>
    </row>
    <row r="386" spans="1:32" customFormat="1" x14ac:dyDescent="0.2">
      <c r="A386" s="37"/>
      <c r="B386" s="37">
        <v>101</v>
      </c>
      <c r="C386" s="37" t="s">
        <v>39</v>
      </c>
      <c r="D386" s="37">
        <v>63</v>
      </c>
      <c r="E386" s="37">
        <v>6</v>
      </c>
      <c r="F386" s="37">
        <v>1</v>
      </c>
      <c r="G386" s="37">
        <v>16.7</v>
      </c>
      <c r="H386" s="37" t="s">
        <v>56</v>
      </c>
      <c r="I386" s="37" t="s">
        <v>23</v>
      </c>
      <c r="J386" s="37" t="s">
        <v>18</v>
      </c>
      <c r="K386" s="37">
        <v>79</v>
      </c>
      <c r="L386" s="37">
        <v>568</v>
      </c>
      <c r="M386" s="37">
        <v>37</v>
      </c>
      <c r="N386" s="37">
        <v>684</v>
      </c>
      <c r="O386" s="37">
        <v>953</v>
      </c>
      <c r="P386" s="37"/>
      <c r="Q386" s="37">
        <v>1637</v>
      </c>
      <c r="R386" s="37">
        <v>11331</v>
      </c>
      <c r="S386" s="37"/>
      <c r="T386" s="37" t="s">
        <v>181</v>
      </c>
      <c r="U386" s="37" t="s">
        <v>200</v>
      </c>
      <c r="V386" s="37">
        <v>45</v>
      </c>
      <c r="W386" s="37" t="s">
        <v>18</v>
      </c>
      <c r="X386" s="37" t="s">
        <v>190</v>
      </c>
      <c r="Y386" s="37">
        <v>2672</v>
      </c>
      <c r="Z386" s="37" t="s">
        <v>39</v>
      </c>
      <c r="AA386" s="37">
        <v>63</v>
      </c>
      <c r="AB386" s="37">
        <v>6</v>
      </c>
      <c r="AC386" s="37">
        <v>1</v>
      </c>
      <c r="AD386" s="37" t="s">
        <v>997</v>
      </c>
      <c r="AE386" s="37">
        <v>1.9</v>
      </c>
      <c r="AF386" s="37" t="s">
        <v>998</v>
      </c>
    </row>
    <row r="387" spans="1:32" customFormat="1" x14ac:dyDescent="0.2">
      <c r="A387" s="37"/>
      <c r="B387" s="37" t="s">
        <v>166</v>
      </c>
      <c r="C387" s="37"/>
      <c r="D387" s="37"/>
      <c r="E387" s="37"/>
      <c r="F387" s="37"/>
      <c r="G387" s="37"/>
      <c r="H387" s="37" t="s">
        <v>45</v>
      </c>
      <c r="I387" s="37"/>
      <c r="J387" s="37" t="s">
        <v>17</v>
      </c>
      <c r="K387" s="37">
        <v>5</v>
      </c>
      <c r="L387" s="37">
        <v>28</v>
      </c>
      <c r="M387" s="37">
        <v>25</v>
      </c>
      <c r="N387" s="37">
        <v>58</v>
      </c>
      <c r="O387" s="37">
        <v>84</v>
      </c>
      <c r="P387" s="37"/>
      <c r="Q387" s="37">
        <v>142</v>
      </c>
      <c r="R387" s="37">
        <v>4206</v>
      </c>
      <c r="S387" s="37"/>
      <c r="T387" s="37"/>
      <c r="U387" s="37"/>
      <c r="V387" s="37"/>
      <c r="W387" s="37" t="s">
        <v>18</v>
      </c>
      <c r="X387" s="37"/>
      <c r="Y387" s="37"/>
      <c r="Z387" s="37" t="s">
        <v>39</v>
      </c>
      <c r="AA387" s="37">
        <v>63</v>
      </c>
      <c r="AB387" s="37">
        <v>6</v>
      </c>
      <c r="AC387" s="37">
        <v>1</v>
      </c>
      <c r="AD387" s="37" t="s">
        <v>997</v>
      </c>
      <c r="AE387" s="37">
        <v>1.9</v>
      </c>
      <c r="AF387" s="37" t="s">
        <v>999</v>
      </c>
    </row>
    <row r="388" spans="1:32" customFormat="1" x14ac:dyDescent="0.2">
      <c r="A388" s="37"/>
      <c r="B388" s="37" t="s">
        <v>166</v>
      </c>
      <c r="C388" s="37"/>
      <c r="D388" s="37"/>
      <c r="E388" s="37"/>
      <c r="F388" s="37"/>
      <c r="G388" s="37"/>
      <c r="H388" s="37">
        <v>45</v>
      </c>
      <c r="I388" s="37"/>
      <c r="J388" s="37" t="s">
        <v>19</v>
      </c>
      <c r="K388" s="37">
        <v>1</v>
      </c>
      <c r="L388" s="37">
        <v>71</v>
      </c>
      <c r="M388" s="37">
        <v>27</v>
      </c>
      <c r="N388" s="37">
        <v>99</v>
      </c>
      <c r="O388" s="37">
        <v>191</v>
      </c>
      <c r="P388" s="37"/>
      <c r="Q388" s="37">
        <v>290</v>
      </c>
      <c r="R388" s="37">
        <v>4272</v>
      </c>
      <c r="S388" s="37"/>
      <c r="T388" s="37"/>
      <c r="U388" s="37"/>
      <c r="V388" s="37"/>
      <c r="W388" s="37" t="s">
        <v>18</v>
      </c>
      <c r="X388" s="37"/>
      <c r="Y388" s="37"/>
      <c r="Z388" s="37" t="s">
        <v>39</v>
      </c>
      <c r="AA388" s="37">
        <v>63</v>
      </c>
      <c r="AB388" s="37">
        <v>6</v>
      </c>
      <c r="AC388" s="37">
        <v>1</v>
      </c>
      <c r="AD388" s="37" t="s">
        <v>997</v>
      </c>
      <c r="AE388" s="37">
        <v>1.9</v>
      </c>
      <c r="AF388" s="37" t="s">
        <v>1000</v>
      </c>
    </row>
    <row r="389" spans="1:32" customFormat="1" x14ac:dyDescent="0.2">
      <c r="A389" s="37"/>
      <c r="B389" s="37" t="s">
        <v>166</v>
      </c>
      <c r="C389" s="37"/>
      <c r="D389" s="37"/>
      <c r="E389" s="37"/>
      <c r="F389" s="37"/>
      <c r="G389" s="37"/>
      <c r="H389" s="37"/>
      <c r="I389" s="37"/>
      <c r="J389" s="37" t="s">
        <v>15</v>
      </c>
      <c r="K389" s="37">
        <v>85</v>
      </c>
      <c r="L389" s="37">
        <v>667</v>
      </c>
      <c r="M389" s="37">
        <v>89</v>
      </c>
      <c r="N389" s="37">
        <v>841</v>
      </c>
      <c r="O389" s="37">
        <v>1228</v>
      </c>
      <c r="P389" s="37">
        <v>0</v>
      </c>
      <c r="Q389" s="37">
        <v>2069</v>
      </c>
      <c r="R389" s="37">
        <v>19809</v>
      </c>
      <c r="S389" s="37"/>
      <c r="T389" s="37"/>
      <c r="U389" s="37"/>
      <c r="V389" s="37"/>
      <c r="W389" s="37" t="s">
        <v>18</v>
      </c>
      <c r="X389" s="37"/>
      <c r="Y389" s="37"/>
      <c r="Z389" s="37" t="s">
        <v>39</v>
      </c>
      <c r="AA389" s="37">
        <v>63</v>
      </c>
      <c r="AB389" s="37">
        <v>6</v>
      </c>
      <c r="AC389" s="37">
        <v>1</v>
      </c>
      <c r="AD389" s="37" t="s">
        <v>997</v>
      </c>
      <c r="AE389" s="37">
        <v>1.9</v>
      </c>
      <c r="AF389" s="37" t="s">
        <v>1001</v>
      </c>
    </row>
    <row r="390" spans="1:32" customFormat="1" x14ac:dyDescent="0.2">
      <c r="A390" s="37"/>
      <c r="B390" s="37">
        <v>102</v>
      </c>
      <c r="C390" s="37" t="s">
        <v>39</v>
      </c>
      <c r="D390" s="37">
        <v>71</v>
      </c>
      <c r="E390" s="37">
        <v>24</v>
      </c>
      <c r="F390" s="37">
        <v>1</v>
      </c>
      <c r="G390" s="37">
        <v>10</v>
      </c>
      <c r="H390" s="37" t="s">
        <v>56</v>
      </c>
      <c r="I390" s="37" t="s">
        <v>23</v>
      </c>
      <c r="J390" s="37" t="s">
        <v>17</v>
      </c>
      <c r="K390" s="37">
        <v>14</v>
      </c>
      <c r="L390" s="37">
        <v>540</v>
      </c>
      <c r="M390" s="37">
        <v>20</v>
      </c>
      <c r="N390" s="37">
        <v>574</v>
      </c>
      <c r="O390" s="37">
        <v>166</v>
      </c>
      <c r="P390" s="37"/>
      <c r="Q390" s="37">
        <v>740</v>
      </c>
      <c r="R390" s="37">
        <v>45055</v>
      </c>
      <c r="S390" s="37"/>
      <c r="T390" s="37" t="s">
        <v>181</v>
      </c>
      <c r="U390" s="37" t="s">
        <v>41</v>
      </c>
      <c r="V390" s="37">
        <v>65</v>
      </c>
      <c r="W390" s="37" t="s">
        <v>17</v>
      </c>
      <c r="X390" s="37" t="s">
        <v>190</v>
      </c>
      <c r="Y390" s="37">
        <v>2000</v>
      </c>
      <c r="Z390" s="37" t="s">
        <v>39</v>
      </c>
      <c r="AA390" s="37">
        <v>71</v>
      </c>
      <c r="AB390" s="37">
        <v>24</v>
      </c>
      <c r="AC390" s="37">
        <v>1</v>
      </c>
      <c r="AD390" s="37" t="s">
        <v>1002</v>
      </c>
      <c r="AE390" s="37">
        <v>1.3</v>
      </c>
      <c r="AF390" s="37" t="s">
        <v>1003</v>
      </c>
    </row>
    <row r="391" spans="1:32" customFormat="1" x14ac:dyDescent="0.2">
      <c r="A391" s="37"/>
      <c r="B391" s="37" t="s">
        <v>166</v>
      </c>
      <c r="C391" s="37"/>
      <c r="D391" s="37"/>
      <c r="E391" s="37"/>
      <c r="F391" s="37"/>
      <c r="G391" s="37"/>
      <c r="H391" s="37" t="s">
        <v>41</v>
      </c>
      <c r="I391" s="37"/>
      <c r="J391" s="37" t="s">
        <v>40</v>
      </c>
      <c r="K391" s="37">
        <v>132</v>
      </c>
      <c r="L391" s="37">
        <v>353</v>
      </c>
      <c r="M391" s="37">
        <v>21</v>
      </c>
      <c r="N391" s="37">
        <v>506</v>
      </c>
      <c r="O391" s="37">
        <v>200</v>
      </c>
      <c r="P391" s="37"/>
      <c r="Q391" s="37">
        <v>706</v>
      </c>
      <c r="R391" s="37">
        <v>25769</v>
      </c>
      <c r="S391" s="37"/>
      <c r="T391" s="37"/>
      <c r="U391" s="37"/>
      <c r="V391" s="37"/>
      <c r="W391" s="37" t="s">
        <v>17</v>
      </c>
      <c r="X391" s="37"/>
      <c r="Y391" s="37"/>
      <c r="Z391" s="37" t="s">
        <v>39</v>
      </c>
      <c r="AA391" s="37">
        <v>71</v>
      </c>
      <c r="AB391" s="37">
        <v>24</v>
      </c>
      <c r="AC391" s="37">
        <v>1</v>
      </c>
      <c r="AD391" s="37" t="s">
        <v>1002</v>
      </c>
      <c r="AE391" s="37">
        <v>1.3</v>
      </c>
      <c r="AF391" s="37" t="s">
        <v>1004</v>
      </c>
    </row>
    <row r="392" spans="1:32" customFormat="1" x14ac:dyDescent="0.2">
      <c r="A392" s="37"/>
      <c r="B392" s="37" t="s">
        <v>166</v>
      </c>
      <c r="C392" s="37"/>
      <c r="D392" s="37"/>
      <c r="E392" s="37"/>
      <c r="F392" s="37"/>
      <c r="G392" s="37"/>
      <c r="H392" s="37">
        <v>65</v>
      </c>
      <c r="I392" s="37"/>
      <c r="J392" s="37" t="s">
        <v>15</v>
      </c>
      <c r="K392" s="37">
        <v>146</v>
      </c>
      <c r="L392" s="37">
        <v>893</v>
      </c>
      <c r="M392" s="37">
        <v>41</v>
      </c>
      <c r="N392" s="37">
        <v>1080</v>
      </c>
      <c r="O392" s="37">
        <v>366</v>
      </c>
      <c r="P392" s="37">
        <v>0</v>
      </c>
      <c r="Q392" s="37">
        <v>1446</v>
      </c>
      <c r="R392" s="37">
        <v>70824</v>
      </c>
      <c r="S392" s="37"/>
      <c r="T392" s="37"/>
      <c r="U392" s="37"/>
      <c r="V392" s="37"/>
      <c r="W392" s="37" t="s">
        <v>17</v>
      </c>
      <c r="X392" s="37"/>
      <c r="Y392" s="37"/>
      <c r="Z392" s="37" t="s">
        <v>39</v>
      </c>
      <c r="AA392" s="37">
        <v>71</v>
      </c>
      <c r="AB392" s="37">
        <v>24</v>
      </c>
      <c r="AC392" s="37">
        <v>1</v>
      </c>
      <c r="AD392" s="37" t="s">
        <v>1002</v>
      </c>
      <c r="AE392" s="37">
        <v>1.3</v>
      </c>
      <c r="AF392" s="37" t="s">
        <v>1005</v>
      </c>
    </row>
    <row r="393" spans="1:32" customFormat="1" x14ac:dyDescent="0.2">
      <c r="A393" s="37"/>
      <c r="B393" s="37">
        <v>103</v>
      </c>
      <c r="C393" s="37" t="s">
        <v>39</v>
      </c>
      <c r="D393" s="37">
        <v>75</v>
      </c>
      <c r="E393" s="37">
        <v>28</v>
      </c>
      <c r="F393" s="37">
        <v>1</v>
      </c>
      <c r="G393" s="37">
        <v>9.6</v>
      </c>
      <c r="H393" s="37" t="s">
        <v>56</v>
      </c>
      <c r="I393" s="37" t="s">
        <v>23</v>
      </c>
      <c r="J393" s="37" t="s">
        <v>18</v>
      </c>
      <c r="K393" s="37">
        <v>11</v>
      </c>
      <c r="L393" s="37">
        <v>64</v>
      </c>
      <c r="M393" s="37">
        <v>2</v>
      </c>
      <c r="N393" s="37">
        <v>77</v>
      </c>
      <c r="O393" s="37">
        <v>106</v>
      </c>
      <c r="P393" s="37"/>
      <c r="Q393" s="37">
        <v>183</v>
      </c>
      <c r="R393" s="37">
        <v>1298</v>
      </c>
      <c r="S393" s="37"/>
      <c r="T393" s="37" t="s">
        <v>181</v>
      </c>
      <c r="U393" s="37" t="s">
        <v>281</v>
      </c>
      <c r="V393" s="37">
        <v>90</v>
      </c>
      <c r="W393" s="37" t="s">
        <v>19</v>
      </c>
      <c r="X393" s="37" t="s">
        <v>190</v>
      </c>
      <c r="Y393" s="37">
        <v>1632</v>
      </c>
      <c r="Z393" s="37" t="s">
        <v>39</v>
      </c>
      <c r="AA393" s="37">
        <v>75</v>
      </c>
      <c r="AB393" s="37">
        <v>28</v>
      </c>
      <c r="AC393" s="37">
        <v>1</v>
      </c>
      <c r="AD393" s="37" t="s">
        <v>1006</v>
      </c>
      <c r="AE393" s="37">
        <v>1.5</v>
      </c>
      <c r="AF393" s="37" t="s">
        <v>1007</v>
      </c>
    </row>
    <row r="394" spans="1:32" customFormat="1" x14ac:dyDescent="0.2">
      <c r="A394" s="37"/>
      <c r="B394" s="37" t="s">
        <v>166</v>
      </c>
      <c r="C394" s="37"/>
      <c r="D394" s="37"/>
      <c r="E394" s="37"/>
      <c r="F394" s="37"/>
      <c r="G394" s="37"/>
      <c r="H394" s="37" t="s">
        <v>42</v>
      </c>
      <c r="I394" s="37"/>
      <c r="J394" s="37" t="s">
        <v>17</v>
      </c>
      <c r="K394" s="37">
        <v>11</v>
      </c>
      <c r="L394" s="37">
        <v>51</v>
      </c>
      <c r="M394" s="37">
        <v>10</v>
      </c>
      <c r="N394" s="37">
        <v>72</v>
      </c>
      <c r="O394" s="37">
        <v>104</v>
      </c>
      <c r="P394" s="37"/>
      <c r="Q394" s="37">
        <v>176</v>
      </c>
      <c r="R394" s="37">
        <v>6154</v>
      </c>
      <c r="S394" s="37"/>
      <c r="T394" s="37"/>
      <c r="U394" s="37"/>
      <c r="V394" s="37"/>
      <c r="W394" s="37" t="s">
        <v>19</v>
      </c>
      <c r="X394" s="37"/>
      <c r="Y394" s="37"/>
      <c r="Z394" s="37" t="s">
        <v>39</v>
      </c>
      <c r="AA394" s="37">
        <v>75</v>
      </c>
      <c r="AB394" s="37">
        <v>28</v>
      </c>
      <c r="AC394" s="37">
        <v>1</v>
      </c>
      <c r="AD394" s="37" t="s">
        <v>1006</v>
      </c>
      <c r="AE394" s="37">
        <v>1.5</v>
      </c>
      <c r="AF394" s="37" t="s">
        <v>1008</v>
      </c>
    </row>
    <row r="395" spans="1:32" customFormat="1" x14ac:dyDescent="0.2">
      <c r="A395" s="37"/>
      <c r="B395" s="37" t="s">
        <v>166</v>
      </c>
      <c r="C395" s="37"/>
      <c r="D395" s="37"/>
      <c r="E395" s="37"/>
      <c r="F395" s="37"/>
      <c r="G395" s="37"/>
      <c r="H395" s="37">
        <v>90</v>
      </c>
      <c r="I395" s="37"/>
      <c r="J395" s="37" t="s">
        <v>19</v>
      </c>
      <c r="K395" s="37">
        <v>13</v>
      </c>
      <c r="L395" s="37">
        <v>232</v>
      </c>
      <c r="M395" s="37">
        <v>45</v>
      </c>
      <c r="N395" s="37">
        <v>290</v>
      </c>
      <c r="O395" s="37">
        <v>572</v>
      </c>
      <c r="P395" s="37"/>
      <c r="Q395" s="37">
        <v>862</v>
      </c>
      <c r="R395" s="37">
        <v>13517</v>
      </c>
      <c r="S395" s="37"/>
      <c r="T395" s="37"/>
      <c r="U395" s="37"/>
      <c r="V395" s="37"/>
      <c r="W395" s="37" t="s">
        <v>19</v>
      </c>
      <c r="X395" s="37"/>
      <c r="Y395" s="37"/>
      <c r="Z395" s="37" t="s">
        <v>39</v>
      </c>
      <c r="AA395" s="37">
        <v>75</v>
      </c>
      <c r="AB395" s="37">
        <v>28</v>
      </c>
      <c r="AC395" s="37">
        <v>1</v>
      </c>
      <c r="AD395" s="37" t="s">
        <v>1006</v>
      </c>
      <c r="AE395" s="37">
        <v>1.5</v>
      </c>
      <c r="AF395" s="37" t="s">
        <v>1009</v>
      </c>
    </row>
    <row r="396" spans="1:32" customFormat="1" x14ac:dyDescent="0.2">
      <c r="A396" s="37"/>
      <c r="B396" s="37" t="s">
        <v>166</v>
      </c>
      <c r="C396" s="37"/>
      <c r="D396" s="37"/>
      <c r="E396" s="37"/>
      <c r="F396" s="37"/>
      <c r="G396" s="37"/>
      <c r="H396" s="37"/>
      <c r="I396" s="37"/>
      <c r="J396" s="37" t="s">
        <v>25</v>
      </c>
      <c r="K396" s="37">
        <v>0</v>
      </c>
      <c r="L396" s="37">
        <v>36</v>
      </c>
      <c r="M396" s="37">
        <v>5</v>
      </c>
      <c r="N396" s="37">
        <v>41</v>
      </c>
      <c r="O396" s="37">
        <v>76</v>
      </c>
      <c r="P396" s="37"/>
      <c r="Q396" s="37">
        <v>117</v>
      </c>
      <c r="R396" s="37">
        <v>24059</v>
      </c>
      <c r="S396" s="37"/>
      <c r="T396" s="37"/>
      <c r="U396" s="37"/>
      <c r="V396" s="37"/>
      <c r="W396" s="37" t="s">
        <v>19</v>
      </c>
      <c r="X396" s="37"/>
      <c r="Y396" s="37"/>
      <c r="Z396" s="37" t="s">
        <v>39</v>
      </c>
      <c r="AA396" s="37">
        <v>75</v>
      </c>
      <c r="AB396" s="37">
        <v>28</v>
      </c>
      <c r="AC396" s="37">
        <v>1</v>
      </c>
      <c r="AD396" s="37" t="s">
        <v>1006</v>
      </c>
      <c r="AE396" s="37">
        <v>1.5</v>
      </c>
      <c r="AF396" s="37" t="s">
        <v>1010</v>
      </c>
    </row>
    <row r="397" spans="1:32" customFormat="1" x14ac:dyDescent="0.2">
      <c r="A397" s="37"/>
      <c r="B397" s="37" t="s">
        <v>166</v>
      </c>
      <c r="C397" s="37"/>
      <c r="D397" s="37"/>
      <c r="E397" s="37"/>
      <c r="F397" s="37"/>
      <c r="G397" s="37"/>
      <c r="H397" s="37"/>
      <c r="I397" s="37"/>
      <c r="J397" s="37" t="s">
        <v>15</v>
      </c>
      <c r="K397" s="37">
        <v>35</v>
      </c>
      <c r="L397" s="37">
        <v>383</v>
      </c>
      <c r="M397" s="37">
        <v>62</v>
      </c>
      <c r="N397" s="37">
        <v>480</v>
      </c>
      <c r="O397" s="37">
        <v>858</v>
      </c>
      <c r="P397" s="37">
        <v>0</v>
      </c>
      <c r="Q397" s="37">
        <v>1338</v>
      </c>
      <c r="R397" s="37">
        <v>45028</v>
      </c>
      <c r="S397" s="37"/>
      <c r="T397" s="37"/>
      <c r="U397" s="37"/>
      <c r="V397" s="37"/>
      <c r="W397" s="37" t="s">
        <v>19</v>
      </c>
      <c r="X397" s="37"/>
      <c r="Y397" s="37"/>
      <c r="Z397" s="37" t="s">
        <v>39</v>
      </c>
      <c r="AA397" s="37">
        <v>75</v>
      </c>
      <c r="AB397" s="37">
        <v>28</v>
      </c>
      <c r="AC397" s="37">
        <v>1</v>
      </c>
      <c r="AD397" s="37" t="s">
        <v>1006</v>
      </c>
      <c r="AE397" s="37">
        <v>1.5</v>
      </c>
      <c r="AF397" s="37" t="s">
        <v>1011</v>
      </c>
    </row>
    <row r="398" spans="1:32" customFormat="1" x14ac:dyDescent="0.2">
      <c r="A398" s="37"/>
      <c r="B398" s="37">
        <v>104</v>
      </c>
      <c r="C398" s="37" t="s">
        <v>39</v>
      </c>
      <c r="D398" s="37">
        <v>76</v>
      </c>
      <c r="E398" s="37">
        <v>3</v>
      </c>
      <c r="F398" s="37">
        <v>1</v>
      </c>
      <c r="G398" s="37">
        <v>10</v>
      </c>
      <c r="H398" s="37" t="s">
        <v>56</v>
      </c>
      <c r="I398" s="37" t="s">
        <v>23</v>
      </c>
      <c r="J398" s="37" t="s">
        <v>17</v>
      </c>
      <c r="K398" s="37">
        <v>113</v>
      </c>
      <c r="L398" s="37">
        <v>363</v>
      </c>
      <c r="M398" s="37">
        <v>49</v>
      </c>
      <c r="N398" s="37">
        <v>525</v>
      </c>
      <c r="O398" s="37">
        <v>229</v>
      </c>
      <c r="P398" s="37"/>
      <c r="Q398" s="37">
        <v>754</v>
      </c>
      <c r="R398" s="37">
        <v>43594</v>
      </c>
      <c r="S398" s="37"/>
      <c r="T398" s="37" t="s">
        <v>181</v>
      </c>
      <c r="U398" s="37" t="s">
        <v>41</v>
      </c>
      <c r="V398" s="37">
        <v>65</v>
      </c>
      <c r="W398" s="37" t="s">
        <v>17</v>
      </c>
      <c r="X398" s="37" t="s">
        <v>190</v>
      </c>
      <c r="Y398" s="37">
        <v>1900</v>
      </c>
      <c r="Z398" s="37" t="s">
        <v>39</v>
      </c>
      <c r="AA398" s="37">
        <v>76</v>
      </c>
      <c r="AB398" s="37">
        <v>3</v>
      </c>
      <c r="AC398" s="37">
        <v>1</v>
      </c>
      <c r="AD398" s="37" t="s">
        <v>1012</v>
      </c>
      <c r="AE398" s="37">
        <v>1.7</v>
      </c>
      <c r="AF398" s="37" t="s">
        <v>1013</v>
      </c>
    </row>
    <row r="399" spans="1:32" customFormat="1" x14ac:dyDescent="0.2">
      <c r="A399" s="37"/>
      <c r="B399" s="37" t="s">
        <v>166</v>
      </c>
      <c r="C399" s="37"/>
      <c r="D399" s="37"/>
      <c r="E399" s="37"/>
      <c r="F399" s="37"/>
      <c r="G399" s="37"/>
      <c r="H399" s="37" t="s">
        <v>41</v>
      </c>
      <c r="I399" s="37"/>
      <c r="J399" s="37" t="s">
        <v>40</v>
      </c>
      <c r="K399" s="37">
        <v>253</v>
      </c>
      <c r="L399" s="37">
        <v>507</v>
      </c>
      <c r="M399" s="37">
        <v>29</v>
      </c>
      <c r="N399" s="37">
        <v>789</v>
      </c>
      <c r="O399" s="37">
        <v>515</v>
      </c>
      <c r="P399" s="37"/>
      <c r="Q399" s="37">
        <v>1304</v>
      </c>
      <c r="R399" s="37">
        <v>41393</v>
      </c>
      <c r="S399" s="37"/>
      <c r="T399" s="37" t="s">
        <v>166</v>
      </c>
      <c r="U399" s="37" t="s">
        <v>166</v>
      </c>
      <c r="V399" s="37" t="s">
        <v>166</v>
      </c>
      <c r="W399" s="37" t="s">
        <v>17</v>
      </c>
      <c r="X399" s="37" t="s">
        <v>166</v>
      </c>
      <c r="Y399" s="37" t="s">
        <v>166</v>
      </c>
      <c r="Z399" s="37" t="s">
        <v>39</v>
      </c>
      <c r="AA399" s="37">
        <v>76</v>
      </c>
      <c r="AB399" s="37">
        <v>3</v>
      </c>
      <c r="AC399" s="37">
        <v>1</v>
      </c>
      <c r="AD399" s="37" t="s">
        <v>1012</v>
      </c>
      <c r="AE399" s="37">
        <v>2.7</v>
      </c>
      <c r="AF399" s="37" t="s">
        <v>1014</v>
      </c>
    </row>
    <row r="400" spans="1:32" customFormat="1" x14ac:dyDescent="0.2">
      <c r="A400" s="37"/>
      <c r="B400" s="37" t="s">
        <v>166</v>
      </c>
      <c r="C400" s="37"/>
      <c r="D400" s="37"/>
      <c r="E400" s="37"/>
      <c r="F400" s="37"/>
      <c r="G400" s="37"/>
      <c r="H400" s="37">
        <v>65</v>
      </c>
      <c r="I400" s="37"/>
      <c r="J400" s="37" t="s">
        <v>15</v>
      </c>
      <c r="K400" s="37">
        <v>366</v>
      </c>
      <c r="L400" s="37">
        <v>870</v>
      </c>
      <c r="M400" s="37">
        <v>78</v>
      </c>
      <c r="N400" s="37">
        <v>1314</v>
      </c>
      <c r="O400" s="37">
        <v>744</v>
      </c>
      <c r="P400" s="37">
        <v>0</v>
      </c>
      <c r="Q400" s="37">
        <v>2058</v>
      </c>
      <c r="R400" s="37">
        <v>84987</v>
      </c>
      <c r="S400" s="37"/>
      <c r="T400" s="37" t="s">
        <v>166</v>
      </c>
      <c r="U400" s="37" t="s">
        <v>166</v>
      </c>
      <c r="V400" s="37" t="s">
        <v>166</v>
      </c>
      <c r="W400" s="37" t="s">
        <v>17</v>
      </c>
      <c r="X400" s="37" t="s">
        <v>166</v>
      </c>
      <c r="Y400" s="37" t="s">
        <v>166</v>
      </c>
      <c r="Z400" s="37" t="s">
        <v>39</v>
      </c>
      <c r="AA400" s="37">
        <v>76</v>
      </c>
      <c r="AB400" s="37">
        <v>3</v>
      </c>
      <c r="AC400" s="37">
        <v>1</v>
      </c>
      <c r="AD400" s="37" t="s">
        <v>1012</v>
      </c>
      <c r="AE400" s="37">
        <v>3.7</v>
      </c>
      <c r="AF400" s="37" t="s">
        <v>1015</v>
      </c>
    </row>
    <row r="401" spans="1:32" customFormat="1" x14ac:dyDescent="0.2">
      <c r="A401" s="37"/>
      <c r="B401" s="37" t="s">
        <v>166</v>
      </c>
      <c r="C401" s="37"/>
      <c r="D401" s="37"/>
      <c r="E401" s="37"/>
      <c r="F401" s="37"/>
      <c r="G401" s="37"/>
      <c r="H401" s="37"/>
      <c r="I401" s="37"/>
      <c r="J401" s="37"/>
      <c r="K401" s="37"/>
      <c r="L401" s="37"/>
      <c r="M401" s="37"/>
      <c r="N401" s="37"/>
      <c r="O401" s="37"/>
      <c r="P401" s="37"/>
      <c r="Q401" s="37"/>
      <c r="R401" s="37"/>
      <c r="S401" s="37"/>
      <c r="T401" s="37" t="s">
        <v>166</v>
      </c>
      <c r="U401" s="37" t="s">
        <v>166</v>
      </c>
      <c r="V401" s="37" t="s">
        <v>166</v>
      </c>
      <c r="W401" s="37" t="s">
        <v>17</v>
      </c>
      <c r="X401" s="37" t="s">
        <v>166</v>
      </c>
      <c r="Y401" s="37" t="s">
        <v>166</v>
      </c>
      <c r="Z401" s="37" t="s">
        <v>39</v>
      </c>
      <c r="AA401" s="37">
        <v>76</v>
      </c>
      <c r="AB401" s="37">
        <v>3</v>
      </c>
      <c r="AC401" s="37">
        <v>1</v>
      </c>
      <c r="AD401" s="37" t="s">
        <v>1012</v>
      </c>
      <c r="AE401" s="37">
        <v>4.7</v>
      </c>
      <c r="AF401" s="37" t="s">
        <v>1016</v>
      </c>
    </row>
    <row r="402" spans="1:32" customFormat="1" x14ac:dyDescent="0.2">
      <c r="A402" s="37"/>
      <c r="B402" s="37"/>
      <c r="C402" s="37"/>
      <c r="D402" s="37" t="s">
        <v>21</v>
      </c>
      <c r="E402" s="37"/>
      <c r="F402" s="37"/>
      <c r="G402" s="37">
        <v>800</v>
      </c>
      <c r="H402" s="37"/>
      <c r="I402" s="37"/>
      <c r="J402" s="37"/>
      <c r="K402" s="37">
        <v>25883.263199999998</v>
      </c>
      <c r="L402" s="37">
        <v>36300.580400000006</v>
      </c>
      <c r="M402" s="37">
        <v>3859.8865000000001</v>
      </c>
      <c r="N402" s="37">
        <v>66043.730100000015</v>
      </c>
      <c r="O402" s="37">
        <v>63108.367799999993</v>
      </c>
      <c r="P402" s="37">
        <v>0</v>
      </c>
      <c r="Q402" s="37">
        <v>129260.09789999999</v>
      </c>
      <c r="R402" s="37">
        <v>3327274.9</v>
      </c>
      <c r="S402" s="37"/>
      <c r="T402" s="37" t="s">
        <v>166</v>
      </c>
      <c r="U402" s="37" t="s">
        <v>166</v>
      </c>
      <c r="V402" s="37" t="s">
        <v>166</v>
      </c>
      <c r="W402" s="37" t="s">
        <v>17</v>
      </c>
      <c r="X402" s="37" t="s">
        <v>166</v>
      </c>
      <c r="Y402" s="37" t="s">
        <v>166</v>
      </c>
      <c r="Z402" s="37" t="s">
        <v>39</v>
      </c>
      <c r="AA402" s="37">
        <v>76</v>
      </c>
      <c r="AB402" s="37">
        <v>3</v>
      </c>
      <c r="AC402" s="37">
        <v>1</v>
      </c>
      <c r="AD402" s="37" t="s">
        <v>1012</v>
      </c>
      <c r="AE402" s="37">
        <v>5.7</v>
      </c>
      <c r="AF402" s="37" t="s">
        <v>1016</v>
      </c>
    </row>
    <row r="403" spans="1:32" customFormat="1" x14ac:dyDescent="0.2">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c r="AA403" s="37"/>
      <c r="AB403" s="37"/>
      <c r="AC403" s="37"/>
      <c r="AD403" s="37"/>
      <c r="AE403" s="37"/>
      <c r="AF403" s="37"/>
    </row>
    <row r="404" spans="1:32" customFormat="1" x14ac:dyDescent="0.2">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c r="AA404" s="37"/>
      <c r="AB404" s="37"/>
      <c r="AC404" s="37"/>
      <c r="AD404" s="37"/>
      <c r="AE404" s="37"/>
      <c r="AF404" s="37"/>
    </row>
    <row r="405" spans="1:32" customFormat="1" x14ac:dyDescent="0.2">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c r="AA405" s="37"/>
      <c r="AB405" s="37"/>
      <c r="AC405" s="37"/>
      <c r="AD405" s="37"/>
      <c r="AE405" s="37"/>
      <c r="AF405" s="37"/>
    </row>
    <row r="406" spans="1:32" customFormat="1" x14ac:dyDescent="0.2">
      <c r="A406" s="37"/>
      <c r="B406" s="37"/>
      <c r="C406" s="37" t="s">
        <v>26</v>
      </c>
      <c r="D406" s="37">
        <v>3</v>
      </c>
      <c r="E406" s="37">
        <v>12</v>
      </c>
      <c r="F406" s="37">
        <v>1</v>
      </c>
      <c r="G406" s="37">
        <v>6.7</v>
      </c>
      <c r="H406" s="37" t="s">
        <v>209</v>
      </c>
      <c r="I406" s="37" t="s">
        <v>23</v>
      </c>
      <c r="J406" s="37" t="s">
        <v>17</v>
      </c>
      <c r="K406" s="37">
        <v>10</v>
      </c>
      <c r="L406" s="37">
        <v>75</v>
      </c>
      <c r="M406" s="37">
        <v>34</v>
      </c>
      <c r="N406" s="37">
        <v>119</v>
      </c>
      <c r="O406" s="37">
        <v>98</v>
      </c>
      <c r="P406" s="37">
        <v>30</v>
      </c>
      <c r="Q406" s="37">
        <v>247</v>
      </c>
      <c r="R406" s="37">
        <v>9155</v>
      </c>
      <c r="S406" s="37"/>
      <c r="T406" s="37" t="s">
        <v>181</v>
      </c>
      <c r="U406" s="37" t="s">
        <v>200</v>
      </c>
      <c r="V406" s="37">
        <v>55</v>
      </c>
      <c r="W406" s="37" t="s">
        <v>18</v>
      </c>
      <c r="X406" s="37" t="s">
        <v>190</v>
      </c>
      <c r="Y406" s="37">
        <v>1608</v>
      </c>
      <c r="Z406" s="37" t="s">
        <v>26</v>
      </c>
      <c r="AA406" s="37">
        <v>3</v>
      </c>
      <c r="AB406" s="37">
        <v>12</v>
      </c>
      <c r="AC406" s="37">
        <v>1</v>
      </c>
      <c r="AD406" s="37" t="s">
        <v>1018</v>
      </c>
      <c r="AE406" s="37"/>
      <c r="AF406" s="37" t="s">
        <v>1019</v>
      </c>
    </row>
    <row r="407" spans="1:32" customFormat="1" x14ac:dyDescent="0.2">
      <c r="A407" s="37"/>
      <c r="B407" s="37"/>
      <c r="C407" s="37"/>
      <c r="D407" s="37"/>
      <c r="E407" s="37"/>
      <c r="F407" s="37"/>
      <c r="G407" s="37" t="s">
        <v>166</v>
      </c>
      <c r="H407" s="37" t="s">
        <v>166</v>
      </c>
      <c r="I407" s="37" t="s">
        <v>166</v>
      </c>
      <c r="J407" s="37" t="s">
        <v>19</v>
      </c>
      <c r="K407" s="37">
        <v>8</v>
      </c>
      <c r="L407" s="37">
        <v>78</v>
      </c>
      <c r="M407" s="37">
        <v>20</v>
      </c>
      <c r="N407" s="37">
        <v>106</v>
      </c>
      <c r="O407" s="37">
        <v>126</v>
      </c>
      <c r="P407" s="37">
        <v>30</v>
      </c>
      <c r="Q407" s="37">
        <v>262</v>
      </c>
      <c r="R407" s="37">
        <v>5021</v>
      </c>
      <c r="S407" s="37"/>
      <c r="T407" s="37" t="s">
        <v>166</v>
      </c>
      <c r="U407" s="37" t="s">
        <v>166</v>
      </c>
      <c r="V407" s="37" t="s">
        <v>166</v>
      </c>
      <c r="W407" s="37" t="s">
        <v>18</v>
      </c>
      <c r="X407" s="37" t="s">
        <v>166</v>
      </c>
      <c r="Y407" s="37" t="s">
        <v>166</v>
      </c>
      <c r="Z407" s="37" t="s">
        <v>26</v>
      </c>
      <c r="AA407" s="37">
        <v>3</v>
      </c>
      <c r="AB407" s="37">
        <v>12</v>
      </c>
      <c r="AC407" s="37">
        <v>1</v>
      </c>
      <c r="AD407" s="37" t="s">
        <v>1018</v>
      </c>
      <c r="AE407" s="37"/>
      <c r="AF407" s="37" t="s">
        <v>1020</v>
      </c>
    </row>
    <row r="408" spans="1:32" customFormat="1" x14ac:dyDescent="0.2">
      <c r="A408" s="37"/>
      <c r="B408" s="37"/>
      <c r="C408" s="37"/>
      <c r="D408" s="37"/>
      <c r="E408" s="37"/>
      <c r="F408" s="37"/>
      <c r="G408" s="37" t="s">
        <v>166</v>
      </c>
      <c r="H408" s="37" t="s">
        <v>166</v>
      </c>
      <c r="I408" s="37" t="s">
        <v>166</v>
      </c>
      <c r="J408" s="37" t="s">
        <v>18</v>
      </c>
      <c r="K408" s="37">
        <v>291</v>
      </c>
      <c r="L408" s="37">
        <v>261</v>
      </c>
      <c r="M408" s="37">
        <v>12</v>
      </c>
      <c r="N408" s="37">
        <v>564</v>
      </c>
      <c r="O408" s="37">
        <v>397</v>
      </c>
      <c r="P408" s="37">
        <v>156</v>
      </c>
      <c r="Q408" s="37">
        <v>1117</v>
      </c>
      <c r="R408" s="37">
        <v>10826</v>
      </c>
      <c r="S408" s="37"/>
      <c r="T408" s="37" t="s">
        <v>166</v>
      </c>
      <c r="U408" s="37" t="s">
        <v>166</v>
      </c>
      <c r="V408" s="37" t="s">
        <v>166</v>
      </c>
      <c r="W408" s="37" t="s">
        <v>18</v>
      </c>
      <c r="X408" s="37" t="s">
        <v>166</v>
      </c>
      <c r="Y408" s="37" t="s">
        <v>166</v>
      </c>
      <c r="Z408" s="37" t="s">
        <v>26</v>
      </c>
      <c r="AA408" s="37">
        <v>3</v>
      </c>
      <c r="AB408" s="37">
        <v>12</v>
      </c>
      <c r="AC408" s="37">
        <v>1</v>
      </c>
      <c r="AD408" s="37" t="s">
        <v>1018</v>
      </c>
      <c r="AE408" s="37"/>
      <c r="AF408" s="37" t="s">
        <v>1021</v>
      </c>
    </row>
    <row r="409" spans="1:32" customFormat="1" x14ac:dyDescent="0.2">
      <c r="A409" s="37"/>
      <c r="B409" s="37"/>
      <c r="C409" s="37" t="s">
        <v>26</v>
      </c>
      <c r="D409" s="37">
        <v>4</v>
      </c>
      <c r="E409" s="37">
        <v>8</v>
      </c>
      <c r="F409" s="37" t="s">
        <v>296</v>
      </c>
      <c r="G409" s="37">
        <v>9.8000000000000007</v>
      </c>
      <c r="H409" s="37" t="s">
        <v>209</v>
      </c>
      <c r="I409" s="37" t="s">
        <v>23</v>
      </c>
      <c r="J409" s="37" t="s">
        <v>17</v>
      </c>
      <c r="K409" s="37">
        <v>13</v>
      </c>
      <c r="L409" s="37">
        <v>106</v>
      </c>
      <c r="M409" s="37">
        <v>50</v>
      </c>
      <c r="N409" s="37">
        <v>169</v>
      </c>
      <c r="O409" s="37">
        <v>111</v>
      </c>
      <c r="P409" s="37">
        <v>40</v>
      </c>
      <c r="Q409" s="37">
        <v>320</v>
      </c>
      <c r="R409" s="37">
        <v>12764</v>
      </c>
      <c r="S409" s="37"/>
      <c r="T409" s="37" t="s">
        <v>181</v>
      </c>
      <c r="U409" s="37" t="s">
        <v>214</v>
      </c>
      <c r="V409" s="37">
        <v>45</v>
      </c>
      <c r="W409" s="37" t="s">
        <v>18</v>
      </c>
      <c r="X409" s="37" t="s">
        <v>190</v>
      </c>
      <c r="Y409" s="37">
        <v>2156</v>
      </c>
      <c r="Z409" s="37" t="s">
        <v>26</v>
      </c>
      <c r="AA409" s="37">
        <v>4</v>
      </c>
      <c r="AB409" s="37">
        <v>8</v>
      </c>
      <c r="AC409" s="37" t="s">
        <v>296</v>
      </c>
      <c r="AD409" s="37" t="s">
        <v>1022</v>
      </c>
      <c r="AE409" s="37"/>
      <c r="AF409" s="37" t="s">
        <v>1023</v>
      </c>
    </row>
    <row r="410" spans="1:32" customFormat="1" x14ac:dyDescent="0.2">
      <c r="A410" s="37"/>
      <c r="B410" s="37"/>
      <c r="C410" s="37"/>
      <c r="D410" s="37"/>
      <c r="E410" s="37"/>
      <c r="F410" s="37"/>
      <c r="G410" s="37" t="s">
        <v>166</v>
      </c>
      <c r="H410" s="37" t="s">
        <v>166</v>
      </c>
      <c r="I410" s="37" t="s">
        <v>166</v>
      </c>
      <c r="J410" s="37" t="s">
        <v>19</v>
      </c>
      <c r="K410" s="37">
        <v>0</v>
      </c>
      <c r="L410" s="37">
        <v>40</v>
      </c>
      <c r="M410" s="37">
        <v>23</v>
      </c>
      <c r="N410" s="37">
        <v>63</v>
      </c>
      <c r="O410" s="37">
        <v>92</v>
      </c>
      <c r="P410" s="37">
        <v>19</v>
      </c>
      <c r="Q410" s="37">
        <v>174</v>
      </c>
      <c r="R410" s="37">
        <v>2673</v>
      </c>
      <c r="S410" s="37"/>
      <c r="T410" s="37" t="s">
        <v>166</v>
      </c>
      <c r="U410" s="37" t="s">
        <v>166</v>
      </c>
      <c r="V410" s="37" t="s">
        <v>166</v>
      </c>
      <c r="W410" s="37" t="s">
        <v>18</v>
      </c>
      <c r="X410" s="37" t="s">
        <v>166</v>
      </c>
      <c r="Y410" s="37" t="s">
        <v>166</v>
      </c>
      <c r="Z410" s="37" t="s">
        <v>26</v>
      </c>
      <c r="AA410" s="37">
        <v>4</v>
      </c>
      <c r="AB410" s="37">
        <v>8</v>
      </c>
      <c r="AC410" s="37" t="s">
        <v>296</v>
      </c>
      <c r="AD410" s="37" t="s">
        <v>1022</v>
      </c>
      <c r="AE410" s="37"/>
      <c r="AF410" s="37" t="s">
        <v>1024</v>
      </c>
    </row>
    <row r="411" spans="1:32" customFormat="1" x14ac:dyDescent="0.2">
      <c r="A411" s="37"/>
      <c r="B411" s="37"/>
      <c r="C411" s="37"/>
      <c r="D411" s="37"/>
      <c r="E411" s="37"/>
      <c r="F411" s="37"/>
      <c r="G411" s="37" t="s">
        <v>166</v>
      </c>
      <c r="H411" s="37" t="s">
        <v>166</v>
      </c>
      <c r="I411" s="37" t="s">
        <v>166</v>
      </c>
      <c r="J411" s="37" t="s">
        <v>18</v>
      </c>
      <c r="K411" s="37">
        <v>434</v>
      </c>
      <c r="L411" s="37">
        <v>350</v>
      </c>
      <c r="M411" s="37">
        <v>28</v>
      </c>
      <c r="N411" s="37">
        <v>812</v>
      </c>
      <c r="O411" s="37">
        <v>501</v>
      </c>
      <c r="P411" s="37">
        <v>205</v>
      </c>
      <c r="Q411" s="37">
        <v>1518</v>
      </c>
      <c r="R411" s="37">
        <v>15543</v>
      </c>
      <c r="S411" s="37"/>
      <c r="T411" s="37" t="s">
        <v>166</v>
      </c>
      <c r="U411" s="37" t="s">
        <v>166</v>
      </c>
      <c r="V411" s="37" t="s">
        <v>166</v>
      </c>
      <c r="W411" s="37" t="s">
        <v>18</v>
      </c>
      <c r="X411" s="37" t="s">
        <v>166</v>
      </c>
      <c r="Y411" s="37" t="s">
        <v>166</v>
      </c>
      <c r="Z411" s="37" t="s">
        <v>26</v>
      </c>
      <c r="AA411" s="37">
        <v>4</v>
      </c>
      <c r="AB411" s="37">
        <v>8</v>
      </c>
      <c r="AC411" s="37" t="s">
        <v>296</v>
      </c>
      <c r="AD411" s="37" t="s">
        <v>1022</v>
      </c>
      <c r="AE411" s="37"/>
      <c r="AF411" s="37" t="s">
        <v>1025</v>
      </c>
    </row>
    <row r="412" spans="1:32" customFormat="1" x14ac:dyDescent="0.2">
      <c r="A412" s="37"/>
      <c r="B412" s="37"/>
      <c r="C412" s="37" t="s">
        <v>26</v>
      </c>
      <c r="D412" s="37">
        <v>4</v>
      </c>
      <c r="E412" s="37">
        <v>8</v>
      </c>
      <c r="F412" s="37">
        <v>2</v>
      </c>
      <c r="G412" s="37">
        <v>8.1</v>
      </c>
      <c r="H412" s="37" t="s">
        <v>181</v>
      </c>
      <c r="I412" s="37" t="s">
        <v>23</v>
      </c>
      <c r="J412" s="37" t="s">
        <v>17</v>
      </c>
      <c r="K412" s="37">
        <v>10</v>
      </c>
      <c r="L412" s="37">
        <v>75</v>
      </c>
      <c r="M412" s="37">
        <v>34</v>
      </c>
      <c r="N412" s="37">
        <v>119</v>
      </c>
      <c r="O412" s="37">
        <v>98</v>
      </c>
      <c r="P412" s="37">
        <v>30</v>
      </c>
      <c r="Q412" s="37">
        <v>247</v>
      </c>
      <c r="R412" s="37">
        <v>9155</v>
      </c>
      <c r="S412" s="37"/>
      <c r="T412" s="37" t="s">
        <v>181</v>
      </c>
      <c r="U412" s="37" t="s">
        <v>214</v>
      </c>
      <c r="V412" s="37">
        <v>45</v>
      </c>
      <c r="W412" s="37" t="s">
        <v>18</v>
      </c>
      <c r="X412" s="37" t="s">
        <v>190</v>
      </c>
      <c r="Y412" s="37">
        <v>1782</v>
      </c>
      <c r="Z412" s="37" t="s">
        <v>26</v>
      </c>
      <c r="AA412" s="37">
        <v>4</v>
      </c>
      <c r="AB412" s="37">
        <v>8</v>
      </c>
      <c r="AC412" s="37">
        <v>2</v>
      </c>
      <c r="AD412" s="37" t="s">
        <v>1026</v>
      </c>
      <c r="AE412" s="37"/>
      <c r="AF412" s="37" t="s">
        <v>1027</v>
      </c>
    </row>
    <row r="413" spans="1:32" customFormat="1" x14ac:dyDescent="0.2">
      <c r="A413" s="37"/>
      <c r="B413" s="37"/>
      <c r="C413" s="37"/>
      <c r="D413" s="37"/>
      <c r="E413" s="37"/>
      <c r="F413" s="37"/>
      <c r="G413" s="37" t="s">
        <v>166</v>
      </c>
      <c r="H413" s="37" t="s">
        <v>166</v>
      </c>
      <c r="I413" s="37" t="s">
        <v>166</v>
      </c>
      <c r="J413" s="37" t="s">
        <v>19</v>
      </c>
      <c r="K413" s="37">
        <v>0</v>
      </c>
      <c r="L413" s="37">
        <v>29</v>
      </c>
      <c r="M413" s="37">
        <v>18</v>
      </c>
      <c r="N413" s="37">
        <v>47</v>
      </c>
      <c r="O413" s="37">
        <v>82</v>
      </c>
      <c r="P413" s="37">
        <v>15</v>
      </c>
      <c r="Q413" s="37">
        <v>144</v>
      </c>
      <c r="R413" s="37">
        <v>1987</v>
      </c>
      <c r="S413" s="37"/>
      <c r="T413" s="37" t="s">
        <v>166</v>
      </c>
      <c r="U413" s="37" t="s">
        <v>166</v>
      </c>
      <c r="V413" s="37" t="s">
        <v>166</v>
      </c>
      <c r="W413" s="37" t="s">
        <v>18</v>
      </c>
      <c r="X413" s="37" t="s">
        <v>166</v>
      </c>
      <c r="Y413" s="37" t="s">
        <v>166</v>
      </c>
      <c r="Z413" s="37" t="s">
        <v>26</v>
      </c>
      <c r="AA413" s="37">
        <v>4</v>
      </c>
      <c r="AB413" s="37">
        <v>8</v>
      </c>
      <c r="AC413" s="37">
        <v>2</v>
      </c>
      <c r="AD413" s="37" t="s">
        <v>1026</v>
      </c>
      <c r="AE413" s="37"/>
      <c r="AF413" s="37" t="s">
        <v>1028</v>
      </c>
    </row>
    <row r="414" spans="1:32" customFormat="1" x14ac:dyDescent="0.2">
      <c r="A414" s="37"/>
      <c r="B414" s="37"/>
      <c r="C414" s="37"/>
      <c r="D414" s="37"/>
      <c r="E414" s="37"/>
      <c r="F414" s="37"/>
      <c r="G414" s="37" t="s">
        <v>166</v>
      </c>
      <c r="H414" s="37" t="s">
        <v>166</v>
      </c>
      <c r="I414" s="37" t="s">
        <v>166</v>
      </c>
      <c r="J414" s="37" t="s">
        <v>18</v>
      </c>
      <c r="K414" s="37">
        <v>401</v>
      </c>
      <c r="L414" s="37">
        <v>324</v>
      </c>
      <c r="M414" s="37">
        <v>24</v>
      </c>
      <c r="N414" s="37">
        <v>749</v>
      </c>
      <c r="O414" s="37">
        <v>483</v>
      </c>
      <c r="P414" s="37">
        <v>195</v>
      </c>
      <c r="Q414" s="37">
        <v>1427</v>
      </c>
      <c r="R414" s="37">
        <v>14361</v>
      </c>
      <c r="S414" s="37"/>
      <c r="T414" s="37" t="s">
        <v>166</v>
      </c>
      <c r="U414" s="37" t="s">
        <v>166</v>
      </c>
      <c r="V414" s="37" t="s">
        <v>166</v>
      </c>
      <c r="W414" s="37" t="s">
        <v>18</v>
      </c>
      <c r="X414" s="37" t="s">
        <v>166</v>
      </c>
      <c r="Y414" s="37" t="s">
        <v>166</v>
      </c>
      <c r="Z414" s="37" t="s">
        <v>26</v>
      </c>
      <c r="AA414" s="37">
        <v>4</v>
      </c>
      <c r="AB414" s="37">
        <v>8</v>
      </c>
      <c r="AC414" s="37">
        <v>2</v>
      </c>
      <c r="AD414" s="37" t="s">
        <v>1026</v>
      </c>
      <c r="AE414" s="37"/>
      <c r="AF414" s="37" t="s">
        <v>1029</v>
      </c>
    </row>
    <row r="415" spans="1:32" customFormat="1" x14ac:dyDescent="0.2">
      <c r="A415" s="37"/>
      <c r="B415" s="37"/>
      <c r="C415" s="37" t="s">
        <v>26</v>
      </c>
      <c r="D415" s="37">
        <v>6</v>
      </c>
      <c r="E415" s="37">
        <v>18</v>
      </c>
      <c r="F415" s="37" t="s">
        <v>296</v>
      </c>
      <c r="G415" s="37">
        <v>4</v>
      </c>
      <c r="H415" s="37" t="s">
        <v>174</v>
      </c>
      <c r="I415" s="37" t="s">
        <v>23</v>
      </c>
      <c r="J415" s="37" t="s">
        <v>17</v>
      </c>
      <c r="K415" s="37">
        <v>0</v>
      </c>
      <c r="L415" s="37">
        <v>23</v>
      </c>
      <c r="M415" s="37">
        <v>17</v>
      </c>
      <c r="N415" s="37">
        <v>40</v>
      </c>
      <c r="O415" s="37">
        <v>22</v>
      </c>
      <c r="P415" s="37">
        <v>10</v>
      </c>
      <c r="Q415" s="37">
        <v>72</v>
      </c>
      <c r="R415" s="37">
        <v>2696</v>
      </c>
      <c r="S415" s="37"/>
      <c r="T415" s="37" t="s">
        <v>181</v>
      </c>
      <c r="U415" s="37" t="s">
        <v>214</v>
      </c>
      <c r="V415" s="37">
        <v>45</v>
      </c>
      <c r="W415" s="37" t="s">
        <v>18</v>
      </c>
      <c r="X415" s="37" t="s">
        <v>190</v>
      </c>
      <c r="Y415" s="37">
        <v>840</v>
      </c>
      <c r="Z415" s="37" t="s">
        <v>26</v>
      </c>
      <c r="AA415" s="37">
        <v>6</v>
      </c>
      <c r="AB415" s="37">
        <v>18</v>
      </c>
      <c r="AC415" s="37" t="s">
        <v>296</v>
      </c>
      <c r="AD415" s="37" t="s">
        <v>1030</v>
      </c>
      <c r="AE415" s="37"/>
      <c r="AF415" s="37" t="s">
        <v>1031</v>
      </c>
    </row>
    <row r="416" spans="1:32" customFormat="1" x14ac:dyDescent="0.2">
      <c r="A416" s="37"/>
      <c r="B416" s="37"/>
      <c r="C416" s="37"/>
      <c r="D416" s="37"/>
      <c r="E416" s="37"/>
      <c r="F416" s="37"/>
      <c r="G416" s="37" t="s">
        <v>166</v>
      </c>
      <c r="H416" s="37" t="s">
        <v>166</v>
      </c>
      <c r="I416" s="37" t="s">
        <v>166</v>
      </c>
      <c r="J416" s="37" t="s">
        <v>19</v>
      </c>
      <c r="K416" s="37">
        <v>0</v>
      </c>
      <c r="L416" s="37">
        <v>14</v>
      </c>
      <c r="M416" s="37">
        <v>7</v>
      </c>
      <c r="N416" s="37">
        <v>21</v>
      </c>
      <c r="O416" s="37">
        <v>37</v>
      </c>
      <c r="P416" s="37">
        <v>6</v>
      </c>
      <c r="Q416" s="37">
        <v>64</v>
      </c>
      <c r="R416" s="37">
        <v>922</v>
      </c>
      <c r="S416" s="37"/>
      <c r="T416" s="37" t="s">
        <v>166</v>
      </c>
      <c r="U416" s="37" t="s">
        <v>166</v>
      </c>
      <c r="V416" s="37" t="s">
        <v>166</v>
      </c>
      <c r="W416" s="37" t="s">
        <v>18</v>
      </c>
      <c r="X416" s="37" t="s">
        <v>166</v>
      </c>
      <c r="Y416" s="37" t="s">
        <v>166</v>
      </c>
      <c r="Z416" s="37" t="s">
        <v>26</v>
      </c>
      <c r="AA416" s="37">
        <v>6</v>
      </c>
      <c r="AB416" s="37">
        <v>18</v>
      </c>
      <c r="AC416" s="37" t="s">
        <v>296</v>
      </c>
      <c r="AD416" s="37" t="s">
        <v>1030</v>
      </c>
      <c r="AE416" s="37"/>
      <c r="AF416" s="37" t="s">
        <v>1032</v>
      </c>
    </row>
    <row r="417" spans="1:32" customFormat="1" x14ac:dyDescent="0.2">
      <c r="A417" s="37"/>
      <c r="B417" s="37"/>
      <c r="C417" s="37"/>
      <c r="D417" s="37"/>
      <c r="E417" s="37"/>
      <c r="F417" s="37"/>
      <c r="G417" s="37" t="s">
        <v>166</v>
      </c>
      <c r="H417" s="37" t="s">
        <v>166</v>
      </c>
      <c r="I417" s="37" t="s">
        <v>166</v>
      </c>
      <c r="J417" s="37" t="s">
        <v>18</v>
      </c>
      <c r="K417" s="37">
        <v>247</v>
      </c>
      <c r="L417" s="37">
        <v>154</v>
      </c>
      <c r="M417" s="37">
        <v>11</v>
      </c>
      <c r="N417" s="37">
        <v>412</v>
      </c>
      <c r="O417" s="37">
        <v>270</v>
      </c>
      <c r="P417" s="37">
        <v>109</v>
      </c>
      <c r="Q417" s="37">
        <v>791</v>
      </c>
      <c r="R417" s="37">
        <v>8053</v>
      </c>
      <c r="S417" s="37"/>
      <c r="T417" s="37" t="s">
        <v>166</v>
      </c>
      <c r="U417" s="37" t="s">
        <v>166</v>
      </c>
      <c r="V417" s="37" t="s">
        <v>166</v>
      </c>
      <c r="W417" s="37" t="s">
        <v>18</v>
      </c>
      <c r="X417" s="37" t="s">
        <v>166</v>
      </c>
      <c r="Y417" s="37" t="s">
        <v>166</v>
      </c>
      <c r="Z417" s="37" t="s">
        <v>26</v>
      </c>
      <c r="AA417" s="37">
        <v>6</v>
      </c>
      <c r="AB417" s="37">
        <v>18</v>
      </c>
      <c r="AC417" s="37" t="s">
        <v>296</v>
      </c>
      <c r="AD417" s="37" t="s">
        <v>1030</v>
      </c>
      <c r="AE417" s="37"/>
      <c r="AF417" s="37" t="s">
        <v>1033</v>
      </c>
    </row>
    <row r="418" spans="1:32" customFormat="1" x14ac:dyDescent="0.2">
      <c r="A418" s="37"/>
      <c r="B418" s="37"/>
      <c r="C418" s="37" t="s">
        <v>26</v>
      </c>
      <c r="D418" s="37">
        <v>8</v>
      </c>
      <c r="E418" s="37">
        <v>15</v>
      </c>
      <c r="F418" s="37" t="s">
        <v>296</v>
      </c>
      <c r="G418" s="37">
        <v>4.2</v>
      </c>
      <c r="H418" s="37" t="s">
        <v>174</v>
      </c>
      <c r="I418" s="37" t="s">
        <v>23</v>
      </c>
      <c r="J418" s="37" t="s">
        <v>17</v>
      </c>
      <c r="K418" s="37">
        <v>18</v>
      </c>
      <c r="L418" s="37">
        <v>26</v>
      </c>
      <c r="M418" s="37">
        <v>2</v>
      </c>
      <c r="N418" s="37">
        <v>46</v>
      </c>
      <c r="O418" s="37">
        <v>43</v>
      </c>
      <c r="P418" s="37">
        <v>12</v>
      </c>
      <c r="Q418" s="37">
        <v>101</v>
      </c>
      <c r="R418" s="37">
        <v>4503</v>
      </c>
      <c r="S418" s="37"/>
      <c r="T418" s="37" t="s">
        <v>181</v>
      </c>
      <c r="U418" s="37" t="s">
        <v>195</v>
      </c>
      <c r="V418" s="37">
        <v>60</v>
      </c>
      <c r="W418" s="37" t="s">
        <v>18</v>
      </c>
      <c r="X418" s="37" t="s">
        <v>190</v>
      </c>
      <c r="Y418" s="37">
        <v>1176</v>
      </c>
      <c r="Z418" s="37" t="s">
        <v>26</v>
      </c>
      <c r="AA418" s="37">
        <v>8</v>
      </c>
      <c r="AB418" s="37">
        <v>15</v>
      </c>
      <c r="AC418" s="37" t="s">
        <v>296</v>
      </c>
      <c r="AD418" s="37" t="s">
        <v>1034</v>
      </c>
      <c r="AE418" s="37"/>
      <c r="AF418" s="37" t="s">
        <v>1035</v>
      </c>
    </row>
    <row r="419" spans="1:32" customFormat="1" x14ac:dyDescent="0.2">
      <c r="A419" s="37"/>
      <c r="B419" s="37"/>
      <c r="C419" s="37"/>
      <c r="D419" s="37"/>
      <c r="E419" s="37"/>
      <c r="F419" s="37"/>
      <c r="G419" s="37" t="s">
        <v>166</v>
      </c>
      <c r="H419" s="37" t="s">
        <v>166</v>
      </c>
      <c r="I419" s="37" t="s">
        <v>166</v>
      </c>
      <c r="J419" s="37" t="s">
        <v>19</v>
      </c>
      <c r="K419" s="37">
        <v>2</v>
      </c>
      <c r="L419" s="37">
        <v>17</v>
      </c>
      <c r="M419" s="37">
        <v>5</v>
      </c>
      <c r="N419" s="37">
        <v>24</v>
      </c>
      <c r="O419" s="37">
        <v>61</v>
      </c>
      <c r="P419" s="37">
        <v>12</v>
      </c>
      <c r="Q419" s="37">
        <v>97</v>
      </c>
      <c r="R419" s="37">
        <v>1184</v>
      </c>
      <c r="S419" s="37"/>
      <c r="T419" s="37" t="s">
        <v>166</v>
      </c>
      <c r="U419" s="37" t="s">
        <v>166</v>
      </c>
      <c r="V419" s="37" t="s">
        <v>166</v>
      </c>
      <c r="W419" s="37" t="s">
        <v>18</v>
      </c>
      <c r="X419" s="37" t="s">
        <v>166</v>
      </c>
      <c r="Y419" s="37" t="s">
        <v>166</v>
      </c>
      <c r="Z419" s="37" t="s">
        <v>26</v>
      </c>
      <c r="AA419" s="37">
        <v>8</v>
      </c>
      <c r="AB419" s="37">
        <v>15</v>
      </c>
      <c r="AC419" s="37" t="s">
        <v>296</v>
      </c>
      <c r="AD419" s="37" t="s">
        <v>1034</v>
      </c>
      <c r="AE419" s="37"/>
      <c r="AF419" s="37" t="s">
        <v>1036</v>
      </c>
    </row>
    <row r="420" spans="1:32" customFormat="1" x14ac:dyDescent="0.2">
      <c r="A420" s="37"/>
      <c r="B420" s="37"/>
      <c r="C420" s="37"/>
      <c r="D420" s="37"/>
      <c r="E420" s="37"/>
      <c r="F420" s="37"/>
      <c r="G420" s="37" t="s">
        <v>166</v>
      </c>
      <c r="H420" s="37" t="s">
        <v>166</v>
      </c>
      <c r="I420" s="37" t="s">
        <v>166</v>
      </c>
      <c r="J420" s="37" t="s">
        <v>18</v>
      </c>
      <c r="K420" s="37">
        <v>345</v>
      </c>
      <c r="L420" s="37">
        <v>127</v>
      </c>
      <c r="M420" s="37">
        <v>0</v>
      </c>
      <c r="N420" s="37">
        <v>472</v>
      </c>
      <c r="O420" s="37">
        <v>325</v>
      </c>
      <c r="P420" s="37">
        <v>130</v>
      </c>
      <c r="Q420" s="37">
        <v>927</v>
      </c>
      <c r="R420" s="37">
        <v>9663</v>
      </c>
      <c r="S420" s="37"/>
      <c r="T420" s="37" t="s">
        <v>166</v>
      </c>
      <c r="U420" s="37" t="s">
        <v>166</v>
      </c>
      <c r="V420" s="37" t="s">
        <v>166</v>
      </c>
      <c r="W420" s="37" t="s">
        <v>18</v>
      </c>
      <c r="X420" s="37" t="s">
        <v>166</v>
      </c>
      <c r="Y420" s="37" t="s">
        <v>166</v>
      </c>
      <c r="Z420" s="37" t="s">
        <v>26</v>
      </c>
      <c r="AA420" s="37">
        <v>8</v>
      </c>
      <c r="AB420" s="37">
        <v>15</v>
      </c>
      <c r="AC420" s="37" t="s">
        <v>296</v>
      </c>
      <c r="AD420" s="37" t="s">
        <v>1034</v>
      </c>
      <c r="AE420" s="37"/>
      <c r="AF420" s="37" t="s">
        <v>1037</v>
      </c>
    </row>
    <row r="421" spans="1:32" customFormat="1" x14ac:dyDescent="0.2">
      <c r="A421" s="37"/>
      <c r="B421" s="37"/>
      <c r="C421" s="37" t="s">
        <v>26</v>
      </c>
      <c r="D421" s="37">
        <v>8</v>
      </c>
      <c r="E421" s="37">
        <v>15</v>
      </c>
      <c r="F421" s="37">
        <v>2</v>
      </c>
      <c r="G421" s="37">
        <v>4.2</v>
      </c>
      <c r="H421" s="37" t="s">
        <v>181</v>
      </c>
      <c r="I421" s="37" t="s">
        <v>23</v>
      </c>
      <c r="J421" s="37" t="s">
        <v>17</v>
      </c>
      <c r="K421" s="37">
        <v>11</v>
      </c>
      <c r="L421" s="37">
        <v>27</v>
      </c>
      <c r="M421" s="37">
        <v>6</v>
      </c>
      <c r="N421" s="37">
        <v>44</v>
      </c>
      <c r="O421" s="37">
        <v>46</v>
      </c>
      <c r="P421" s="37">
        <v>13</v>
      </c>
      <c r="Q421" s="37">
        <v>103</v>
      </c>
      <c r="R421" s="37">
        <v>3917</v>
      </c>
      <c r="S421" s="37"/>
      <c r="T421" s="37" t="s">
        <v>181</v>
      </c>
      <c r="U421" s="37" t="s">
        <v>195</v>
      </c>
      <c r="V421" s="37">
        <v>60</v>
      </c>
      <c r="W421" s="37" t="s">
        <v>18</v>
      </c>
      <c r="X421" s="37" t="s">
        <v>190</v>
      </c>
      <c r="Y421" s="37">
        <v>1176</v>
      </c>
      <c r="Z421" s="37" t="s">
        <v>26</v>
      </c>
      <c r="AA421" s="37">
        <v>8</v>
      </c>
      <c r="AB421" s="37">
        <v>15</v>
      </c>
      <c r="AC421" s="37">
        <v>2</v>
      </c>
      <c r="AD421" s="37" t="s">
        <v>1038</v>
      </c>
      <c r="AE421" s="37"/>
      <c r="AF421" s="37" t="s">
        <v>1039</v>
      </c>
    </row>
    <row r="422" spans="1:32" customFormat="1" x14ac:dyDescent="0.2">
      <c r="A422" s="37"/>
      <c r="B422" s="37"/>
      <c r="C422" s="37"/>
      <c r="D422" s="37"/>
      <c r="E422" s="37"/>
      <c r="F422" s="37"/>
      <c r="G422" s="37" t="s">
        <v>166</v>
      </c>
      <c r="H422" s="37" t="s">
        <v>166</v>
      </c>
      <c r="I422" s="37" t="s">
        <v>166</v>
      </c>
      <c r="J422" s="37" t="s">
        <v>19</v>
      </c>
      <c r="K422" s="37">
        <v>4</v>
      </c>
      <c r="L422" s="37">
        <v>23</v>
      </c>
      <c r="M422" s="37">
        <v>5</v>
      </c>
      <c r="N422" s="37">
        <v>32</v>
      </c>
      <c r="O422" s="37">
        <v>55</v>
      </c>
      <c r="P422" s="37">
        <v>12</v>
      </c>
      <c r="Q422" s="37">
        <v>99</v>
      </c>
      <c r="R422" s="37">
        <v>0</v>
      </c>
      <c r="S422" s="37"/>
      <c r="T422" s="37" t="s">
        <v>166</v>
      </c>
      <c r="U422" s="37" t="s">
        <v>166</v>
      </c>
      <c r="V422" s="37" t="s">
        <v>166</v>
      </c>
      <c r="W422" s="37" t="s">
        <v>18</v>
      </c>
      <c r="X422" s="37" t="s">
        <v>166</v>
      </c>
      <c r="Y422" s="37" t="s">
        <v>166</v>
      </c>
      <c r="Z422" s="37" t="s">
        <v>26</v>
      </c>
      <c r="AA422" s="37">
        <v>8</v>
      </c>
      <c r="AB422" s="37">
        <v>15</v>
      </c>
      <c r="AC422" s="37">
        <v>2</v>
      </c>
      <c r="AD422" s="37" t="s">
        <v>1038</v>
      </c>
      <c r="AE422" s="37"/>
      <c r="AF422" s="37" t="s">
        <v>1040</v>
      </c>
    </row>
    <row r="423" spans="1:32" customFormat="1" x14ac:dyDescent="0.2">
      <c r="A423" s="37"/>
      <c r="B423" s="37"/>
      <c r="C423" s="37"/>
      <c r="D423" s="37"/>
      <c r="E423" s="37"/>
      <c r="F423" s="37"/>
      <c r="G423" s="37" t="s">
        <v>166</v>
      </c>
      <c r="H423" s="37" t="s">
        <v>166</v>
      </c>
      <c r="I423" s="37" t="s">
        <v>166</v>
      </c>
      <c r="J423" s="37" t="s">
        <v>18</v>
      </c>
      <c r="K423" s="37">
        <v>316</v>
      </c>
      <c r="L423" s="37">
        <v>116</v>
      </c>
      <c r="M423" s="37">
        <v>3</v>
      </c>
      <c r="N423" s="37">
        <v>435</v>
      </c>
      <c r="O423" s="37">
        <v>319</v>
      </c>
      <c r="P423" s="37">
        <v>125</v>
      </c>
      <c r="Q423" s="37">
        <v>879</v>
      </c>
      <c r="R423" s="37">
        <v>8869</v>
      </c>
      <c r="S423" s="37"/>
      <c r="T423" s="37" t="s">
        <v>166</v>
      </c>
      <c r="U423" s="37" t="s">
        <v>166</v>
      </c>
      <c r="V423" s="37" t="s">
        <v>166</v>
      </c>
      <c r="W423" s="37" t="s">
        <v>18</v>
      </c>
      <c r="X423" s="37" t="s">
        <v>166</v>
      </c>
      <c r="Y423" s="37" t="s">
        <v>166</v>
      </c>
      <c r="Z423" s="37" t="s">
        <v>26</v>
      </c>
      <c r="AA423" s="37">
        <v>8</v>
      </c>
      <c r="AB423" s="37">
        <v>15</v>
      </c>
      <c r="AC423" s="37">
        <v>2</v>
      </c>
      <c r="AD423" s="37" t="s">
        <v>1038</v>
      </c>
      <c r="AE423" s="37"/>
      <c r="AF423" s="37" t="s">
        <v>1041</v>
      </c>
    </row>
    <row r="424" spans="1:32" customFormat="1" x14ac:dyDescent="0.2">
      <c r="A424" s="37"/>
      <c r="B424" s="37"/>
      <c r="C424" s="37" t="s">
        <v>26</v>
      </c>
      <c r="D424" s="37">
        <v>8</v>
      </c>
      <c r="E424" s="37">
        <v>15</v>
      </c>
      <c r="F424" s="37">
        <v>3</v>
      </c>
      <c r="G424" s="37">
        <v>4.2</v>
      </c>
      <c r="H424" s="37" t="s">
        <v>174</v>
      </c>
      <c r="I424" s="37" t="s">
        <v>23</v>
      </c>
      <c r="J424" s="37" t="s">
        <v>17</v>
      </c>
      <c r="K424" s="37">
        <v>11</v>
      </c>
      <c r="L424" s="37">
        <v>29</v>
      </c>
      <c r="M424" s="37">
        <v>9</v>
      </c>
      <c r="N424" s="37">
        <v>49</v>
      </c>
      <c r="O424" s="37">
        <v>44</v>
      </c>
      <c r="P424" s="37">
        <v>12</v>
      </c>
      <c r="Q424" s="37">
        <v>105</v>
      </c>
      <c r="R424" s="37">
        <v>4223</v>
      </c>
      <c r="S424" s="37"/>
      <c r="T424" s="37" t="s">
        <v>181</v>
      </c>
      <c r="U424" s="37" t="s">
        <v>195</v>
      </c>
      <c r="V424" s="37">
        <v>60</v>
      </c>
      <c r="W424" s="37" t="s">
        <v>18</v>
      </c>
      <c r="X424" s="37" t="s">
        <v>190</v>
      </c>
      <c r="Y424" s="37">
        <v>1176</v>
      </c>
      <c r="Z424" s="37" t="s">
        <v>26</v>
      </c>
      <c r="AA424" s="37">
        <v>8</v>
      </c>
      <c r="AB424" s="37">
        <v>15</v>
      </c>
      <c r="AC424" s="37">
        <v>3</v>
      </c>
      <c r="AD424" s="37" t="s">
        <v>1042</v>
      </c>
      <c r="AE424" s="37"/>
      <c r="AF424" s="37" t="s">
        <v>1043</v>
      </c>
    </row>
    <row r="425" spans="1:32" customFormat="1" x14ac:dyDescent="0.2">
      <c r="A425" s="37"/>
      <c r="B425" s="37"/>
      <c r="C425" s="37"/>
      <c r="D425" s="37"/>
      <c r="E425" s="37"/>
      <c r="F425" s="37"/>
      <c r="G425" s="37" t="s">
        <v>166</v>
      </c>
      <c r="H425" s="37" t="s">
        <v>166</v>
      </c>
      <c r="I425" s="37" t="s">
        <v>166</v>
      </c>
      <c r="J425" s="37" t="s">
        <v>19</v>
      </c>
      <c r="K425" s="37">
        <v>3</v>
      </c>
      <c r="L425" s="37">
        <v>24</v>
      </c>
      <c r="M425" s="37">
        <v>36</v>
      </c>
      <c r="N425" s="37">
        <v>63</v>
      </c>
      <c r="O425" s="37">
        <v>35</v>
      </c>
      <c r="P425" s="37">
        <v>12</v>
      </c>
      <c r="Q425" s="37">
        <v>110</v>
      </c>
      <c r="R425" s="37">
        <v>1686</v>
      </c>
      <c r="S425" s="37"/>
      <c r="T425" s="37" t="s">
        <v>166</v>
      </c>
      <c r="U425" s="37" t="s">
        <v>166</v>
      </c>
      <c r="V425" s="37" t="s">
        <v>166</v>
      </c>
      <c r="W425" s="37" t="s">
        <v>18</v>
      </c>
      <c r="X425" s="37" t="s">
        <v>166</v>
      </c>
      <c r="Y425" s="37" t="s">
        <v>166</v>
      </c>
      <c r="Z425" s="37" t="s">
        <v>26</v>
      </c>
      <c r="AA425" s="37">
        <v>8</v>
      </c>
      <c r="AB425" s="37">
        <v>15</v>
      </c>
      <c r="AC425" s="37">
        <v>3</v>
      </c>
      <c r="AD425" s="37" t="s">
        <v>1042</v>
      </c>
      <c r="AE425" s="37"/>
      <c r="AF425" s="37" t="s">
        <v>1044</v>
      </c>
    </row>
    <row r="426" spans="1:32" customFormat="1" x14ac:dyDescent="0.2">
      <c r="A426" s="37"/>
      <c r="B426" s="37"/>
      <c r="C426" s="37"/>
      <c r="D426" s="37"/>
      <c r="E426" s="37"/>
      <c r="F426" s="37"/>
      <c r="G426" s="37" t="s">
        <v>166</v>
      </c>
      <c r="H426" s="37" t="s">
        <v>166</v>
      </c>
      <c r="I426" s="37" t="s">
        <v>166</v>
      </c>
      <c r="J426" s="37" t="s">
        <v>18</v>
      </c>
      <c r="K426" s="37">
        <v>295</v>
      </c>
      <c r="L426" s="37">
        <v>132</v>
      </c>
      <c r="M426" s="37">
        <v>6</v>
      </c>
      <c r="N426" s="37">
        <v>433</v>
      </c>
      <c r="O426" s="37">
        <v>314</v>
      </c>
      <c r="P426" s="37">
        <v>123</v>
      </c>
      <c r="Q426" s="37">
        <v>870</v>
      </c>
      <c r="R426" s="37">
        <v>8699</v>
      </c>
      <c r="S426" s="37"/>
      <c r="T426" s="37" t="s">
        <v>166</v>
      </c>
      <c r="U426" s="37" t="s">
        <v>166</v>
      </c>
      <c r="V426" s="37" t="s">
        <v>166</v>
      </c>
      <c r="W426" s="37" t="s">
        <v>18</v>
      </c>
      <c r="X426" s="37" t="s">
        <v>166</v>
      </c>
      <c r="Y426" s="37" t="s">
        <v>166</v>
      </c>
      <c r="Z426" s="37" t="s">
        <v>26</v>
      </c>
      <c r="AA426" s="37">
        <v>8</v>
      </c>
      <c r="AB426" s="37">
        <v>15</v>
      </c>
      <c r="AC426" s="37">
        <v>3</v>
      </c>
      <c r="AD426" s="37" t="s">
        <v>1042</v>
      </c>
      <c r="AE426" s="37"/>
      <c r="AF426" s="37" t="s">
        <v>1045</v>
      </c>
    </row>
    <row r="427" spans="1:32" customFormat="1" x14ac:dyDescent="0.2">
      <c r="A427" s="37"/>
      <c r="B427" s="37"/>
      <c r="C427" s="37" t="s">
        <v>26</v>
      </c>
      <c r="D427" s="37">
        <v>8</v>
      </c>
      <c r="E427" s="37">
        <v>15</v>
      </c>
      <c r="F427" s="37">
        <v>4</v>
      </c>
      <c r="G427" s="37">
        <v>4.2</v>
      </c>
      <c r="H427" s="37" t="s">
        <v>181</v>
      </c>
      <c r="I427" s="37" t="s">
        <v>23</v>
      </c>
      <c r="J427" s="37" t="s">
        <v>17</v>
      </c>
      <c r="K427" s="37">
        <v>23</v>
      </c>
      <c r="L427" s="37">
        <v>42</v>
      </c>
      <c r="M427" s="37">
        <v>7</v>
      </c>
      <c r="N427" s="37">
        <v>72</v>
      </c>
      <c r="O427" s="37">
        <v>51</v>
      </c>
      <c r="P427" s="37">
        <v>17</v>
      </c>
      <c r="Q427" s="37">
        <v>140</v>
      </c>
      <c r="R427" s="37">
        <v>6592</v>
      </c>
      <c r="S427" s="37"/>
      <c r="T427" s="37" t="s">
        <v>181</v>
      </c>
      <c r="U427" s="37" t="s">
        <v>195</v>
      </c>
      <c r="V427" s="37">
        <v>60</v>
      </c>
      <c r="W427" s="37" t="s">
        <v>18</v>
      </c>
      <c r="X427" s="37" t="s">
        <v>190</v>
      </c>
      <c r="Y427" s="37">
        <v>1176</v>
      </c>
      <c r="Z427" s="37" t="s">
        <v>26</v>
      </c>
      <c r="AA427" s="37">
        <v>8</v>
      </c>
      <c r="AB427" s="37">
        <v>15</v>
      </c>
      <c r="AC427" s="37">
        <v>4</v>
      </c>
      <c r="AD427" s="37" t="s">
        <v>1046</v>
      </c>
      <c r="AE427" s="37"/>
      <c r="AF427" s="37" t="s">
        <v>1047</v>
      </c>
    </row>
    <row r="428" spans="1:32" customFormat="1" x14ac:dyDescent="0.2">
      <c r="A428" s="37"/>
      <c r="B428" s="37"/>
      <c r="C428" s="37"/>
      <c r="D428" s="37"/>
      <c r="E428" s="37"/>
      <c r="F428" s="37"/>
      <c r="G428" s="37" t="s">
        <v>166</v>
      </c>
      <c r="H428" s="37" t="s">
        <v>166</v>
      </c>
      <c r="I428" s="37" t="s">
        <v>166</v>
      </c>
      <c r="J428" s="37" t="s">
        <v>19</v>
      </c>
      <c r="K428" s="37">
        <v>4</v>
      </c>
      <c r="L428" s="37">
        <v>26</v>
      </c>
      <c r="M428" s="37">
        <v>8</v>
      </c>
      <c r="N428" s="37">
        <v>38</v>
      </c>
      <c r="O428" s="37">
        <v>57</v>
      </c>
      <c r="P428" s="37">
        <v>12</v>
      </c>
      <c r="Q428" s="37">
        <v>107</v>
      </c>
      <c r="R428" s="37">
        <v>1803</v>
      </c>
      <c r="S428" s="37"/>
      <c r="T428" s="37" t="s">
        <v>166</v>
      </c>
      <c r="U428" s="37" t="s">
        <v>166</v>
      </c>
      <c r="V428" s="37" t="s">
        <v>166</v>
      </c>
      <c r="W428" s="37" t="s">
        <v>18</v>
      </c>
      <c r="X428" s="37" t="s">
        <v>166</v>
      </c>
      <c r="Y428" s="37" t="s">
        <v>166</v>
      </c>
      <c r="Z428" s="37" t="s">
        <v>26</v>
      </c>
      <c r="AA428" s="37">
        <v>8</v>
      </c>
      <c r="AB428" s="37">
        <v>15</v>
      </c>
      <c r="AC428" s="37">
        <v>4</v>
      </c>
      <c r="AD428" s="37" t="s">
        <v>1046</v>
      </c>
      <c r="AE428" s="37"/>
      <c r="AF428" s="37" t="s">
        <v>1048</v>
      </c>
    </row>
    <row r="429" spans="1:32" customFormat="1" x14ac:dyDescent="0.2">
      <c r="A429" s="37"/>
      <c r="B429" s="37"/>
      <c r="C429" s="37"/>
      <c r="D429" s="37"/>
      <c r="E429" s="37"/>
      <c r="F429" s="37"/>
      <c r="G429" s="37" t="s">
        <v>166</v>
      </c>
      <c r="H429" s="37" t="s">
        <v>166</v>
      </c>
      <c r="I429" s="37" t="s">
        <v>166</v>
      </c>
      <c r="J429" s="37" t="s">
        <v>18</v>
      </c>
      <c r="K429" s="37">
        <v>288</v>
      </c>
      <c r="L429" s="37">
        <v>113</v>
      </c>
      <c r="M429" s="37">
        <v>2</v>
      </c>
      <c r="N429" s="37">
        <v>403</v>
      </c>
      <c r="O429" s="37">
        <v>300</v>
      </c>
      <c r="P429" s="37">
        <v>117</v>
      </c>
      <c r="Q429" s="37">
        <v>820</v>
      </c>
      <c r="R429" s="37">
        <v>8215</v>
      </c>
      <c r="S429" s="37"/>
      <c r="T429" s="37" t="s">
        <v>166</v>
      </c>
      <c r="U429" s="37" t="s">
        <v>166</v>
      </c>
      <c r="V429" s="37" t="s">
        <v>166</v>
      </c>
      <c r="W429" s="37" t="s">
        <v>18</v>
      </c>
      <c r="X429" s="37" t="s">
        <v>166</v>
      </c>
      <c r="Y429" s="37" t="s">
        <v>166</v>
      </c>
      <c r="Z429" s="37" t="s">
        <v>26</v>
      </c>
      <c r="AA429" s="37">
        <v>8</v>
      </c>
      <c r="AB429" s="37">
        <v>15</v>
      </c>
      <c r="AC429" s="37">
        <v>4</v>
      </c>
      <c r="AD429" s="37" t="s">
        <v>1046</v>
      </c>
      <c r="AE429" s="37"/>
      <c r="AF429" s="37" t="s">
        <v>1049</v>
      </c>
    </row>
    <row r="430" spans="1:32" customFormat="1" x14ac:dyDescent="0.2">
      <c r="A430" s="37"/>
      <c r="B430" s="37"/>
      <c r="C430" s="37" t="s">
        <v>26</v>
      </c>
      <c r="D430" s="37">
        <v>9</v>
      </c>
      <c r="E430" s="37">
        <v>8</v>
      </c>
      <c r="F430" s="37" t="s">
        <v>296</v>
      </c>
      <c r="G430" s="37">
        <v>5.0999999999999996</v>
      </c>
      <c r="H430" s="37" t="s">
        <v>181</v>
      </c>
      <c r="I430" s="37" t="s">
        <v>23</v>
      </c>
      <c r="J430" s="37" t="s">
        <v>17</v>
      </c>
      <c r="K430" s="37">
        <v>16</v>
      </c>
      <c r="L430" s="37">
        <v>50</v>
      </c>
      <c r="M430" s="37">
        <v>12</v>
      </c>
      <c r="N430" s="37">
        <v>78</v>
      </c>
      <c r="O430" s="37">
        <v>56</v>
      </c>
      <c r="P430" s="37">
        <v>19</v>
      </c>
      <c r="Q430" s="37">
        <v>153</v>
      </c>
      <c r="R430" s="37">
        <v>6629</v>
      </c>
      <c r="S430" s="37"/>
      <c r="T430" s="37" t="s">
        <v>181</v>
      </c>
      <c r="U430" s="37" t="s">
        <v>196</v>
      </c>
      <c r="V430" s="37">
        <v>70</v>
      </c>
      <c r="W430" s="37" t="s">
        <v>19</v>
      </c>
      <c r="X430" s="37" t="s">
        <v>190</v>
      </c>
      <c r="Y430" s="37">
        <v>968.99999999999989</v>
      </c>
      <c r="Z430" s="37" t="s">
        <v>26</v>
      </c>
      <c r="AA430" s="37">
        <v>9</v>
      </c>
      <c r="AB430" s="37">
        <v>8</v>
      </c>
      <c r="AC430" s="37" t="s">
        <v>296</v>
      </c>
      <c r="AD430" s="37" t="s">
        <v>1050</v>
      </c>
      <c r="AE430" s="37"/>
      <c r="AF430" s="37" t="s">
        <v>1051</v>
      </c>
    </row>
    <row r="431" spans="1:32" customFormat="1" x14ac:dyDescent="0.2">
      <c r="A431" s="37"/>
      <c r="B431" s="37"/>
      <c r="C431" s="37"/>
      <c r="D431" s="37"/>
      <c r="E431" s="37"/>
      <c r="F431" s="37"/>
      <c r="G431" s="37" t="s">
        <v>166</v>
      </c>
      <c r="H431" s="37" t="s">
        <v>166</v>
      </c>
      <c r="I431" s="37" t="s">
        <v>166</v>
      </c>
      <c r="J431" s="37" t="s">
        <v>19</v>
      </c>
      <c r="K431" s="37">
        <v>20</v>
      </c>
      <c r="L431" s="37">
        <v>150</v>
      </c>
      <c r="M431" s="37">
        <v>28</v>
      </c>
      <c r="N431" s="37">
        <v>198</v>
      </c>
      <c r="O431" s="37">
        <v>227</v>
      </c>
      <c r="P431" s="37">
        <v>57</v>
      </c>
      <c r="Q431" s="37">
        <v>482</v>
      </c>
      <c r="R431" s="37">
        <v>9677</v>
      </c>
      <c r="S431" s="37"/>
      <c r="T431" s="37" t="s">
        <v>166</v>
      </c>
      <c r="U431" s="37" t="s">
        <v>166</v>
      </c>
      <c r="V431" s="37" t="s">
        <v>166</v>
      </c>
      <c r="W431" s="37" t="s">
        <v>19</v>
      </c>
      <c r="X431" s="37" t="s">
        <v>166</v>
      </c>
      <c r="Y431" s="37" t="s">
        <v>166</v>
      </c>
      <c r="Z431" s="37" t="s">
        <v>26</v>
      </c>
      <c r="AA431" s="37">
        <v>9</v>
      </c>
      <c r="AB431" s="37">
        <v>8</v>
      </c>
      <c r="AC431" s="37" t="s">
        <v>296</v>
      </c>
      <c r="AD431" s="37" t="s">
        <v>1050</v>
      </c>
      <c r="AE431" s="37"/>
      <c r="AF431" s="37" t="s">
        <v>1052</v>
      </c>
    </row>
    <row r="432" spans="1:32" customFormat="1" x14ac:dyDescent="0.2">
      <c r="A432" s="37"/>
      <c r="B432" s="37"/>
      <c r="C432" s="37"/>
      <c r="D432" s="37"/>
      <c r="E432" s="37"/>
      <c r="F432" s="37"/>
      <c r="G432" s="37" t="s">
        <v>166</v>
      </c>
      <c r="H432" s="37" t="s">
        <v>166</v>
      </c>
      <c r="I432" s="37" t="s">
        <v>166</v>
      </c>
      <c r="J432" s="37" t="s">
        <v>18</v>
      </c>
      <c r="K432" s="37">
        <v>54</v>
      </c>
      <c r="L432" s="37">
        <v>94</v>
      </c>
      <c r="M432" s="37">
        <v>0</v>
      </c>
      <c r="N432" s="37">
        <v>148</v>
      </c>
      <c r="O432" s="37">
        <v>101</v>
      </c>
      <c r="P432" s="37">
        <v>41</v>
      </c>
      <c r="Q432" s="37">
        <v>290</v>
      </c>
      <c r="R432" s="37">
        <v>2748</v>
      </c>
      <c r="S432" s="37"/>
      <c r="T432" s="37" t="s">
        <v>166</v>
      </c>
      <c r="U432" s="37" t="s">
        <v>166</v>
      </c>
      <c r="V432" s="37" t="s">
        <v>166</v>
      </c>
      <c r="W432" s="37" t="s">
        <v>19</v>
      </c>
      <c r="X432" s="37" t="s">
        <v>166</v>
      </c>
      <c r="Y432" s="37" t="s">
        <v>166</v>
      </c>
      <c r="Z432" s="37" t="s">
        <v>26</v>
      </c>
      <c r="AA432" s="37">
        <v>9</v>
      </c>
      <c r="AB432" s="37">
        <v>8</v>
      </c>
      <c r="AC432" s="37" t="s">
        <v>296</v>
      </c>
      <c r="AD432" s="37" t="s">
        <v>1050</v>
      </c>
      <c r="AE432" s="37"/>
      <c r="AF432" s="37" t="s">
        <v>1053</v>
      </c>
    </row>
    <row r="433" spans="1:32" customFormat="1" x14ac:dyDescent="0.2">
      <c r="A433" s="37"/>
      <c r="B433" s="37"/>
      <c r="C433" s="37" t="s">
        <v>26</v>
      </c>
      <c r="D433" s="37">
        <v>9</v>
      </c>
      <c r="E433" s="37">
        <v>26</v>
      </c>
      <c r="F433" s="37">
        <v>2</v>
      </c>
      <c r="G433" s="37">
        <v>4.3</v>
      </c>
      <c r="H433" s="37" t="s">
        <v>181</v>
      </c>
      <c r="I433" s="37" t="s">
        <v>23</v>
      </c>
      <c r="J433" s="37" t="s">
        <v>17</v>
      </c>
      <c r="K433" s="37">
        <v>0</v>
      </c>
      <c r="L433" s="37">
        <v>0</v>
      </c>
      <c r="M433" s="37">
        <v>0</v>
      </c>
      <c r="N433" s="37">
        <v>0</v>
      </c>
      <c r="O433" s="37">
        <v>0</v>
      </c>
      <c r="P433" s="37">
        <v>0</v>
      </c>
      <c r="Q433" s="37">
        <v>0</v>
      </c>
      <c r="R433" s="37">
        <v>0</v>
      </c>
      <c r="S433" s="37"/>
      <c r="T433" s="37" t="s">
        <v>181</v>
      </c>
      <c r="U433" s="37" t="s">
        <v>202</v>
      </c>
      <c r="V433" s="37">
        <v>60</v>
      </c>
      <c r="W433" s="37" t="s">
        <v>18</v>
      </c>
      <c r="X433" s="37" t="s">
        <v>190</v>
      </c>
      <c r="Y433" s="37">
        <v>1032</v>
      </c>
      <c r="Z433" s="37" t="s">
        <v>26</v>
      </c>
      <c r="AA433" s="37">
        <v>9</v>
      </c>
      <c r="AB433" s="37">
        <v>26</v>
      </c>
      <c r="AC433" s="37">
        <v>2</v>
      </c>
      <c r="AD433" s="37" t="s">
        <v>1054</v>
      </c>
      <c r="AE433" s="37"/>
      <c r="AF433" s="37" t="s">
        <v>1055</v>
      </c>
    </row>
    <row r="434" spans="1:32" customFormat="1" x14ac:dyDescent="0.2">
      <c r="A434" s="37"/>
      <c r="B434" s="37"/>
      <c r="C434" s="37"/>
      <c r="D434" s="37"/>
      <c r="E434" s="37"/>
      <c r="F434" s="37"/>
      <c r="G434" s="37" t="s">
        <v>166</v>
      </c>
      <c r="H434" s="37" t="s">
        <v>166</v>
      </c>
      <c r="I434" s="37" t="s">
        <v>166</v>
      </c>
      <c r="J434" s="37" t="s">
        <v>19</v>
      </c>
      <c r="K434" s="37">
        <v>0</v>
      </c>
      <c r="L434" s="37">
        <v>6</v>
      </c>
      <c r="M434" s="37">
        <v>7</v>
      </c>
      <c r="N434" s="37">
        <v>13</v>
      </c>
      <c r="O434" s="37">
        <v>17</v>
      </c>
      <c r="P434" s="37">
        <v>3</v>
      </c>
      <c r="Q434" s="37">
        <v>33</v>
      </c>
      <c r="R434" s="37">
        <v>471</v>
      </c>
      <c r="S434" s="37"/>
      <c r="T434" s="37" t="s">
        <v>166</v>
      </c>
      <c r="U434" s="37" t="s">
        <v>166</v>
      </c>
      <c r="V434" s="37" t="s">
        <v>166</v>
      </c>
      <c r="W434" s="37" t="s">
        <v>18</v>
      </c>
      <c r="X434" s="37" t="s">
        <v>166</v>
      </c>
      <c r="Y434" s="37" t="s">
        <v>166</v>
      </c>
      <c r="Z434" s="37" t="s">
        <v>26</v>
      </c>
      <c r="AA434" s="37">
        <v>9</v>
      </c>
      <c r="AB434" s="37">
        <v>26</v>
      </c>
      <c r="AC434" s="37">
        <v>2</v>
      </c>
      <c r="AD434" s="37" t="s">
        <v>1054</v>
      </c>
      <c r="AE434" s="37"/>
      <c r="AF434" s="37" t="s">
        <v>1056</v>
      </c>
    </row>
    <row r="435" spans="1:32" customFormat="1" x14ac:dyDescent="0.2">
      <c r="A435" s="37"/>
      <c r="B435" s="37"/>
      <c r="C435" s="37"/>
      <c r="D435" s="37"/>
      <c r="E435" s="37"/>
      <c r="F435" s="37"/>
      <c r="G435" s="37" t="s">
        <v>166</v>
      </c>
      <c r="H435" s="37" t="s">
        <v>166</v>
      </c>
      <c r="I435" s="37" t="s">
        <v>166</v>
      </c>
      <c r="J435" s="37" t="s">
        <v>18</v>
      </c>
      <c r="K435" s="37">
        <v>300</v>
      </c>
      <c r="L435" s="37">
        <v>176</v>
      </c>
      <c r="M435" s="37">
        <v>8</v>
      </c>
      <c r="N435" s="37">
        <v>484</v>
      </c>
      <c r="O435" s="37">
        <v>325</v>
      </c>
      <c r="P435" s="37">
        <v>131</v>
      </c>
      <c r="Q435" s="37">
        <v>940</v>
      </c>
      <c r="R435" s="37">
        <v>9554</v>
      </c>
      <c r="S435" s="37"/>
      <c r="T435" s="37" t="s">
        <v>166</v>
      </c>
      <c r="U435" s="37" t="s">
        <v>166</v>
      </c>
      <c r="V435" s="37" t="s">
        <v>166</v>
      </c>
      <c r="W435" s="37" t="s">
        <v>18</v>
      </c>
      <c r="X435" s="37" t="s">
        <v>166</v>
      </c>
      <c r="Y435" s="37" t="s">
        <v>166</v>
      </c>
      <c r="Z435" s="37" t="s">
        <v>26</v>
      </c>
      <c r="AA435" s="37">
        <v>9</v>
      </c>
      <c r="AB435" s="37">
        <v>26</v>
      </c>
      <c r="AC435" s="37">
        <v>2</v>
      </c>
      <c r="AD435" s="37" t="s">
        <v>1054</v>
      </c>
      <c r="AE435" s="37"/>
      <c r="AF435" s="37" t="s">
        <v>1057</v>
      </c>
    </row>
    <row r="436" spans="1:32" customFormat="1" x14ac:dyDescent="0.2">
      <c r="A436" s="37"/>
      <c r="B436" s="37"/>
      <c r="C436" s="37" t="s">
        <v>26</v>
      </c>
      <c r="D436" s="37">
        <v>16</v>
      </c>
      <c r="E436" s="37">
        <v>27</v>
      </c>
      <c r="F436" s="37" t="s">
        <v>296</v>
      </c>
      <c r="G436" s="37">
        <v>6.2</v>
      </c>
      <c r="H436" s="37" t="s">
        <v>181</v>
      </c>
      <c r="I436" s="37" t="s">
        <v>23</v>
      </c>
      <c r="J436" s="37" t="s">
        <v>17</v>
      </c>
      <c r="K436" s="37">
        <v>16</v>
      </c>
      <c r="L436" s="37">
        <v>34</v>
      </c>
      <c r="M436" s="37">
        <v>0</v>
      </c>
      <c r="N436" s="37">
        <v>50</v>
      </c>
      <c r="O436" s="37">
        <v>52</v>
      </c>
      <c r="P436" s="37">
        <v>13</v>
      </c>
      <c r="Q436" s="37">
        <v>115</v>
      </c>
      <c r="R436" s="37">
        <v>4829</v>
      </c>
      <c r="S436" s="37"/>
      <c r="T436" s="37" t="s">
        <v>181</v>
      </c>
      <c r="U436" s="37" t="s">
        <v>259</v>
      </c>
      <c r="V436" s="37">
        <v>90</v>
      </c>
      <c r="W436" s="37" t="s">
        <v>19</v>
      </c>
      <c r="X436" s="37" t="s">
        <v>190</v>
      </c>
      <c r="Y436" s="37">
        <v>930</v>
      </c>
      <c r="Z436" s="37" t="s">
        <v>26</v>
      </c>
      <c r="AA436" s="37">
        <v>16</v>
      </c>
      <c r="AB436" s="37">
        <v>27</v>
      </c>
      <c r="AC436" s="37" t="s">
        <v>296</v>
      </c>
      <c r="AD436" s="37" t="s">
        <v>1058</v>
      </c>
      <c r="AE436" s="37"/>
      <c r="AF436" s="37" t="s">
        <v>1059</v>
      </c>
    </row>
    <row r="437" spans="1:32" customFormat="1" x14ac:dyDescent="0.2">
      <c r="A437" s="37"/>
      <c r="B437" s="37"/>
      <c r="C437" s="37"/>
      <c r="D437" s="37"/>
      <c r="E437" s="37"/>
      <c r="F437" s="37"/>
      <c r="G437" s="37" t="s">
        <v>166</v>
      </c>
      <c r="H437" s="37" t="s">
        <v>166</v>
      </c>
      <c r="I437" s="37" t="s">
        <v>166</v>
      </c>
      <c r="J437" s="37" t="s">
        <v>178</v>
      </c>
      <c r="K437" s="37">
        <v>20</v>
      </c>
      <c r="L437" s="37">
        <v>52</v>
      </c>
      <c r="M437" s="37">
        <v>6</v>
      </c>
      <c r="N437" s="37">
        <v>78</v>
      </c>
      <c r="O437" s="37">
        <v>74</v>
      </c>
      <c r="P437" s="37">
        <v>23</v>
      </c>
      <c r="Q437" s="37">
        <v>175</v>
      </c>
      <c r="R437" s="37">
        <v>51362</v>
      </c>
      <c r="S437" s="37"/>
      <c r="T437" s="37" t="s">
        <v>166</v>
      </c>
      <c r="U437" s="37" t="s">
        <v>166</v>
      </c>
      <c r="V437" s="37" t="s">
        <v>166</v>
      </c>
      <c r="W437" s="37" t="s">
        <v>19</v>
      </c>
      <c r="X437" s="37" t="s">
        <v>166</v>
      </c>
      <c r="Y437" s="37" t="s">
        <v>166</v>
      </c>
      <c r="Z437" s="37" t="s">
        <v>26</v>
      </c>
      <c r="AA437" s="37">
        <v>16</v>
      </c>
      <c r="AB437" s="37">
        <v>27</v>
      </c>
      <c r="AC437" s="37" t="s">
        <v>296</v>
      </c>
      <c r="AD437" s="37" t="s">
        <v>1058</v>
      </c>
      <c r="AE437" s="37"/>
      <c r="AF437" s="37" t="s">
        <v>1060</v>
      </c>
    </row>
    <row r="438" spans="1:32" customFormat="1" x14ac:dyDescent="0.2">
      <c r="A438" s="37"/>
      <c r="B438" s="37"/>
      <c r="C438" s="37"/>
      <c r="D438" s="37"/>
      <c r="E438" s="37"/>
      <c r="F438" s="37"/>
      <c r="G438" s="37" t="s">
        <v>166</v>
      </c>
      <c r="H438" s="37" t="s">
        <v>166</v>
      </c>
      <c r="I438" s="37" t="s">
        <v>166</v>
      </c>
      <c r="J438" s="37" t="s">
        <v>19</v>
      </c>
      <c r="K438" s="37">
        <v>45</v>
      </c>
      <c r="L438" s="37">
        <v>184</v>
      </c>
      <c r="M438" s="37">
        <v>17</v>
      </c>
      <c r="N438" s="37">
        <v>246</v>
      </c>
      <c r="O438" s="37">
        <v>284</v>
      </c>
      <c r="P438" s="37">
        <v>76</v>
      </c>
      <c r="Q438" s="37">
        <v>606</v>
      </c>
      <c r="R438" s="37">
        <v>12768</v>
      </c>
      <c r="S438" s="37"/>
      <c r="T438" s="37" t="s">
        <v>166</v>
      </c>
      <c r="U438" s="37" t="s">
        <v>166</v>
      </c>
      <c r="V438" s="37" t="s">
        <v>166</v>
      </c>
      <c r="W438" s="37" t="s">
        <v>19</v>
      </c>
      <c r="X438" s="37" t="s">
        <v>166</v>
      </c>
      <c r="Y438" s="37" t="s">
        <v>166</v>
      </c>
      <c r="Z438" s="37" t="s">
        <v>26</v>
      </c>
      <c r="AA438" s="37">
        <v>16</v>
      </c>
      <c r="AB438" s="37">
        <v>27</v>
      </c>
      <c r="AC438" s="37" t="s">
        <v>296</v>
      </c>
      <c r="AD438" s="37" t="s">
        <v>1058</v>
      </c>
      <c r="AE438" s="37"/>
      <c r="AF438" s="37" t="s">
        <v>1061</v>
      </c>
    </row>
    <row r="439" spans="1:32" customFormat="1" x14ac:dyDescent="0.2">
      <c r="A439" s="37"/>
      <c r="B439" s="37"/>
      <c r="C439" s="37" t="s">
        <v>26</v>
      </c>
      <c r="D439" s="37">
        <v>17</v>
      </c>
      <c r="E439" s="37">
        <v>21</v>
      </c>
      <c r="F439" s="37" t="s">
        <v>296</v>
      </c>
      <c r="G439" s="37">
        <v>4.5999999999999996</v>
      </c>
      <c r="H439" s="37" t="s">
        <v>174</v>
      </c>
      <c r="I439" s="37" t="s">
        <v>23</v>
      </c>
      <c r="J439" s="37" t="s">
        <v>17</v>
      </c>
      <c r="K439" s="37">
        <v>0</v>
      </c>
      <c r="L439" s="37">
        <v>0</v>
      </c>
      <c r="M439" s="37">
        <v>0</v>
      </c>
      <c r="N439" s="37">
        <v>0</v>
      </c>
      <c r="O439" s="37">
        <v>0</v>
      </c>
      <c r="P439" s="37">
        <v>0</v>
      </c>
      <c r="Q439" s="37">
        <v>0</v>
      </c>
      <c r="R439" s="37">
        <v>0</v>
      </c>
      <c r="S439" s="37"/>
      <c r="T439" s="37" t="s">
        <v>181</v>
      </c>
      <c r="U439" s="37" t="s">
        <v>211</v>
      </c>
      <c r="V439" s="37">
        <v>45</v>
      </c>
      <c r="W439" s="37" t="s">
        <v>18</v>
      </c>
      <c r="X439" s="37" t="s">
        <v>190</v>
      </c>
      <c r="Y439" s="37">
        <v>1104</v>
      </c>
      <c r="Z439" s="37" t="s">
        <v>26</v>
      </c>
      <c r="AA439" s="37">
        <v>17</v>
      </c>
      <c r="AB439" s="37">
        <v>21</v>
      </c>
      <c r="AC439" s="37" t="s">
        <v>296</v>
      </c>
      <c r="AD439" s="37" t="s">
        <v>1062</v>
      </c>
      <c r="AE439" s="37"/>
      <c r="AF439" s="37" t="s">
        <v>1063</v>
      </c>
    </row>
    <row r="440" spans="1:32" customFormat="1" x14ac:dyDescent="0.2">
      <c r="A440" s="37"/>
      <c r="B440" s="37"/>
      <c r="C440" s="37"/>
      <c r="D440" s="37"/>
      <c r="E440" s="37"/>
      <c r="F440" s="37"/>
      <c r="G440" s="37" t="s">
        <v>166</v>
      </c>
      <c r="H440" s="37" t="s">
        <v>166</v>
      </c>
      <c r="I440" s="37" t="s">
        <v>166</v>
      </c>
      <c r="J440" s="37" t="s">
        <v>19</v>
      </c>
      <c r="K440" s="37">
        <v>0</v>
      </c>
      <c r="L440" s="37">
        <v>2</v>
      </c>
      <c r="M440" s="37">
        <v>5</v>
      </c>
      <c r="N440" s="37">
        <v>7</v>
      </c>
      <c r="O440" s="37">
        <v>12</v>
      </c>
      <c r="P440" s="37">
        <v>2</v>
      </c>
      <c r="Q440" s="37">
        <v>21</v>
      </c>
      <c r="R440" s="37">
        <v>224</v>
      </c>
      <c r="S440" s="37"/>
      <c r="T440" s="37" t="s">
        <v>166</v>
      </c>
      <c r="U440" s="37" t="s">
        <v>166</v>
      </c>
      <c r="V440" s="37" t="s">
        <v>166</v>
      </c>
      <c r="W440" s="37" t="s">
        <v>18</v>
      </c>
      <c r="X440" s="37" t="s">
        <v>166</v>
      </c>
      <c r="Y440" s="37" t="s">
        <v>166</v>
      </c>
      <c r="Z440" s="37" t="s">
        <v>26</v>
      </c>
      <c r="AA440" s="37">
        <v>17</v>
      </c>
      <c r="AB440" s="37">
        <v>21</v>
      </c>
      <c r="AC440" s="37" t="s">
        <v>296</v>
      </c>
      <c r="AD440" s="37" t="s">
        <v>1062</v>
      </c>
      <c r="AE440" s="37"/>
      <c r="AF440" s="37" t="s">
        <v>1064</v>
      </c>
    </row>
    <row r="441" spans="1:32" customFormat="1" x14ac:dyDescent="0.2">
      <c r="A441" s="37"/>
      <c r="B441" s="37"/>
      <c r="C441" s="37"/>
      <c r="D441" s="37"/>
      <c r="E441" s="37"/>
      <c r="F441" s="37"/>
      <c r="G441" s="37" t="s">
        <v>166</v>
      </c>
      <c r="H441" s="37" t="s">
        <v>166</v>
      </c>
      <c r="I441" s="37" t="s">
        <v>166</v>
      </c>
      <c r="J441" s="37" t="s">
        <v>18</v>
      </c>
      <c r="K441" s="37">
        <v>310</v>
      </c>
      <c r="L441" s="37">
        <v>210</v>
      </c>
      <c r="M441" s="37">
        <v>11</v>
      </c>
      <c r="N441" s="37">
        <v>531</v>
      </c>
      <c r="O441" s="37">
        <v>281</v>
      </c>
      <c r="P441" s="37">
        <v>122</v>
      </c>
      <c r="Q441" s="37">
        <v>934</v>
      </c>
      <c r="R441" s="37">
        <v>10320</v>
      </c>
      <c r="S441" s="37"/>
      <c r="T441" s="37" t="s">
        <v>166</v>
      </c>
      <c r="U441" s="37" t="s">
        <v>166</v>
      </c>
      <c r="V441" s="37" t="s">
        <v>166</v>
      </c>
      <c r="W441" s="37" t="s">
        <v>18</v>
      </c>
      <c r="X441" s="37" t="s">
        <v>166</v>
      </c>
      <c r="Y441" s="37" t="s">
        <v>166</v>
      </c>
      <c r="Z441" s="37" t="s">
        <v>26</v>
      </c>
      <c r="AA441" s="37">
        <v>17</v>
      </c>
      <c r="AB441" s="37">
        <v>21</v>
      </c>
      <c r="AC441" s="37" t="s">
        <v>296</v>
      </c>
      <c r="AD441" s="37" t="s">
        <v>1062</v>
      </c>
      <c r="AE441" s="37"/>
      <c r="AF441" s="37" t="s">
        <v>1065</v>
      </c>
    </row>
    <row r="442" spans="1:32" customFormat="1" x14ac:dyDescent="0.2">
      <c r="A442" s="37"/>
      <c r="B442" s="37"/>
      <c r="C442" s="37" t="s">
        <v>26</v>
      </c>
      <c r="D442" s="37">
        <v>20</v>
      </c>
      <c r="E442" s="37">
        <v>8</v>
      </c>
      <c r="F442" s="37" t="s">
        <v>296</v>
      </c>
      <c r="G442" s="37">
        <v>8.5</v>
      </c>
      <c r="H442" s="37" t="s">
        <v>181</v>
      </c>
      <c r="I442" s="37" t="s">
        <v>23</v>
      </c>
      <c r="J442" s="37" t="s">
        <v>17</v>
      </c>
      <c r="K442" s="37">
        <v>69</v>
      </c>
      <c r="L442" s="37">
        <v>109</v>
      </c>
      <c r="M442" s="37">
        <v>7</v>
      </c>
      <c r="N442" s="37">
        <v>185</v>
      </c>
      <c r="O442" s="37">
        <v>149</v>
      </c>
      <c r="P442" s="37">
        <v>45</v>
      </c>
      <c r="Q442" s="37">
        <v>379</v>
      </c>
      <c r="R442" s="37">
        <v>17865</v>
      </c>
      <c r="S442" s="37"/>
      <c r="T442" s="37" t="s">
        <v>181</v>
      </c>
      <c r="U442" s="37" t="s">
        <v>219</v>
      </c>
      <c r="V442" s="37">
        <v>50</v>
      </c>
      <c r="W442" s="37" t="s">
        <v>18</v>
      </c>
      <c r="X442" s="37" t="s">
        <v>190</v>
      </c>
      <c r="Y442" s="37">
        <v>1955</v>
      </c>
      <c r="Z442" s="37" t="s">
        <v>26</v>
      </c>
      <c r="AA442" s="37">
        <v>20</v>
      </c>
      <c r="AB442" s="37">
        <v>8</v>
      </c>
      <c r="AC442" s="37" t="s">
        <v>296</v>
      </c>
      <c r="AD442" s="37" t="s">
        <v>1066</v>
      </c>
      <c r="AE442" s="37"/>
      <c r="AF442" s="37" t="s">
        <v>1067</v>
      </c>
    </row>
    <row r="443" spans="1:32" customFormat="1" x14ac:dyDescent="0.2">
      <c r="A443" s="37"/>
      <c r="B443" s="37"/>
      <c r="C443" s="37"/>
      <c r="D443" s="37"/>
      <c r="E443" s="37"/>
      <c r="F443" s="37"/>
      <c r="G443" s="37" t="s">
        <v>166</v>
      </c>
      <c r="H443" s="37" t="s">
        <v>166</v>
      </c>
      <c r="I443" s="37" t="s">
        <v>166</v>
      </c>
      <c r="J443" s="37" t="s">
        <v>19</v>
      </c>
      <c r="K443" s="37">
        <v>26</v>
      </c>
      <c r="L443" s="37">
        <v>113</v>
      </c>
      <c r="M443" s="37">
        <v>21</v>
      </c>
      <c r="N443" s="37">
        <v>160</v>
      </c>
      <c r="O443" s="37">
        <v>199</v>
      </c>
      <c r="P443" s="37">
        <v>50</v>
      </c>
      <c r="Q443" s="37">
        <v>409</v>
      </c>
      <c r="R443" s="37">
        <v>8061</v>
      </c>
      <c r="S443" s="37"/>
      <c r="T443" s="37" t="s">
        <v>166</v>
      </c>
      <c r="U443" s="37" t="s">
        <v>166</v>
      </c>
      <c r="V443" s="37" t="s">
        <v>166</v>
      </c>
      <c r="W443" s="37" t="s">
        <v>18</v>
      </c>
      <c r="X443" s="37" t="s">
        <v>166</v>
      </c>
      <c r="Y443" s="37" t="s">
        <v>166</v>
      </c>
      <c r="Z443" s="37" t="s">
        <v>26</v>
      </c>
      <c r="AA443" s="37">
        <v>20</v>
      </c>
      <c r="AB443" s="37">
        <v>8</v>
      </c>
      <c r="AC443" s="37" t="s">
        <v>296</v>
      </c>
      <c r="AD443" s="37" t="s">
        <v>1066</v>
      </c>
      <c r="AE443" s="37"/>
      <c r="AF443" s="37" t="s">
        <v>1068</v>
      </c>
    </row>
    <row r="444" spans="1:32" customFormat="1" x14ac:dyDescent="0.2">
      <c r="A444" s="37"/>
      <c r="B444" s="37"/>
      <c r="C444" s="37"/>
      <c r="D444" s="37"/>
      <c r="E444" s="37"/>
      <c r="F444" s="37"/>
      <c r="G444" s="37" t="s">
        <v>166</v>
      </c>
      <c r="H444" s="37" t="s">
        <v>166</v>
      </c>
      <c r="I444" s="37" t="s">
        <v>166</v>
      </c>
      <c r="J444" s="37" t="s">
        <v>18</v>
      </c>
      <c r="K444" s="37">
        <v>267</v>
      </c>
      <c r="L444" s="37">
        <v>285</v>
      </c>
      <c r="M444" s="37">
        <v>15</v>
      </c>
      <c r="N444" s="37">
        <v>567</v>
      </c>
      <c r="O444" s="37">
        <v>357</v>
      </c>
      <c r="P444" s="37">
        <v>145</v>
      </c>
      <c r="Q444" s="37">
        <v>1069</v>
      </c>
      <c r="R444" s="37">
        <v>10712</v>
      </c>
      <c r="S444" s="37"/>
      <c r="T444" s="37" t="s">
        <v>166</v>
      </c>
      <c r="U444" s="37" t="s">
        <v>166</v>
      </c>
      <c r="V444" s="37" t="s">
        <v>166</v>
      </c>
      <c r="W444" s="37" t="s">
        <v>18</v>
      </c>
      <c r="X444" s="37" t="s">
        <v>166</v>
      </c>
      <c r="Y444" s="37" t="s">
        <v>166</v>
      </c>
      <c r="Z444" s="37" t="s">
        <v>26</v>
      </c>
      <c r="AA444" s="37">
        <v>20</v>
      </c>
      <c r="AB444" s="37">
        <v>8</v>
      </c>
      <c r="AC444" s="37" t="s">
        <v>296</v>
      </c>
      <c r="AD444" s="37" t="s">
        <v>1066</v>
      </c>
      <c r="AE444" s="37"/>
      <c r="AF444" s="37" t="s">
        <v>1069</v>
      </c>
    </row>
    <row r="445" spans="1:32" customFormat="1" x14ac:dyDescent="0.2">
      <c r="A445" s="37"/>
      <c r="B445" s="37"/>
      <c r="C445" s="37" t="s">
        <v>26</v>
      </c>
      <c r="D445" s="37">
        <v>22</v>
      </c>
      <c r="E445" s="37">
        <v>6</v>
      </c>
      <c r="F445" s="37" t="s">
        <v>296</v>
      </c>
      <c r="G445" s="37">
        <v>4.5999999999999996</v>
      </c>
      <c r="H445" s="37" t="s">
        <v>181</v>
      </c>
      <c r="I445" s="37" t="s">
        <v>23</v>
      </c>
      <c r="J445" s="37" t="s">
        <v>17</v>
      </c>
      <c r="K445" s="37">
        <v>0</v>
      </c>
      <c r="L445" s="37">
        <v>0</v>
      </c>
      <c r="M445" s="37">
        <v>0</v>
      </c>
      <c r="N445" s="37">
        <v>0</v>
      </c>
      <c r="O445" s="37">
        <v>0</v>
      </c>
      <c r="P445" s="37">
        <v>0</v>
      </c>
      <c r="Q445" s="37">
        <v>0</v>
      </c>
      <c r="R445" s="37">
        <v>0</v>
      </c>
      <c r="S445" s="37"/>
      <c r="T445" s="37" t="s">
        <v>181</v>
      </c>
      <c r="U445" s="37" t="s">
        <v>265</v>
      </c>
      <c r="V445" s="37">
        <v>75</v>
      </c>
      <c r="W445" s="37" t="s">
        <v>19</v>
      </c>
      <c r="X445" s="37" t="s">
        <v>190</v>
      </c>
      <c r="Y445" s="37">
        <v>1011.9999999999999</v>
      </c>
      <c r="Z445" s="37" t="s">
        <v>26</v>
      </c>
      <c r="AA445" s="37">
        <v>22</v>
      </c>
      <c r="AB445" s="37">
        <v>6</v>
      </c>
      <c r="AC445" s="37" t="s">
        <v>296</v>
      </c>
      <c r="AD445" s="37" t="s">
        <v>1070</v>
      </c>
      <c r="AE445" s="37"/>
      <c r="AF445" s="37" t="s">
        <v>1071</v>
      </c>
    </row>
    <row r="446" spans="1:32" customFormat="1" x14ac:dyDescent="0.2">
      <c r="A446" s="37"/>
      <c r="B446" s="37"/>
      <c r="C446" s="37"/>
      <c r="D446" s="37"/>
      <c r="E446" s="37"/>
      <c r="F446" s="37"/>
      <c r="G446" s="37" t="s">
        <v>166</v>
      </c>
      <c r="H446" s="37" t="s">
        <v>166</v>
      </c>
      <c r="I446" s="37" t="s">
        <v>166</v>
      </c>
      <c r="J446" s="37" t="s">
        <v>268</v>
      </c>
      <c r="K446" s="37">
        <v>1</v>
      </c>
      <c r="L446" s="37">
        <v>6</v>
      </c>
      <c r="M446" s="37">
        <v>1</v>
      </c>
      <c r="N446" s="37">
        <v>8</v>
      </c>
      <c r="O446" s="37">
        <v>23</v>
      </c>
      <c r="P446" s="37">
        <v>4</v>
      </c>
      <c r="Q446" s="37">
        <v>35</v>
      </c>
      <c r="R446" s="37">
        <v>4869</v>
      </c>
      <c r="S446" s="37"/>
      <c r="T446" s="37" t="s">
        <v>166</v>
      </c>
      <c r="U446" s="37" t="s">
        <v>166</v>
      </c>
      <c r="V446" s="37" t="s">
        <v>166</v>
      </c>
      <c r="W446" s="37" t="s">
        <v>19</v>
      </c>
      <c r="X446" s="37" t="s">
        <v>166</v>
      </c>
      <c r="Y446" s="37" t="s">
        <v>166</v>
      </c>
      <c r="Z446" s="37" t="s">
        <v>26</v>
      </c>
      <c r="AA446" s="37">
        <v>22</v>
      </c>
      <c r="AB446" s="37">
        <v>6</v>
      </c>
      <c r="AC446" s="37" t="s">
        <v>296</v>
      </c>
      <c r="AD446" s="37" t="s">
        <v>1070</v>
      </c>
      <c r="AE446" s="37"/>
      <c r="AF446" s="37" t="s">
        <v>1072</v>
      </c>
    </row>
    <row r="447" spans="1:32" customFormat="1" x14ac:dyDescent="0.2">
      <c r="A447" s="37"/>
      <c r="B447" s="37"/>
      <c r="C447" s="37"/>
      <c r="D447" s="37"/>
      <c r="E447" s="37"/>
      <c r="F447" s="37"/>
      <c r="G447" s="37" t="s">
        <v>166</v>
      </c>
      <c r="H447" s="37" t="s">
        <v>166</v>
      </c>
      <c r="I447" s="37" t="s">
        <v>166</v>
      </c>
      <c r="J447" s="37" t="s">
        <v>19</v>
      </c>
      <c r="K447" s="37">
        <v>43</v>
      </c>
      <c r="L447" s="37">
        <v>153</v>
      </c>
      <c r="M447" s="37">
        <v>29</v>
      </c>
      <c r="N447" s="37">
        <v>225</v>
      </c>
      <c r="O447" s="37">
        <v>273</v>
      </c>
      <c r="P447" s="37">
        <v>70</v>
      </c>
      <c r="Q447" s="37">
        <v>568</v>
      </c>
      <c r="R447" s="37">
        <v>11403</v>
      </c>
      <c r="S447" s="37"/>
      <c r="T447" s="37" t="s">
        <v>166</v>
      </c>
      <c r="U447" s="37" t="s">
        <v>166</v>
      </c>
      <c r="V447" s="37" t="s">
        <v>166</v>
      </c>
      <c r="W447" s="37" t="s">
        <v>19</v>
      </c>
      <c r="X447" s="37" t="s">
        <v>166</v>
      </c>
      <c r="Y447" s="37" t="s">
        <v>166</v>
      </c>
      <c r="Z447" s="37" t="s">
        <v>26</v>
      </c>
      <c r="AA447" s="37">
        <v>22</v>
      </c>
      <c r="AB447" s="37">
        <v>6</v>
      </c>
      <c r="AC447" s="37" t="s">
        <v>296</v>
      </c>
      <c r="AD447" s="37" t="s">
        <v>1070</v>
      </c>
      <c r="AE447" s="37"/>
      <c r="AF447" s="37" t="s">
        <v>1073</v>
      </c>
    </row>
    <row r="448" spans="1:32" customFormat="1" x14ac:dyDescent="0.2">
      <c r="A448" s="37"/>
      <c r="B448" s="37"/>
      <c r="C448" s="37"/>
      <c r="D448" s="37"/>
      <c r="E448" s="37"/>
      <c r="F448" s="37"/>
      <c r="G448" s="37" t="s">
        <v>166</v>
      </c>
      <c r="H448" s="37" t="s">
        <v>166</v>
      </c>
      <c r="I448" s="37" t="s">
        <v>166</v>
      </c>
      <c r="J448" s="37" t="s">
        <v>18</v>
      </c>
      <c r="K448" s="37">
        <v>105</v>
      </c>
      <c r="L448" s="37">
        <v>70</v>
      </c>
      <c r="M448" s="37">
        <v>0</v>
      </c>
      <c r="N448" s="37">
        <v>175</v>
      </c>
      <c r="O448" s="37">
        <v>110</v>
      </c>
      <c r="P448" s="37">
        <v>46</v>
      </c>
      <c r="Q448" s="37">
        <v>331</v>
      </c>
      <c r="R448" s="37">
        <v>3454</v>
      </c>
      <c r="S448" s="37"/>
      <c r="T448" s="37" t="s">
        <v>166</v>
      </c>
      <c r="U448" s="37" t="s">
        <v>166</v>
      </c>
      <c r="V448" s="37" t="s">
        <v>166</v>
      </c>
      <c r="W448" s="37" t="s">
        <v>19</v>
      </c>
      <c r="X448" s="37" t="s">
        <v>166</v>
      </c>
      <c r="Y448" s="37" t="s">
        <v>166</v>
      </c>
      <c r="Z448" s="37" t="s">
        <v>26</v>
      </c>
      <c r="AA448" s="37">
        <v>22</v>
      </c>
      <c r="AB448" s="37">
        <v>6</v>
      </c>
      <c r="AC448" s="37" t="s">
        <v>296</v>
      </c>
      <c r="AD448" s="37" t="s">
        <v>1070</v>
      </c>
      <c r="AE448" s="37"/>
      <c r="AF448" s="37" t="s">
        <v>1074</v>
      </c>
    </row>
    <row r="449" spans="1:32" customFormat="1" x14ac:dyDescent="0.2">
      <c r="A449" s="37"/>
      <c r="B449" s="37"/>
      <c r="C449" s="37" t="s">
        <v>26</v>
      </c>
      <c r="D449" s="37">
        <v>27</v>
      </c>
      <c r="E449" s="37">
        <v>6</v>
      </c>
      <c r="F449" s="37" t="s">
        <v>296</v>
      </c>
      <c r="G449" s="37">
        <v>10.4</v>
      </c>
      <c r="H449" s="37" t="s">
        <v>181</v>
      </c>
      <c r="I449" s="37" t="s">
        <v>23</v>
      </c>
      <c r="J449" s="37" t="s">
        <v>17</v>
      </c>
      <c r="K449" s="37">
        <v>0</v>
      </c>
      <c r="L449" s="37">
        <v>0</v>
      </c>
      <c r="M449" s="37">
        <v>0</v>
      </c>
      <c r="N449" s="37">
        <v>0</v>
      </c>
      <c r="O449" s="37">
        <v>0</v>
      </c>
      <c r="P449" s="37">
        <v>0</v>
      </c>
      <c r="Q449" s="37">
        <v>0</v>
      </c>
      <c r="R449" s="37">
        <v>0</v>
      </c>
      <c r="S449" s="37"/>
      <c r="T449" s="37" t="s">
        <v>181</v>
      </c>
      <c r="U449" s="37" t="s">
        <v>203</v>
      </c>
      <c r="V449" s="37">
        <v>60</v>
      </c>
      <c r="W449" s="37" t="s">
        <v>18</v>
      </c>
      <c r="X449" s="37" t="s">
        <v>190</v>
      </c>
      <c r="Y449" s="37">
        <v>2912</v>
      </c>
      <c r="Z449" s="37" t="s">
        <v>26</v>
      </c>
      <c r="AA449" s="37">
        <v>27</v>
      </c>
      <c r="AB449" s="37">
        <v>6</v>
      </c>
      <c r="AC449" s="37" t="s">
        <v>296</v>
      </c>
      <c r="AD449" s="37" t="s">
        <v>1075</v>
      </c>
      <c r="AE449" s="37"/>
      <c r="AF449" s="37" t="s">
        <v>1076</v>
      </c>
    </row>
    <row r="450" spans="1:32" customFormat="1" x14ac:dyDescent="0.2">
      <c r="A450" s="37"/>
      <c r="B450" s="37"/>
      <c r="C450" s="37"/>
      <c r="D450" s="37"/>
      <c r="E450" s="37"/>
      <c r="F450" s="37"/>
      <c r="G450" s="37" t="s">
        <v>166</v>
      </c>
      <c r="H450" s="37" t="s">
        <v>166</v>
      </c>
      <c r="I450" s="37" t="s">
        <v>166</v>
      </c>
      <c r="J450" s="37" t="s">
        <v>19</v>
      </c>
      <c r="K450" s="37">
        <v>0</v>
      </c>
      <c r="L450" s="37">
        <v>66</v>
      </c>
      <c r="M450" s="37">
        <v>36</v>
      </c>
      <c r="N450" s="37">
        <v>102</v>
      </c>
      <c r="O450" s="37">
        <v>106</v>
      </c>
      <c r="P450" s="37">
        <v>24</v>
      </c>
      <c r="Q450" s="37">
        <v>232</v>
      </c>
      <c r="R450" s="37">
        <v>4082</v>
      </c>
      <c r="S450" s="37"/>
      <c r="T450" s="37" t="s">
        <v>166</v>
      </c>
      <c r="U450" s="37" t="s">
        <v>166</v>
      </c>
      <c r="V450" s="37" t="s">
        <v>166</v>
      </c>
      <c r="W450" s="37" t="s">
        <v>18</v>
      </c>
      <c r="X450" s="37" t="s">
        <v>166</v>
      </c>
      <c r="Y450" s="37" t="s">
        <v>166</v>
      </c>
      <c r="Z450" s="37" t="s">
        <v>26</v>
      </c>
      <c r="AA450" s="37">
        <v>27</v>
      </c>
      <c r="AB450" s="37">
        <v>6</v>
      </c>
      <c r="AC450" s="37" t="s">
        <v>296</v>
      </c>
      <c r="AD450" s="37" t="s">
        <v>1075</v>
      </c>
      <c r="AE450" s="37"/>
      <c r="AF450" s="37" t="s">
        <v>1077</v>
      </c>
    </row>
    <row r="451" spans="1:32" customFormat="1" x14ac:dyDescent="0.2">
      <c r="A451" s="37"/>
      <c r="B451" s="37"/>
      <c r="C451" s="37"/>
      <c r="D451" s="37"/>
      <c r="E451" s="37"/>
      <c r="F451" s="37"/>
      <c r="G451" s="37" t="s">
        <v>166</v>
      </c>
      <c r="H451" s="37" t="s">
        <v>166</v>
      </c>
      <c r="I451" s="37" t="s">
        <v>166</v>
      </c>
      <c r="J451" s="37" t="s">
        <v>18</v>
      </c>
      <c r="K451" s="37">
        <v>1218</v>
      </c>
      <c r="L451" s="37">
        <v>342</v>
      </c>
      <c r="M451" s="37">
        <v>0</v>
      </c>
      <c r="N451" s="37">
        <v>1560</v>
      </c>
      <c r="O451" s="37">
        <v>792</v>
      </c>
      <c r="P451" s="37">
        <v>350</v>
      </c>
      <c r="Q451" s="37">
        <v>2702</v>
      </c>
      <c r="R451" s="37">
        <v>30864</v>
      </c>
      <c r="S451" s="37"/>
      <c r="T451" s="37" t="s">
        <v>166</v>
      </c>
      <c r="U451" s="37" t="s">
        <v>166</v>
      </c>
      <c r="V451" s="37" t="s">
        <v>166</v>
      </c>
      <c r="W451" s="37" t="s">
        <v>18</v>
      </c>
      <c r="X451" s="37" t="s">
        <v>166</v>
      </c>
      <c r="Y451" s="37" t="s">
        <v>166</v>
      </c>
      <c r="Z451" s="37" t="s">
        <v>26</v>
      </c>
      <c r="AA451" s="37">
        <v>27</v>
      </c>
      <c r="AB451" s="37">
        <v>6</v>
      </c>
      <c r="AC451" s="37" t="s">
        <v>296</v>
      </c>
      <c r="AD451" s="37" t="s">
        <v>1075</v>
      </c>
      <c r="AE451" s="37"/>
      <c r="AF451" s="37" t="s">
        <v>1078</v>
      </c>
    </row>
    <row r="452" spans="1:32" customFormat="1" x14ac:dyDescent="0.2">
      <c r="A452" s="37"/>
      <c r="B452" s="37"/>
      <c r="C452" s="37" t="s">
        <v>26</v>
      </c>
      <c r="D452" s="37">
        <v>27</v>
      </c>
      <c r="E452" s="37">
        <v>9</v>
      </c>
      <c r="F452" s="37">
        <v>2</v>
      </c>
      <c r="G452" s="37">
        <v>7.1</v>
      </c>
      <c r="H452" s="37" t="s">
        <v>181</v>
      </c>
      <c r="I452" s="37" t="s">
        <v>23</v>
      </c>
      <c r="J452" s="37" t="s">
        <v>17</v>
      </c>
      <c r="K452" s="37">
        <v>103</v>
      </c>
      <c r="L452" s="37">
        <v>234</v>
      </c>
      <c r="M452" s="37">
        <v>32</v>
      </c>
      <c r="N452" s="37">
        <v>369</v>
      </c>
      <c r="O452" s="37">
        <v>207</v>
      </c>
      <c r="P452" s="37">
        <v>81</v>
      </c>
      <c r="Q452" s="37">
        <v>657</v>
      </c>
      <c r="R452" s="37">
        <v>33163</v>
      </c>
      <c r="S452" s="37"/>
      <c r="T452" s="37" t="s">
        <v>181</v>
      </c>
      <c r="U452" s="37" t="s">
        <v>248</v>
      </c>
      <c r="V452" s="37">
        <v>55</v>
      </c>
      <c r="W452" s="37" t="s">
        <v>18</v>
      </c>
      <c r="X452" s="37" t="s">
        <v>190</v>
      </c>
      <c r="Y452" s="37">
        <v>1633</v>
      </c>
      <c r="Z452" s="37" t="s">
        <v>26</v>
      </c>
      <c r="AA452" s="37">
        <v>27</v>
      </c>
      <c r="AB452" s="37">
        <v>9</v>
      </c>
      <c r="AC452" s="37">
        <v>2</v>
      </c>
      <c r="AD452" s="37" t="s">
        <v>1079</v>
      </c>
      <c r="AE452" s="37"/>
      <c r="AF452" s="37" t="s">
        <v>1080</v>
      </c>
    </row>
    <row r="453" spans="1:32" customFormat="1" x14ac:dyDescent="0.2">
      <c r="A453" s="37"/>
      <c r="B453" s="37"/>
      <c r="C453" s="37"/>
      <c r="D453" s="37"/>
      <c r="E453" s="37"/>
      <c r="F453" s="37"/>
      <c r="G453" s="37" t="s">
        <v>166</v>
      </c>
      <c r="H453" s="37" t="s">
        <v>166</v>
      </c>
      <c r="I453" s="37" t="s">
        <v>166</v>
      </c>
      <c r="J453" s="37" t="s">
        <v>19</v>
      </c>
      <c r="K453" s="37">
        <v>0</v>
      </c>
      <c r="L453" s="37">
        <v>35</v>
      </c>
      <c r="M453" s="37">
        <v>17</v>
      </c>
      <c r="N453" s="37">
        <v>52</v>
      </c>
      <c r="O453" s="37">
        <v>76</v>
      </c>
      <c r="P453" s="37">
        <v>16</v>
      </c>
      <c r="Q453" s="37">
        <v>144</v>
      </c>
      <c r="R453" s="37">
        <v>2246</v>
      </c>
      <c r="S453" s="37"/>
      <c r="T453" s="37" t="s">
        <v>166</v>
      </c>
      <c r="U453" s="37" t="s">
        <v>166</v>
      </c>
      <c r="V453" s="37" t="s">
        <v>166</v>
      </c>
      <c r="W453" s="37" t="s">
        <v>18</v>
      </c>
      <c r="X453" s="37" t="s">
        <v>166</v>
      </c>
      <c r="Y453" s="37" t="s">
        <v>166</v>
      </c>
      <c r="Z453" s="37" t="s">
        <v>26</v>
      </c>
      <c r="AA453" s="37">
        <v>27</v>
      </c>
      <c r="AB453" s="37">
        <v>9</v>
      </c>
      <c r="AC453" s="37">
        <v>2</v>
      </c>
      <c r="AD453" s="37" t="s">
        <v>1079</v>
      </c>
      <c r="AE453" s="37"/>
      <c r="AF453" s="37" t="s">
        <v>1081</v>
      </c>
    </row>
    <row r="454" spans="1:32" customFormat="1" x14ac:dyDescent="0.2">
      <c r="A454" s="37"/>
      <c r="B454" s="37"/>
      <c r="C454" s="37"/>
      <c r="D454" s="37"/>
      <c r="E454" s="37"/>
      <c r="F454" s="37"/>
      <c r="G454" s="37" t="s">
        <v>166</v>
      </c>
      <c r="H454" s="37" t="s">
        <v>166</v>
      </c>
      <c r="I454" s="37" t="s">
        <v>166</v>
      </c>
      <c r="J454" s="37" t="s">
        <v>18</v>
      </c>
      <c r="K454" s="37">
        <v>290</v>
      </c>
      <c r="L454" s="37">
        <v>190</v>
      </c>
      <c r="M454" s="37">
        <v>5</v>
      </c>
      <c r="N454" s="37">
        <v>485</v>
      </c>
      <c r="O454" s="37">
        <v>301</v>
      </c>
      <c r="P454" s="37">
        <v>123</v>
      </c>
      <c r="Q454" s="37">
        <v>909</v>
      </c>
      <c r="R454" s="37">
        <v>9545</v>
      </c>
      <c r="S454" s="37"/>
      <c r="T454" s="37" t="s">
        <v>166</v>
      </c>
      <c r="U454" s="37" t="s">
        <v>166</v>
      </c>
      <c r="V454" s="37" t="s">
        <v>166</v>
      </c>
      <c r="W454" s="37" t="s">
        <v>18</v>
      </c>
      <c r="X454" s="37" t="s">
        <v>166</v>
      </c>
      <c r="Y454" s="37" t="s">
        <v>166</v>
      </c>
      <c r="Z454" s="37" t="s">
        <v>26</v>
      </c>
      <c r="AA454" s="37">
        <v>27</v>
      </c>
      <c r="AB454" s="37">
        <v>9</v>
      </c>
      <c r="AC454" s="37">
        <v>2</v>
      </c>
      <c r="AD454" s="37" t="s">
        <v>1079</v>
      </c>
      <c r="AE454" s="37"/>
      <c r="AF454" s="37" t="s">
        <v>1082</v>
      </c>
    </row>
    <row r="455" spans="1:32" customFormat="1" x14ac:dyDescent="0.2">
      <c r="A455" s="37"/>
      <c r="B455" s="37"/>
      <c r="C455" s="37" t="s">
        <v>26</v>
      </c>
      <c r="D455" s="37">
        <v>29</v>
      </c>
      <c r="E455" s="37">
        <v>9</v>
      </c>
      <c r="F455" s="37" t="s">
        <v>296</v>
      </c>
      <c r="G455" s="37">
        <v>5.9</v>
      </c>
      <c r="H455" s="37" t="s">
        <v>181</v>
      </c>
      <c r="I455" s="37" t="s">
        <v>23</v>
      </c>
      <c r="J455" s="37" t="s">
        <v>17</v>
      </c>
      <c r="K455" s="37">
        <v>78</v>
      </c>
      <c r="L455" s="37">
        <v>73</v>
      </c>
      <c r="M455" s="37">
        <v>7</v>
      </c>
      <c r="N455" s="37">
        <v>158</v>
      </c>
      <c r="O455" s="37">
        <v>87</v>
      </c>
      <c r="P455" s="37">
        <v>35</v>
      </c>
      <c r="Q455" s="37">
        <v>280</v>
      </c>
      <c r="R455" s="37">
        <v>15479</v>
      </c>
      <c r="S455" s="37"/>
      <c r="T455" s="37" t="s">
        <v>181</v>
      </c>
      <c r="U455" s="37" t="s">
        <v>213</v>
      </c>
      <c r="V455" s="37">
        <v>50</v>
      </c>
      <c r="W455" s="37" t="s">
        <v>18</v>
      </c>
      <c r="X455" s="37" t="s">
        <v>190</v>
      </c>
      <c r="Y455" s="37">
        <v>1475</v>
      </c>
      <c r="Z455" s="37" t="s">
        <v>26</v>
      </c>
      <c r="AA455" s="37">
        <v>29</v>
      </c>
      <c r="AB455" s="37">
        <v>9</v>
      </c>
      <c r="AC455" s="37" t="s">
        <v>296</v>
      </c>
      <c r="AD455" s="37" t="s">
        <v>1083</v>
      </c>
      <c r="AE455" s="37"/>
      <c r="AF455" s="37" t="s">
        <v>1084</v>
      </c>
    </row>
    <row r="456" spans="1:32" customFormat="1" x14ac:dyDescent="0.2">
      <c r="A456" s="37"/>
      <c r="B456" s="37"/>
      <c r="C456" s="37"/>
      <c r="D456" s="37"/>
      <c r="E456" s="37"/>
      <c r="F456" s="37"/>
      <c r="G456" s="37" t="s">
        <v>166</v>
      </c>
      <c r="H456" s="37" t="s">
        <v>166</v>
      </c>
      <c r="I456" s="37" t="s">
        <v>166</v>
      </c>
      <c r="J456" s="37" t="s">
        <v>19</v>
      </c>
      <c r="K456" s="37">
        <v>24</v>
      </c>
      <c r="L456" s="37">
        <v>94</v>
      </c>
      <c r="M456" s="37">
        <v>25</v>
      </c>
      <c r="N456" s="37">
        <v>143</v>
      </c>
      <c r="O456" s="37">
        <v>168</v>
      </c>
      <c r="P456" s="37">
        <v>43</v>
      </c>
      <c r="Q456" s="37">
        <v>354</v>
      </c>
      <c r="R456" s="37">
        <v>7038</v>
      </c>
      <c r="S456" s="37"/>
      <c r="T456" s="37" t="s">
        <v>166</v>
      </c>
      <c r="U456" s="37" t="s">
        <v>166</v>
      </c>
      <c r="V456" s="37" t="s">
        <v>166</v>
      </c>
      <c r="W456" s="37" t="s">
        <v>18</v>
      </c>
      <c r="X456" s="37" t="s">
        <v>166</v>
      </c>
      <c r="Y456" s="37" t="s">
        <v>166</v>
      </c>
      <c r="Z456" s="37" t="s">
        <v>26</v>
      </c>
      <c r="AA456" s="37">
        <v>29</v>
      </c>
      <c r="AB456" s="37">
        <v>9</v>
      </c>
      <c r="AC456" s="37" t="s">
        <v>296</v>
      </c>
      <c r="AD456" s="37" t="s">
        <v>1083</v>
      </c>
      <c r="AE456" s="37"/>
      <c r="AF456" s="37" t="s">
        <v>1085</v>
      </c>
    </row>
    <row r="457" spans="1:32" customFormat="1" x14ac:dyDescent="0.2">
      <c r="A457" s="37"/>
      <c r="B457" s="37"/>
      <c r="C457" s="37"/>
      <c r="D457" s="37"/>
      <c r="E457" s="37"/>
      <c r="F457" s="37"/>
      <c r="G457" s="37" t="s">
        <v>166</v>
      </c>
      <c r="H457" s="37" t="s">
        <v>166</v>
      </c>
      <c r="I457" s="37" t="s">
        <v>166</v>
      </c>
      <c r="J457" s="37" t="s">
        <v>18</v>
      </c>
      <c r="K457" s="37">
        <v>193</v>
      </c>
      <c r="L457" s="37">
        <v>183</v>
      </c>
      <c r="M457" s="37">
        <v>11</v>
      </c>
      <c r="N457" s="37">
        <v>387</v>
      </c>
      <c r="O457" s="37">
        <v>288</v>
      </c>
      <c r="P457" s="37">
        <v>112</v>
      </c>
      <c r="Q457" s="37">
        <v>787</v>
      </c>
      <c r="R457" s="37">
        <v>7388</v>
      </c>
      <c r="S457" s="37"/>
      <c r="T457" s="37" t="s">
        <v>166</v>
      </c>
      <c r="U457" s="37" t="s">
        <v>166</v>
      </c>
      <c r="V457" s="37" t="s">
        <v>166</v>
      </c>
      <c r="W457" s="37" t="s">
        <v>18</v>
      </c>
      <c r="X457" s="37" t="s">
        <v>166</v>
      </c>
      <c r="Y457" s="37" t="s">
        <v>166</v>
      </c>
      <c r="Z457" s="37" t="s">
        <v>26</v>
      </c>
      <c r="AA457" s="37">
        <v>29</v>
      </c>
      <c r="AB457" s="37">
        <v>9</v>
      </c>
      <c r="AC457" s="37" t="s">
        <v>296</v>
      </c>
      <c r="AD457" s="37" t="s">
        <v>1083</v>
      </c>
      <c r="AE457" s="37"/>
      <c r="AF457" s="37" t="s">
        <v>1086</v>
      </c>
    </row>
    <row r="458" spans="1:32" customFormat="1" x14ac:dyDescent="0.2">
      <c r="A458" s="37"/>
      <c r="B458" s="37"/>
      <c r="C458" s="37" t="s">
        <v>26</v>
      </c>
      <c r="D458" s="37">
        <v>30</v>
      </c>
      <c r="E458" s="37">
        <v>18</v>
      </c>
      <c r="F458" s="37" t="s">
        <v>296</v>
      </c>
      <c r="G458" s="37">
        <v>4.0999999999999996</v>
      </c>
      <c r="H458" s="37" t="s">
        <v>181</v>
      </c>
      <c r="I458" s="37" t="s">
        <v>23</v>
      </c>
      <c r="J458" s="37" t="s">
        <v>17</v>
      </c>
      <c r="K458" s="37">
        <v>27</v>
      </c>
      <c r="L458" s="37">
        <v>26</v>
      </c>
      <c r="M458" s="37">
        <v>2</v>
      </c>
      <c r="N458" s="37">
        <v>55</v>
      </c>
      <c r="O458" s="37">
        <v>47</v>
      </c>
      <c r="P458" s="37">
        <v>14</v>
      </c>
      <c r="Q458" s="37">
        <v>116</v>
      </c>
      <c r="R458" s="37">
        <v>5453</v>
      </c>
      <c r="S458" s="37"/>
      <c r="T458" s="37" t="s">
        <v>181</v>
      </c>
      <c r="U458" s="37" t="s">
        <v>274</v>
      </c>
      <c r="V458" s="37">
        <v>60</v>
      </c>
      <c r="W458" s="37" t="s">
        <v>18</v>
      </c>
      <c r="X458" s="37" t="s">
        <v>190</v>
      </c>
      <c r="Y458" s="37">
        <v>901.99999999999989</v>
      </c>
      <c r="Z458" s="37" t="s">
        <v>26</v>
      </c>
      <c r="AA458" s="37">
        <v>30</v>
      </c>
      <c r="AB458" s="37">
        <v>18</v>
      </c>
      <c r="AC458" s="37" t="s">
        <v>296</v>
      </c>
      <c r="AD458" s="37" t="s">
        <v>1087</v>
      </c>
      <c r="AE458" s="37"/>
      <c r="AF458" s="37" t="s">
        <v>1088</v>
      </c>
    </row>
    <row r="459" spans="1:32" customFormat="1" x14ac:dyDescent="0.2">
      <c r="A459" s="37"/>
      <c r="B459" s="37"/>
      <c r="C459" s="37"/>
      <c r="D459" s="37"/>
      <c r="E459" s="37"/>
      <c r="F459" s="37"/>
      <c r="G459" s="37" t="s">
        <v>166</v>
      </c>
      <c r="H459" s="37" t="s">
        <v>166</v>
      </c>
      <c r="I459" s="37" t="s">
        <v>166</v>
      </c>
      <c r="J459" s="37" t="s">
        <v>19</v>
      </c>
      <c r="K459" s="37">
        <v>12</v>
      </c>
      <c r="L459" s="37">
        <v>51</v>
      </c>
      <c r="M459" s="37">
        <v>8</v>
      </c>
      <c r="N459" s="37">
        <v>71</v>
      </c>
      <c r="O459" s="37">
        <v>94</v>
      </c>
      <c r="P459" s="37">
        <v>23</v>
      </c>
      <c r="Q459" s="37">
        <v>188</v>
      </c>
      <c r="R459" s="37">
        <v>3628</v>
      </c>
      <c r="S459" s="37"/>
      <c r="T459" s="37" t="s">
        <v>166</v>
      </c>
      <c r="U459" s="37" t="s">
        <v>166</v>
      </c>
      <c r="V459" s="37" t="s">
        <v>166</v>
      </c>
      <c r="W459" s="37" t="s">
        <v>18</v>
      </c>
      <c r="X459" s="37" t="s">
        <v>166</v>
      </c>
      <c r="Y459" s="37" t="s">
        <v>166</v>
      </c>
      <c r="Z459" s="37" t="s">
        <v>26</v>
      </c>
      <c r="AA459" s="37">
        <v>30</v>
      </c>
      <c r="AB459" s="37">
        <v>18</v>
      </c>
      <c r="AC459" s="37" t="s">
        <v>296</v>
      </c>
      <c r="AD459" s="37" t="s">
        <v>1087</v>
      </c>
      <c r="AE459" s="37"/>
      <c r="AF459" s="37" t="s">
        <v>1089</v>
      </c>
    </row>
    <row r="460" spans="1:32" customFormat="1" x14ac:dyDescent="0.2">
      <c r="A460" s="37"/>
      <c r="B460" s="37"/>
      <c r="C460" s="37"/>
      <c r="D460" s="37"/>
      <c r="E460" s="37"/>
      <c r="F460" s="37"/>
      <c r="G460" s="37" t="s">
        <v>166</v>
      </c>
      <c r="H460" s="37" t="s">
        <v>166</v>
      </c>
      <c r="I460" s="37" t="s">
        <v>166</v>
      </c>
      <c r="J460" s="37" t="s">
        <v>18</v>
      </c>
      <c r="K460" s="37">
        <v>205</v>
      </c>
      <c r="L460" s="37">
        <v>166</v>
      </c>
      <c r="M460" s="37">
        <v>10</v>
      </c>
      <c r="N460" s="37">
        <v>381</v>
      </c>
      <c r="O460" s="37">
        <v>241</v>
      </c>
      <c r="P460" s="37">
        <v>100</v>
      </c>
      <c r="Q460" s="37">
        <v>722</v>
      </c>
      <c r="R460" s="37">
        <v>7330</v>
      </c>
      <c r="S460" s="37"/>
      <c r="T460" s="37" t="s">
        <v>166</v>
      </c>
      <c r="U460" s="37" t="s">
        <v>166</v>
      </c>
      <c r="V460" s="37" t="s">
        <v>166</v>
      </c>
      <c r="W460" s="37" t="s">
        <v>18</v>
      </c>
      <c r="X460" s="37" t="s">
        <v>166</v>
      </c>
      <c r="Y460" s="37" t="s">
        <v>166</v>
      </c>
      <c r="Z460" s="37" t="s">
        <v>26</v>
      </c>
      <c r="AA460" s="37">
        <v>30</v>
      </c>
      <c r="AB460" s="37">
        <v>18</v>
      </c>
      <c r="AC460" s="37" t="s">
        <v>296</v>
      </c>
      <c r="AD460" s="37" t="s">
        <v>1087</v>
      </c>
      <c r="AE460" s="37"/>
      <c r="AF460" s="37" t="s">
        <v>1090</v>
      </c>
    </row>
    <row r="461" spans="1:32" customFormat="1" x14ac:dyDescent="0.2">
      <c r="A461" s="37"/>
      <c r="B461" s="37"/>
      <c r="C461" s="37" t="s">
        <v>26</v>
      </c>
      <c r="D461" s="37">
        <v>32</v>
      </c>
      <c r="E461" s="37">
        <v>7</v>
      </c>
      <c r="F461" s="37" t="s">
        <v>296</v>
      </c>
      <c r="G461" s="37">
        <v>2.5</v>
      </c>
      <c r="H461" s="37" t="s">
        <v>181</v>
      </c>
      <c r="I461" s="37" t="s">
        <v>23</v>
      </c>
      <c r="J461" s="37" t="s">
        <v>17</v>
      </c>
      <c r="K461" s="37">
        <v>31</v>
      </c>
      <c r="L461" s="37">
        <v>34</v>
      </c>
      <c r="M461" s="37">
        <v>6</v>
      </c>
      <c r="N461" s="37">
        <v>71</v>
      </c>
      <c r="O461" s="37">
        <v>49</v>
      </c>
      <c r="P461" s="37">
        <v>17</v>
      </c>
      <c r="Q461" s="37">
        <v>137</v>
      </c>
      <c r="R461" s="37">
        <v>6873</v>
      </c>
      <c r="S461" s="37"/>
      <c r="T461" s="37" t="s">
        <v>181</v>
      </c>
      <c r="U461" s="37" t="s">
        <v>264</v>
      </c>
      <c r="V461" s="37">
        <v>55</v>
      </c>
      <c r="W461" s="37" t="s">
        <v>18</v>
      </c>
      <c r="X461" s="37" t="s">
        <v>190</v>
      </c>
      <c r="Y461" s="37">
        <v>475</v>
      </c>
      <c r="Z461" s="37" t="s">
        <v>26</v>
      </c>
      <c r="AA461" s="37">
        <v>32</v>
      </c>
      <c r="AB461" s="37">
        <v>7</v>
      </c>
      <c r="AC461" s="37" t="s">
        <v>296</v>
      </c>
      <c r="AD461" s="37" t="s">
        <v>1091</v>
      </c>
      <c r="AE461" s="37"/>
      <c r="AF461" s="37" t="s">
        <v>1092</v>
      </c>
    </row>
    <row r="462" spans="1:32" customFormat="1" x14ac:dyDescent="0.2">
      <c r="A462" s="37"/>
      <c r="B462" s="37"/>
      <c r="C462" s="37"/>
      <c r="D462" s="37"/>
      <c r="E462" s="37"/>
      <c r="F462" s="37"/>
      <c r="G462" s="37" t="s">
        <v>166</v>
      </c>
      <c r="H462" s="37" t="s">
        <v>166</v>
      </c>
      <c r="I462" s="37" t="s">
        <v>166</v>
      </c>
      <c r="J462" s="37" t="s">
        <v>19</v>
      </c>
      <c r="K462" s="37">
        <v>2</v>
      </c>
      <c r="L462" s="37">
        <v>12</v>
      </c>
      <c r="M462" s="37">
        <v>3</v>
      </c>
      <c r="N462" s="37">
        <v>17</v>
      </c>
      <c r="O462" s="37">
        <v>21</v>
      </c>
      <c r="P462" s="37">
        <v>5</v>
      </c>
      <c r="Q462" s="37">
        <v>43</v>
      </c>
      <c r="R462" s="37">
        <v>812</v>
      </c>
      <c r="S462" s="37"/>
      <c r="T462" s="37" t="s">
        <v>166</v>
      </c>
      <c r="U462" s="37" t="s">
        <v>166</v>
      </c>
      <c r="V462" s="37" t="s">
        <v>166</v>
      </c>
      <c r="W462" s="37" t="s">
        <v>18</v>
      </c>
      <c r="X462" s="37" t="s">
        <v>166</v>
      </c>
      <c r="Y462" s="37" t="s">
        <v>166</v>
      </c>
      <c r="Z462" s="37" t="s">
        <v>26</v>
      </c>
      <c r="AA462" s="37">
        <v>32</v>
      </c>
      <c r="AB462" s="37">
        <v>7</v>
      </c>
      <c r="AC462" s="37" t="s">
        <v>296</v>
      </c>
      <c r="AD462" s="37" t="s">
        <v>1091</v>
      </c>
      <c r="AE462" s="37"/>
      <c r="AF462" s="37" t="s">
        <v>1093</v>
      </c>
    </row>
    <row r="463" spans="1:32" customFormat="1" x14ac:dyDescent="0.2">
      <c r="A463" s="37"/>
      <c r="B463" s="37"/>
      <c r="C463" s="37"/>
      <c r="D463" s="37"/>
      <c r="E463" s="37"/>
      <c r="F463" s="37"/>
      <c r="G463" s="37" t="s">
        <v>166</v>
      </c>
      <c r="H463" s="37" t="s">
        <v>166</v>
      </c>
      <c r="I463" s="37" t="s">
        <v>166</v>
      </c>
      <c r="J463" s="37" t="s">
        <v>18</v>
      </c>
      <c r="K463" s="37">
        <v>114</v>
      </c>
      <c r="L463" s="37">
        <v>46</v>
      </c>
      <c r="M463" s="37">
        <v>2</v>
      </c>
      <c r="N463" s="37">
        <v>162</v>
      </c>
      <c r="O463" s="37">
        <v>101</v>
      </c>
      <c r="P463" s="37">
        <v>41</v>
      </c>
      <c r="Q463" s="37">
        <v>304</v>
      </c>
      <c r="R463" s="37">
        <v>3271</v>
      </c>
      <c r="S463" s="37"/>
      <c r="T463" s="37" t="s">
        <v>166</v>
      </c>
      <c r="U463" s="37" t="s">
        <v>166</v>
      </c>
      <c r="V463" s="37" t="s">
        <v>166</v>
      </c>
      <c r="W463" s="37" t="s">
        <v>18</v>
      </c>
      <c r="X463" s="37" t="s">
        <v>166</v>
      </c>
      <c r="Y463" s="37" t="s">
        <v>166</v>
      </c>
      <c r="Z463" s="37" t="s">
        <v>26</v>
      </c>
      <c r="AA463" s="37">
        <v>32</v>
      </c>
      <c r="AB463" s="37">
        <v>7</v>
      </c>
      <c r="AC463" s="37" t="s">
        <v>296</v>
      </c>
      <c r="AD463" s="37" t="s">
        <v>1091</v>
      </c>
      <c r="AE463" s="37"/>
      <c r="AF463" s="37" t="s">
        <v>1094</v>
      </c>
    </row>
    <row r="464" spans="1:32" customFormat="1" x14ac:dyDescent="0.2">
      <c r="A464" s="37"/>
      <c r="B464" s="37"/>
      <c r="C464" s="37" t="s">
        <v>26</v>
      </c>
      <c r="D464" s="37">
        <v>32</v>
      </c>
      <c r="E464" s="37">
        <v>7</v>
      </c>
      <c r="F464" s="37">
        <v>2</v>
      </c>
      <c r="G464" s="37">
        <v>2.5</v>
      </c>
      <c r="H464" s="37" t="s">
        <v>181</v>
      </c>
      <c r="I464" s="37" t="s">
        <v>23</v>
      </c>
      <c r="J464" s="37" t="s">
        <v>17</v>
      </c>
      <c r="K464" s="37">
        <v>34</v>
      </c>
      <c r="L464" s="37">
        <v>39</v>
      </c>
      <c r="M464" s="37">
        <v>6</v>
      </c>
      <c r="N464" s="37">
        <v>79</v>
      </c>
      <c r="O464" s="37">
        <v>56</v>
      </c>
      <c r="P464" s="37">
        <v>19</v>
      </c>
      <c r="Q464" s="37">
        <v>154</v>
      </c>
      <c r="R464" s="37">
        <v>7553</v>
      </c>
      <c r="S464" s="37"/>
      <c r="T464" s="37" t="s">
        <v>181</v>
      </c>
      <c r="U464" s="37" t="s">
        <v>264</v>
      </c>
      <c r="V464" s="37">
        <v>55</v>
      </c>
      <c r="W464" s="37" t="s">
        <v>18</v>
      </c>
      <c r="X464" s="37" t="s">
        <v>190</v>
      </c>
      <c r="Y464" s="37">
        <v>475</v>
      </c>
      <c r="Z464" s="37" t="s">
        <v>26</v>
      </c>
      <c r="AA464" s="37">
        <v>32</v>
      </c>
      <c r="AB464" s="37">
        <v>7</v>
      </c>
      <c r="AC464" s="37">
        <v>2</v>
      </c>
      <c r="AD464" s="37" t="s">
        <v>1095</v>
      </c>
      <c r="AE464" s="37"/>
      <c r="AF464" s="37" t="s">
        <v>1096</v>
      </c>
    </row>
    <row r="465" spans="1:32" customFormat="1" x14ac:dyDescent="0.2">
      <c r="A465" s="37"/>
      <c r="B465" s="37"/>
      <c r="C465" s="37"/>
      <c r="D465" s="37"/>
      <c r="E465" s="37"/>
      <c r="F465" s="37"/>
      <c r="G465" s="37" t="s">
        <v>166</v>
      </c>
      <c r="H465" s="37" t="s">
        <v>166</v>
      </c>
      <c r="I465" s="37" t="s">
        <v>166</v>
      </c>
      <c r="J465" s="37" t="s">
        <v>19</v>
      </c>
      <c r="K465" s="37">
        <v>1</v>
      </c>
      <c r="L465" s="37">
        <v>12</v>
      </c>
      <c r="M465" s="37">
        <v>3</v>
      </c>
      <c r="N465" s="37">
        <v>16</v>
      </c>
      <c r="O465" s="37">
        <v>23</v>
      </c>
      <c r="P465" s="37">
        <v>5</v>
      </c>
      <c r="Q465" s="37">
        <v>44</v>
      </c>
      <c r="R465" s="37">
        <v>786</v>
      </c>
      <c r="S465" s="37"/>
      <c r="T465" s="37" t="s">
        <v>166</v>
      </c>
      <c r="U465" s="37" t="s">
        <v>166</v>
      </c>
      <c r="V465" s="37" t="s">
        <v>166</v>
      </c>
      <c r="W465" s="37" t="s">
        <v>18</v>
      </c>
      <c r="X465" s="37" t="s">
        <v>166</v>
      </c>
      <c r="Y465" s="37" t="s">
        <v>166</v>
      </c>
      <c r="Z465" s="37" t="s">
        <v>26</v>
      </c>
      <c r="AA465" s="37">
        <v>32</v>
      </c>
      <c r="AB465" s="37">
        <v>7</v>
      </c>
      <c r="AC465" s="37">
        <v>2</v>
      </c>
      <c r="AD465" s="37" t="s">
        <v>1095</v>
      </c>
      <c r="AE465" s="37"/>
      <c r="AF465" s="37" t="s">
        <v>1097</v>
      </c>
    </row>
    <row r="466" spans="1:32" customFormat="1" x14ac:dyDescent="0.2">
      <c r="A466" s="37"/>
      <c r="B466" s="37"/>
      <c r="C466" s="37"/>
      <c r="D466" s="37"/>
      <c r="E466" s="37"/>
      <c r="F466" s="37"/>
      <c r="G466" s="37" t="s">
        <v>166</v>
      </c>
      <c r="H466" s="37" t="s">
        <v>166</v>
      </c>
      <c r="I466" s="37" t="s">
        <v>166</v>
      </c>
      <c r="J466" s="37" t="s">
        <v>18</v>
      </c>
      <c r="K466" s="37">
        <v>93</v>
      </c>
      <c r="L466" s="37">
        <v>40</v>
      </c>
      <c r="M466" s="37">
        <v>2</v>
      </c>
      <c r="N466" s="37">
        <v>135</v>
      </c>
      <c r="O466" s="37">
        <v>95</v>
      </c>
      <c r="P466" s="37">
        <v>38</v>
      </c>
      <c r="Q466" s="37">
        <v>268</v>
      </c>
      <c r="R466" s="37">
        <v>2723</v>
      </c>
      <c r="S466" s="37"/>
      <c r="T466" s="37" t="s">
        <v>166</v>
      </c>
      <c r="U466" s="37" t="s">
        <v>166</v>
      </c>
      <c r="V466" s="37" t="s">
        <v>166</v>
      </c>
      <c r="W466" s="37" t="s">
        <v>18</v>
      </c>
      <c r="X466" s="37" t="s">
        <v>166</v>
      </c>
      <c r="Y466" s="37" t="s">
        <v>166</v>
      </c>
      <c r="Z466" s="37" t="s">
        <v>26</v>
      </c>
      <c r="AA466" s="37">
        <v>32</v>
      </c>
      <c r="AB466" s="37">
        <v>7</v>
      </c>
      <c r="AC466" s="37">
        <v>2</v>
      </c>
      <c r="AD466" s="37" t="s">
        <v>1095</v>
      </c>
      <c r="AE466" s="37"/>
      <c r="AF466" s="37" t="s">
        <v>1098</v>
      </c>
    </row>
    <row r="467" spans="1:32" customFormat="1" x14ac:dyDescent="0.2">
      <c r="A467" s="37"/>
      <c r="B467" s="37"/>
      <c r="C467" s="37" t="s">
        <v>26</v>
      </c>
      <c r="D467" s="37">
        <v>32</v>
      </c>
      <c r="E467" s="37">
        <v>7</v>
      </c>
      <c r="F467" s="37">
        <v>3</v>
      </c>
      <c r="G467" s="37">
        <v>4.4000000000000004</v>
      </c>
      <c r="H467" s="37" t="s">
        <v>181</v>
      </c>
      <c r="I467" s="37" t="s">
        <v>23</v>
      </c>
      <c r="J467" s="37" t="s">
        <v>17</v>
      </c>
      <c r="K467" s="37">
        <v>52</v>
      </c>
      <c r="L467" s="37">
        <v>66</v>
      </c>
      <c r="M467" s="37">
        <v>10</v>
      </c>
      <c r="N467" s="37">
        <v>128</v>
      </c>
      <c r="O467" s="37">
        <v>88</v>
      </c>
      <c r="P467" s="37">
        <v>29</v>
      </c>
      <c r="Q467" s="37">
        <v>245</v>
      </c>
      <c r="R467" s="37">
        <v>12074</v>
      </c>
      <c r="S467" s="37"/>
      <c r="T467" s="37" t="s">
        <v>181</v>
      </c>
      <c r="U467" s="37" t="s">
        <v>264</v>
      </c>
      <c r="V467" s="37">
        <v>55</v>
      </c>
      <c r="W467" s="37" t="s">
        <v>18</v>
      </c>
      <c r="X467" s="37" t="s">
        <v>190</v>
      </c>
      <c r="Y467" s="37">
        <v>836.00000000000011</v>
      </c>
      <c r="Z467" s="37" t="s">
        <v>26</v>
      </c>
      <c r="AA467" s="37">
        <v>32</v>
      </c>
      <c r="AB467" s="37">
        <v>7</v>
      </c>
      <c r="AC467" s="37">
        <v>3</v>
      </c>
      <c r="AD467" s="37" t="s">
        <v>1099</v>
      </c>
      <c r="AE467" s="37"/>
      <c r="AF467" s="37" t="s">
        <v>1100</v>
      </c>
    </row>
    <row r="468" spans="1:32" customFormat="1" x14ac:dyDescent="0.2">
      <c r="A468" s="37"/>
      <c r="B468" s="37"/>
      <c r="C468" s="37"/>
      <c r="D468" s="37"/>
      <c r="E468" s="37"/>
      <c r="F468" s="37"/>
      <c r="G468" s="37" t="s">
        <v>166</v>
      </c>
      <c r="H468" s="37" t="s">
        <v>166</v>
      </c>
      <c r="I468" s="37" t="s">
        <v>166</v>
      </c>
      <c r="J468" s="37" t="s">
        <v>19</v>
      </c>
      <c r="K468" s="37">
        <v>3</v>
      </c>
      <c r="L468" s="37">
        <v>21</v>
      </c>
      <c r="M468" s="37">
        <v>5</v>
      </c>
      <c r="N468" s="37">
        <v>29</v>
      </c>
      <c r="O468" s="37">
        <v>34</v>
      </c>
      <c r="P468" s="37">
        <v>9</v>
      </c>
      <c r="Q468" s="37">
        <v>72</v>
      </c>
      <c r="R468" s="37">
        <v>1395</v>
      </c>
      <c r="S468" s="37"/>
      <c r="T468" s="37" t="s">
        <v>166</v>
      </c>
      <c r="U468" s="37" t="s">
        <v>166</v>
      </c>
      <c r="V468" s="37" t="s">
        <v>166</v>
      </c>
      <c r="W468" s="37" t="s">
        <v>18</v>
      </c>
      <c r="X468" s="37" t="s">
        <v>166</v>
      </c>
      <c r="Y468" s="37" t="s">
        <v>166</v>
      </c>
      <c r="Z468" s="37" t="s">
        <v>26</v>
      </c>
      <c r="AA468" s="37">
        <v>32</v>
      </c>
      <c r="AB468" s="37">
        <v>7</v>
      </c>
      <c r="AC468" s="37">
        <v>3</v>
      </c>
      <c r="AD468" s="37" t="s">
        <v>1099</v>
      </c>
      <c r="AE468" s="37"/>
      <c r="AF468" s="37" t="s">
        <v>1101</v>
      </c>
    </row>
    <row r="469" spans="1:32" customFormat="1" x14ac:dyDescent="0.2">
      <c r="A469" s="37"/>
      <c r="B469" s="37"/>
      <c r="C469" s="37"/>
      <c r="D469" s="37"/>
      <c r="E469" s="37"/>
      <c r="F469" s="37"/>
      <c r="G469" s="37" t="s">
        <v>166</v>
      </c>
      <c r="H469" s="37" t="s">
        <v>166</v>
      </c>
      <c r="I469" s="37" t="s">
        <v>166</v>
      </c>
      <c r="J469" s="37" t="s">
        <v>18</v>
      </c>
      <c r="K469" s="37">
        <v>163</v>
      </c>
      <c r="L469" s="37">
        <v>95</v>
      </c>
      <c r="M469" s="37">
        <v>4</v>
      </c>
      <c r="N469" s="37">
        <v>262</v>
      </c>
      <c r="O469" s="37">
        <v>169</v>
      </c>
      <c r="P469" s="37">
        <v>69</v>
      </c>
      <c r="Q469" s="37">
        <v>500</v>
      </c>
      <c r="R469" s="37">
        <v>5166</v>
      </c>
      <c r="S469" s="37"/>
      <c r="T469" s="37" t="s">
        <v>166</v>
      </c>
      <c r="U469" s="37" t="s">
        <v>166</v>
      </c>
      <c r="V469" s="37" t="s">
        <v>166</v>
      </c>
      <c r="W469" s="37" t="s">
        <v>18</v>
      </c>
      <c r="X469" s="37" t="s">
        <v>166</v>
      </c>
      <c r="Y469" s="37" t="s">
        <v>166</v>
      </c>
      <c r="Z469" s="37" t="s">
        <v>26</v>
      </c>
      <c r="AA469" s="37">
        <v>32</v>
      </c>
      <c r="AB469" s="37">
        <v>7</v>
      </c>
      <c r="AC469" s="37">
        <v>3</v>
      </c>
      <c r="AD469" s="37" t="s">
        <v>1099</v>
      </c>
      <c r="AE469" s="37"/>
      <c r="AF469" s="37" t="s">
        <v>1102</v>
      </c>
    </row>
    <row r="470" spans="1:32" customFormat="1" x14ac:dyDescent="0.2">
      <c r="A470" s="37"/>
      <c r="B470" s="37"/>
      <c r="C470" s="37" t="s">
        <v>26</v>
      </c>
      <c r="D470" s="37">
        <v>34</v>
      </c>
      <c r="E470" s="37">
        <v>22</v>
      </c>
      <c r="F470" s="37" t="s">
        <v>296</v>
      </c>
      <c r="G470" s="37">
        <v>7.9</v>
      </c>
      <c r="H470" s="37" t="s">
        <v>181</v>
      </c>
      <c r="I470" s="37" t="s">
        <v>23</v>
      </c>
      <c r="J470" s="37" t="s">
        <v>17</v>
      </c>
      <c r="K470" s="37">
        <v>51</v>
      </c>
      <c r="L470" s="37">
        <v>100</v>
      </c>
      <c r="M470" s="37">
        <v>0</v>
      </c>
      <c r="N470" s="37">
        <v>151</v>
      </c>
      <c r="O470" s="37">
        <v>109</v>
      </c>
      <c r="P470" s="37">
        <v>35</v>
      </c>
      <c r="Q470" s="37">
        <v>295</v>
      </c>
      <c r="R470" s="37">
        <v>14566</v>
      </c>
      <c r="S470" s="37"/>
      <c r="T470" s="37" t="s">
        <v>181</v>
      </c>
      <c r="U470" s="37" t="s">
        <v>279</v>
      </c>
      <c r="V470" s="37">
        <v>100</v>
      </c>
      <c r="W470" s="37" t="s">
        <v>19</v>
      </c>
      <c r="X470" s="37" t="s">
        <v>190</v>
      </c>
      <c r="Y470" s="37">
        <v>1185</v>
      </c>
      <c r="Z470" s="37" t="s">
        <v>26</v>
      </c>
      <c r="AA470" s="37">
        <v>34</v>
      </c>
      <c r="AB470" s="37">
        <v>22</v>
      </c>
      <c r="AC470" s="37" t="s">
        <v>296</v>
      </c>
      <c r="AD470" s="37" t="s">
        <v>1103</v>
      </c>
      <c r="AE470" s="37"/>
      <c r="AF470" s="37" t="s">
        <v>1104</v>
      </c>
    </row>
    <row r="471" spans="1:32" customFormat="1" x14ac:dyDescent="0.2">
      <c r="A471" s="37"/>
      <c r="B471" s="37"/>
      <c r="C471" s="37"/>
      <c r="D471" s="37"/>
      <c r="E471" s="37"/>
      <c r="F471" s="37"/>
      <c r="G471" s="37" t="s">
        <v>166</v>
      </c>
      <c r="H471" s="37" t="s">
        <v>166</v>
      </c>
      <c r="I471" s="37" t="s">
        <v>166</v>
      </c>
      <c r="J471" s="37" t="s">
        <v>178</v>
      </c>
      <c r="K471" s="37">
        <v>6</v>
      </c>
      <c r="L471" s="37">
        <v>51</v>
      </c>
      <c r="M471" s="37">
        <v>0</v>
      </c>
      <c r="N471" s="37">
        <v>57</v>
      </c>
      <c r="O471" s="37">
        <v>76</v>
      </c>
      <c r="P471" s="37">
        <v>19</v>
      </c>
      <c r="Q471" s="37">
        <v>152</v>
      </c>
      <c r="R471" s="37">
        <v>38044</v>
      </c>
      <c r="S471" s="37"/>
      <c r="T471" s="37" t="s">
        <v>166</v>
      </c>
      <c r="U471" s="37" t="s">
        <v>166</v>
      </c>
      <c r="V471" s="37" t="s">
        <v>166</v>
      </c>
      <c r="W471" s="37" t="s">
        <v>19</v>
      </c>
      <c r="X471" s="37" t="s">
        <v>166</v>
      </c>
      <c r="Y471" s="37" t="s">
        <v>166</v>
      </c>
      <c r="Z471" s="37" t="s">
        <v>26</v>
      </c>
      <c r="AA471" s="37">
        <v>34</v>
      </c>
      <c r="AB471" s="37">
        <v>22</v>
      </c>
      <c r="AC471" s="37" t="s">
        <v>296</v>
      </c>
      <c r="AD471" s="37" t="s">
        <v>1103</v>
      </c>
      <c r="AE471" s="37"/>
      <c r="AF471" s="37" t="s">
        <v>1105</v>
      </c>
    </row>
    <row r="472" spans="1:32" customFormat="1" x14ac:dyDescent="0.2">
      <c r="A472" s="37"/>
      <c r="B472" s="37"/>
      <c r="C472" s="37"/>
      <c r="D472" s="37"/>
      <c r="E472" s="37"/>
      <c r="F472" s="37"/>
      <c r="G472" s="37" t="s">
        <v>166</v>
      </c>
      <c r="H472" s="37" t="s">
        <v>166</v>
      </c>
      <c r="I472" s="37" t="s">
        <v>166</v>
      </c>
      <c r="J472" s="37" t="s">
        <v>19</v>
      </c>
      <c r="K472" s="37">
        <v>73</v>
      </c>
      <c r="L472" s="37">
        <v>190</v>
      </c>
      <c r="M472" s="37">
        <v>28</v>
      </c>
      <c r="N472" s="37">
        <v>291</v>
      </c>
      <c r="O472" s="37">
        <v>307</v>
      </c>
      <c r="P472" s="37">
        <v>88</v>
      </c>
      <c r="Q472" s="37">
        <v>686</v>
      </c>
      <c r="R472" s="37">
        <v>15258</v>
      </c>
      <c r="S472" s="37"/>
      <c r="T472" s="37" t="s">
        <v>166</v>
      </c>
      <c r="U472" s="37" t="s">
        <v>166</v>
      </c>
      <c r="V472" s="37" t="s">
        <v>166</v>
      </c>
      <c r="W472" s="37" t="s">
        <v>19</v>
      </c>
      <c r="X472" s="37" t="s">
        <v>166</v>
      </c>
      <c r="Y472" s="37" t="s">
        <v>166</v>
      </c>
      <c r="Z472" s="37" t="s">
        <v>26</v>
      </c>
      <c r="AA472" s="37">
        <v>34</v>
      </c>
      <c r="AB472" s="37">
        <v>22</v>
      </c>
      <c r="AC472" s="37" t="s">
        <v>296</v>
      </c>
      <c r="AD472" s="37" t="s">
        <v>1103</v>
      </c>
      <c r="AE472" s="37"/>
      <c r="AF472" s="37" t="s">
        <v>1106</v>
      </c>
    </row>
    <row r="473" spans="1:32" customFormat="1" x14ac:dyDescent="0.2">
      <c r="A473" s="37"/>
      <c r="B473" s="37"/>
      <c r="C473" s="37" t="s">
        <v>26</v>
      </c>
      <c r="D473" s="37">
        <v>34</v>
      </c>
      <c r="E473" s="37">
        <v>24</v>
      </c>
      <c r="F473" s="37">
        <v>2</v>
      </c>
      <c r="G473" s="37">
        <v>6.1</v>
      </c>
      <c r="H473" s="37" t="s">
        <v>181</v>
      </c>
      <c r="I473" s="37" t="s">
        <v>23</v>
      </c>
      <c r="J473" s="37" t="s">
        <v>17</v>
      </c>
      <c r="K473" s="37">
        <v>8</v>
      </c>
      <c r="L473" s="37">
        <v>46</v>
      </c>
      <c r="M473" s="37">
        <v>16</v>
      </c>
      <c r="N473" s="37">
        <v>70</v>
      </c>
      <c r="O473" s="37">
        <v>49</v>
      </c>
      <c r="P473" s="37">
        <v>16</v>
      </c>
      <c r="Q473" s="37">
        <v>135</v>
      </c>
      <c r="R473" s="37">
        <v>5527</v>
      </c>
      <c r="S473" s="37"/>
      <c r="T473" s="37" t="s">
        <v>181</v>
      </c>
      <c r="U473" s="37" t="s">
        <v>280</v>
      </c>
      <c r="V473" s="37">
        <v>80</v>
      </c>
      <c r="W473" s="37" t="s">
        <v>19</v>
      </c>
      <c r="X473" s="37" t="s">
        <v>190</v>
      </c>
      <c r="Y473" s="37">
        <v>976</v>
      </c>
      <c r="Z473" s="37" t="s">
        <v>26</v>
      </c>
      <c r="AA473" s="37">
        <v>34</v>
      </c>
      <c r="AB473" s="37">
        <v>24</v>
      </c>
      <c r="AC473" s="37">
        <v>2</v>
      </c>
      <c r="AD473" s="37" t="s">
        <v>1107</v>
      </c>
      <c r="AE473" s="37"/>
      <c r="AF473" s="37" t="s">
        <v>1108</v>
      </c>
    </row>
    <row r="474" spans="1:32" customFormat="1" x14ac:dyDescent="0.2">
      <c r="A474" s="37"/>
      <c r="B474" s="37"/>
      <c r="C474" s="37"/>
      <c r="D474" s="37"/>
      <c r="E474" s="37"/>
      <c r="F474" s="37"/>
      <c r="G474" s="37" t="s">
        <v>166</v>
      </c>
      <c r="H474" s="37" t="s">
        <v>166</v>
      </c>
      <c r="I474" s="37" t="s">
        <v>166</v>
      </c>
      <c r="J474" s="37" t="s">
        <v>19</v>
      </c>
      <c r="K474" s="37">
        <v>62</v>
      </c>
      <c r="L474" s="37">
        <v>143</v>
      </c>
      <c r="M474" s="37">
        <v>10</v>
      </c>
      <c r="N474" s="37">
        <v>215</v>
      </c>
      <c r="O474" s="37">
        <v>278</v>
      </c>
      <c r="P474" s="37">
        <v>74</v>
      </c>
      <c r="Q474" s="37">
        <v>567</v>
      </c>
      <c r="R474" s="37">
        <v>11735</v>
      </c>
      <c r="S474" s="37"/>
      <c r="T474" s="37" t="s">
        <v>166</v>
      </c>
      <c r="U474" s="37" t="s">
        <v>166</v>
      </c>
      <c r="V474" s="37" t="s">
        <v>166</v>
      </c>
      <c r="W474" s="37" t="s">
        <v>19</v>
      </c>
      <c r="X474" s="37" t="s">
        <v>166</v>
      </c>
      <c r="Y474" s="37" t="s">
        <v>166</v>
      </c>
      <c r="Z474" s="37" t="s">
        <v>26</v>
      </c>
      <c r="AA474" s="37">
        <v>34</v>
      </c>
      <c r="AB474" s="37">
        <v>24</v>
      </c>
      <c r="AC474" s="37">
        <v>2</v>
      </c>
      <c r="AD474" s="37" t="s">
        <v>1107</v>
      </c>
      <c r="AE474" s="37"/>
      <c r="AF474" s="37" t="s">
        <v>1109</v>
      </c>
    </row>
    <row r="475" spans="1:32" customFormat="1" x14ac:dyDescent="0.2">
      <c r="A475" s="37"/>
      <c r="B475" s="37"/>
      <c r="C475" s="37"/>
      <c r="D475" s="37"/>
      <c r="E475" s="37"/>
      <c r="F475" s="37"/>
      <c r="G475" s="37" t="s">
        <v>166</v>
      </c>
      <c r="H475" s="37" t="s">
        <v>166</v>
      </c>
      <c r="I475" s="37" t="s">
        <v>166</v>
      </c>
      <c r="J475" s="37" t="s">
        <v>18</v>
      </c>
      <c r="K475" s="37">
        <v>56</v>
      </c>
      <c r="L475" s="37">
        <v>43</v>
      </c>
      <c r="M475" s="37">
        <v>7</v>
      </c>
      <c r="N475" s="37">
        <v>106</v>
      </c>
      <c r="O475" s="37">
        <v>103</v>
      </c>
      <c r="P475" s="37">
        <v>36</v>
      </c>
      <c r="Q475" s="37">
        <v>245</v>
      </c>
      <c r="R475" s="37">
        <v>2017</v>
      </c>
      <c r="S475" s="37"/>
      <c r="T475" s="37" t="s">
        <v>166</v>
      </c>
      <c r="U475" s="37" t="s">
        <v>166</v>
      </c>
      <c r="V475" s="37" t="s">
        <v>166</v>
      </c>
      <c r="W475" s="37" t="s">
        <v>19</v>
      </c>
      <c r="X475" s="37" t="s">
        <v>166</v>
      </c>
      <c r="Y475" s="37" t="s">
        <v>166</v>
      </c>
      <c r="Z475" s="37" t="s">
        <v>26</v>
      </c>
      <c r="AA475" s="37">
        <v>34</v>
      </c>
      <c r="AB475" s="37">
        <v>24</v>
      </c>
      <c r="AC475" s="37">
        <v>2</v>
      </c>
      <c r="AD475" s="37" t="s">
        <v>1107</v>
      </c>
      <c r="AE475" s="37"/>
      <c r="AF475" s="37" t="s">
        <v>1110</v>
      </c>
    </row>
    <row r="476" spans="1:32" customFormat="1" x14ac:dyDescent="0.2">
      <c r="A476" s="37"/>
      <c r="B476" s="37"/>
      <c r="C476" s="37" t="s">
        <v>26</v>
      </c>
      <c r="D476" s="37">
        <v>35</v>
      </c>
      <c r="E476" s="37">
        <v>13</v>
      </c>
      <c r="F476" s="37" t="s">
        <v>296</v>
      </c>
      <c r="G476" s="37">
        <v>1.9</v>
      </c>
      <c r="H476" s="37" t="s">
        <v>181</v>
      </c>
      <c r="I476" s="37" t="s">
        <v>23</v>
      </c>
      <c r="J476" s="37" t="s">
        <v>17</v>
      </c>
      <c r="K476" s="37">
        <v>13</v>
      </c>
      <c r="L476" s="37">
        <v>29</v>
      </c>
      <c r="M476" s="37">
        <v>1</v>
      </c>
      <c r="N476" s="37">
        <v>43</v>
      </c>
      <c r="O476" s="37">
        <v>31</v>
      </c>
      <c r="P476" s="37">
        <v>10</v>
      </c>
      <c r="Q476" s="37">
        <v>84</v>
      </c>
      <c r="R476" s="37">
        <v>4619</v>
      </c>
      <c r="S476" s="37"/>
      <c r="T476" s="37" t="s">
        <v>181</v>
      </c>
      <c r="U476" s="37" t="s">
        <v>278</v>
      </c>
      <c r="V476" s="37">
        <v>85</v>
      </c>
      <c r="W476" s="37" t="s">
        <v>19</v>
      </c>
      <c r="X476" s="37" t="s">
        <v>190</v>
      </c>
      <c r="Y476" s="37">
        <v>323</v>
      </c>
      <c r="Z476" s="37" t="s">
        <v>26</v>
      </c>
      <c r="AA476" s="37">
        <v>35</v>
      </c>
      <c r="AB476" s="37">
        <v>13</v>
      </c>
      <c r="AC476" s="37" t="s">
        <v>296</v>
      </c>
      <c r="AD476" s="37" t="s">
        <v>1111</v>
      </c>
      <c r="AE476" s="37"/>
      <c r="AF476" s="37" t="s">
        <v>1112</v>
      </c>
    </row>
    <row r="477" spans="1:32" customFormat="1" x14ac:dyDescent="0.2">
      <c r="A477" s="37"/>
      <c r="B477" s="37"/>
      <c r="C477" s="37"/>
      <c r="D477" s="37"/>
      <c r="E477" s="37"/>
      <c r="F477" s="37"/>
      <c r="G477" s="37" t="s">
        <v>166</v>
      </c>
      <c r="H477" s="37" t="s">
        <v>166</v>
      </c>
      <c r="I477" s="37" t="s">
        <v>166</v>
      </c>
      <c r="J477" s="37" t="s">
        <v>19</v>
      </c>
      <c r="K477" s="37">
        <v>26</v>
      </c>
      <c r="L477" s="37">
        <v>54</v>
      </c>
      <c r="M477" s="37">
        <v>5</v>
      </c>
      <c r="N477" s="37">
        <v>85</v>
      </c>
      <c r="O477" s="37">
        <v>90</v>
      </c>
      <c r="P477" s="37">
        <v>27</v>
      </c>
      <c r="Q477" s="37">
        <v>202</v>
      </c>
      <c r="R477" s="37">
        <v>4619</v>
      </c>
      <c r="S477" s="37"/>
      <c r="T477" s="37" t="s">
        <v>166</v>
      </c>
      <c r="U477" s="37" t="s">
        <v>166</v>
      </c>
      <c r="V477" s="37" t="s">
        <v>166</v>
      </c>
      <c r="W477" s="37" t="s">
        <v>19</v>
      </c>
      <c r="X477" s="37" t="s">
        <v>166</v>
      </c>
      <c r="Y477" s="37" t="s">
        <v>166</v>
      </c>
      <c r="Z477" s="37" t="s">
        <v>26</v>
      </c>
      <c r="AA477" s="37">
        <v>35</v>
      </c>
      <c r="AB477" s="37">
        <v>13</v>
      </c>
      <c r="AC477" s="37" t="s">
        <v>296</v>
      </c>
      <c r="AD477" s="37" t="s">
        <v>1111</v>
      </c>
      <c r="AE477" s="37"/>
      <c r="AF477" s="37" t="s">
        <v>1113</v>
      </c>
    </row>
    <row r="478" spans="1:32" customFormat="1" x14ac:dyDescent="0.2">
      <c r="A478" s="37"/>
      <c r="B478" s="37"/>
      <c r="C478" s="37"/>
      <c r="D478" s="37"/>
      <c r="E478" s="37"/>
      <c r="F478" s="37"/>
      <c r="G478" s="37" t="s">
        <v>166</v>
      </c>
      <c r="H478" s="37" t="s">
        <v>166</v>
      </c>
      <c r="I478" s="37" t="s">
        <v>166</v>
      </c>
      <c r="J478" s="37" t="s">
        <v>18</v>
      </c>
      <c r="K478" s="37">
        <v>27</v>
      </c>
      <c r="L478" s="37">
        <v>20</v>
      </c>
      <c r="M478" s="37">
        <v>0</v>
      </c>
      <c r="N478" s="37">
        <v>47</v>
      </c>
      <c r="O478" s="37">
        <v>27</v>
      </c>
      <c r="P478" s="37">
        <v>11</v>
      </c>
      <c r="Q478" s="37">
        <v>85</v>
      </c>
      <c r="R478" s="37">
        <v>916</v>
      </c>
      <c r="S478" s="37"/>
      <c r="T478" s="37" t="s">
        <v>166</v>
      </c>
      <c r="U478" s="37" t="s">
        <v>166</v>
      </c>
      <c r="V478" s="37" t="s">
        <v>166</v>
      </c>
      <c r="W478" s="37" t="s">
        <v>19</v>
      </c>
      <c r="X478" s="37" t="s">
        <v>166</v>
      </c>
      <c r="Y478" s="37" t="s">
        <v>166</v>
      </c>
      <c r="Z478" s="37" t="s">
        <v>26</v>
      </c>
      <c r="AA478" s="37">
        <v>35</v>
      </c>
      <c r="AB478" s="37">
        <v>13</v>
      </c>
      <c r="AC478" s="37" t="s">
        <v>296</v>
      </c>
      <c r="AD478" s="37" t="s">
        <v>1111</v>
      </c>
      <c r="AE478" s="37"/>
      <c r="AF478" s="37" t="s">
        <v>1114</v>
      </c>
    </row>
    <row r="479" spans="1:32" customFormat="1" x14ac:dyDescent="0.2">
      <c r="A479" s="37"/>
      <c r="B479" s="37"/>
      <c r="C479" s="37" t="s">
        <v>26</v>
      </c>
      <c r="D479" s="37">
        <v>39</v>
      </c>
      <c r="E479" s="37">
        <v>23</v>
      </c>
      <c r="F479" s="37" t="s">
        <v>296</v>
      </c>
      <c r="G479" s="37">
        <v>4.4000000000000004</v>
      </c>
      <c r="H479" s="37" t="s">
        <v>174</v>
      </c>
      <c r="I479" s="37" t="s">
        <v>23</v>
      </c>
      <c r="J479" s="37" t="s">
        <v>17</v>
      </c>
      <c r="K479" s="37">
        <v>24</v>
      </c>
      <c r="L479" s="37">
        <v>64</v>
      </c>
      <c r="M479" s="37">
        <v>20</v>
      </c>
      <c r="N479" s="37">
        <v>108</v>
      </c>
      <c r="O479" s="37">
        <v>87</v>
      </c>
      <c r="P479" s="37">
        <v>26</v>
      </c>
      <c r="Q479" s="37">
        <v>221</v>
      </c>
      <c r="R479" s="37">
        <v>9247</v>
      </c>
      <c r="S479" s="37"/>
      <c r="T479" s="37" t="s">
        <v>181</v>
      </c>
      <c r="U479" s="37" t="s">
        <v>226</v>
      </c>
      <c r="V479" s="37">
        <v>45</v>
      </c>
      <c r="W479" s="37" t="s">
        <v>18</v>
      </c>
      <c r="X479" s="37" t="s">
        <v>190</v>
      </c>
      <c r="Y479" s="37">
        <v>968.00000000000011</v>
      </c>
      <c r="Z479" s="37" t="s">
        <v>26</v>
      </c>
      <c r="AA479" s="37">
        <v>39</v>
      </c>
      <c r="AB479" s="37">
        <v>23</v>
      </c>
      <c r="AC479" s="37" t="s">
        <v>296</v>
      </c>
      <c r="AD479" s="37" t="s">
        <v>1115</v>
      </c>
      <c r="AE479" s="37"/>
      <c r="AF479" s="37" t="s">
        <v>1116</v>
      </c>
    </row>
    <row r="480" spans="1:32" customFormat="1" x14ac:dyDescent="0.2">
      <c r="A480" s="37"/>
      <c r="B480" s="37"/>
      <c r="C480" s="37"/>
      <c r="D480" s="37"/>
      <c r="E480" s="37"/>
      <c r="F480" s="37"/>
      <c r="G480" s="37" t="s">
        <v>166</v>
      </c>
      <c r="H480" s="37" t="s">
        <v>166</v>
      </c>
      <c r="I480" s="37" t="s">
        <v>166</v>
      </c>
      <c r="J480" s="37" t="s">
        <v>18</v>
      </c>
      <c r="K480" s="37">
        <v>176</v>
      </c>
      <c r="L480" s="37">
        <v>195</v>
      </c>
      <c r="M480" s="37">
        <v>14</v>
      </c>
      <c r="N480" s="37">
        <v>385</v>
      </c>
      <c r="O480" s="37">
        <v>273</v>
      </c>
      <c r="P480" s="37">
        <v>107</v>
      </c>
      <c r="Q480" s="37">
        <v>765</v>
      </c>
      <c r="R480" s="37">
        <v>7239</v>
      </c>
      <c r="S480" s="37"/>
      <c r="T480" s="37" t="s">
        <v>166</v>
      </c>
      <c r="U480" s="37" t="s">
        <v>166</v>
      </c>
      <c r="V480" s="37" t="s">
        <v>166</v>
      </c>
      <c r="W480" s="37" t="s">
        <v>18</v>
      </c>
      <c r="X480" s="37" t="s">
        <v>166</v>
      </c>
      <c r="Y480" s="37" t="s">
        <v>166</v>
      </c>
      <c r="Z480" s="37" t="s">
        <v>26</v>
      </c>
      <c r="AA480" s="37">
        <v>39</v>
      </c>
      <c r="AB480" s="37">
        <v>23</v>
      </c>
      <c r="AC480" s="37" t="s">
        <v>296</v>
      </c>
      <c r="AD480" s="37" t="s">
        <v>1115</v>
      </c>
      <c r="AE480" s="37"/>
      <c r="AF480" s="37" t="s">
        <v>1117</v>
      </c>
    </row>
    <row r="481" spans="1:32" customFormat="1" x14ac:dyDescent="0.2">
      <c r="A481" s="37"/>
      <c r="B481" s="37"/>
      <c r="C481" s="37" t="s">
        <v>26</v>
      </c>
      <c r="D481" s="37">
        <v>46</v>
      </c>
      <c r="E481" s="37">
        <v>24</v>
      </c>
      <c r="F481" s="37" t="s">
        <v>296</v>
      </c>
      <c r="G481" s="37">
        <v>0.4</v>
      </c>
      <c r="H481" s="37" t="s">
        <v>181</v>
      </c>
      <c r="I481" s="37" t="s">
        <v>23</v>
      </c>
      <c r="J481" s="37" t="s">
        <v>17</v>
      </c>
      <c r="K481" s="37">
        <v>0</v>
      </c>
      <c r="L481" s="37">
        <v>0</v>
      </c>
      <c r="M481" s="37">
        <v>0</v>
      </c>
      <c r="N481" s="37">
        <v>0</v>
      </c>
      <c r="O481" s="37">
        <v>0</v>
      </c>
      <c r="P481" s="37">
        <v>0</v>
      </c>
      <c r="Q481" s="37">
        <v>0</v>
      </c>
      <c r="R481" s="37">
        <v>0</v>
      </c>
      <c r="S481" s="37"/>
      <c r="T481" s="37" t="s">
        <v>181</v>
      </c>
      <c r="U481" s="37" t="s">
        <v>285</v>
      </c>
      <c r="V481" s="37">
        <v>70</v>
      </c>
      <c r="W481" s="37" t="s">
        <v>19</v>
      </c>
      <c r="X481" s="37" t="s">
        <v>190</v>
      </c>
      <c r="Y481" s="37">
        <v>52</v>
      </c>
      <c r="Z481" s="37" t="s">
        <v>26</v>
      </c>
      <c r="AA481" s="37">
        <v>46</v>
      </c>
      <c r="AB481" s="37">
        <v>24</v>
      </c>
      <c r="AC481" s="37" t="s">
        <v>296</v>
      </c>
      <c r="AD481" s="37" t="s">
        <v>1118</v>
      </c>
      <c r="AE481" s="37"/>
      <c r="AF481" s="37" t="s">
        <v>1119</v>
      </c>
    </row>
    <row r="482" spans="1:32" customFormat="1" x14ac:dyDescent="0.2">
      <c r="A482" s="37"/>
      <c r="B482" s="37"/>
      <c r="C482" s="37"/>
      <c r="D482" s="37"/>
      <c r="E482" s="37"/>
      <c r="F482" s="37"/>
      <c r="G482" s="37" t="s">
        <v>166</v>
      </c>
      <c r="H482" s="37" t="s">
        <v>166</v>
      </c>
      <c r="I482" s="37" t="s">
        <v>166</v>
      </c>
      <c r="J482" s="37" t="s">
        <v>19</v>
      </c>
      <c r="K482" s="37">
        <v>4</v>
      </c>
      <c r="L482" s="37">
        <v>9</v>
      </c>
      <c r="M482" s="37">
        <v>0</v>
      </c>
      <c r="N482" s="37">
        <v>13</v>
      </c>
      <c r="O482" s="37">
        <v>14</v>
      </c>
      <c r="P482" s="37">
        <v>4</v>
      </c>
      <c r="Q482" s="37">
        <v>31</v>
      </c>
      <c r="R482" s="37">
        <v>725</v>
      </c>
      <c r="S482" s="37"/>
      <c r="T482" s="37" t="s">
        <v>166</v>
      </c>
      <c r="U482" s="37" t="s">
        <v>166</v>
      </c>
      <c r="V482" s="37" t="s">
        <v>166</v>
      </c>
      <c r="W482" s="37" t="s">
        <v>19</v>
      </c>
      <c r="X482" s="37" t="s">
        <v>166</v>
      </c>
      <c r="Y482" s="37" t="s">
        <v>166</v>
      </c>
      <c r="Z482" s="37" t="s">
        <v>26</v>
      </c>
      <c r="AA482" s="37">
        <v>46</v>
      </c>
      <c r="AB482" s="37">
        <v>24</v>
      </c>
      <c r="AC482" s="37" t="s">
        <v>296</v>
      </c>
      <c r="AD482" s="37" t="s">
        <v>1118</v>
      </c>
      <c r="AE482" s="37"/>
      <c r="AF482" s="37" t="s">
        <v>1120</v>
      </c>
    </row>
    <row r="483" spans="1:32" customFormat="1" x14ac:dyDescent="0.2">
      <c r="A483" s="37"/>
      <c r="B483" s="37"/>
      <c r="C483" s="37"/>
      <c r="D483" s="37"/>
      <c r="E483" s="37"/>
      <c r="F483" s="37"/>
      <c r="G483" s="37" t="s">
        <v>166</v>
      </c>
      <c r="H483" s="37" t="s">
        <v>166</v>
      </c>
      <c r="I483" s="37" t="s">
        <v>166</v>
      </c>
      <c r="J483" s="37" t="s">
        <v>18</v>
      </c>
      <c r="K483" s="37">
        <v>8</v>
      </c>
      <c r="L483" s="37">
        <v>6</v>
      </c>
      <c r="M483" s="37">
        <v>0</v>
      </c>
      <c r="N483" s="37">
        <v>14</v>
      </c>
      <c r="O483" s="37">
        <v>11</v>
      </c>
      <c r="P483" s="37">
        <v>4</v>
      </c>
      <c r="Q483" s="37">
        <v>29</v>
      </c>
      <c r="R483" s="37">
        <v>274</v>
      </c>
      <c r="S483" s="37"/>
      <c r="T483" s="37" t="s">
        <v>166</v>
      </c>
      <c r="U483" s="37" t="s">
        <v>166</v>
      </c>
      <c r="V483" s="37" t="s">
        <v>166</v>
      </c>
      <c r="W483" s="37" t="s">
        <v>19</v>
      </c>
      <c r="X483" s="37" t="s">
        <v>166</v>
      </c>
      <c r="Y483" s="37" t="s">
        <v>166</v>
      </c>
      <c r="Z483" s="37" t="s">
        <v>26</v>
      </c>
      <c r="AA483" s="37">
        <v>46</v>
      </c>
      <c r="AB483" s="37">
        <v>24</v>
      </c>
      <c r="AC483" s="37" t="s">
        <v>296</v>
      </c>
      <c r="AD483" s="37" t="s">
        <v>1118</v>
      </c>
      <c r="AE483" s="37"/>
      <c r="AF483" s="37" t="s">
        <v>1121</v>
      </c>
    </row>
    <row r="484" spans="1:32" customFormat="1" x14ac:dyDescent="0.2">
      <c r="A484" s="37"/>
      <c r="B484" s="37"/>
      <c r="C484" s="37" t="s">
        <v>26</v>
      </c>
      <c r="D484" s="37">
        <v>47</v>
      </c>
      <c r="E484" s="37">
        <v>3</v>
      </c>
      <c r="F484" s="37" t="s">
        <v>296</v>
      </c>
      <c r="G484" s="37">
        <v>8</v>
      </c>
      <c r="H484" s="37" t="s">
        <v>181</v>
      </c>
      <c r="I484" s="37" t="s">
        <v>23</v>
      </c>
      <c r="J484" s="37" t="s">
        <v>17</v>
      </c>
      <c r="K484" s="37">
        <v>0</v>
      </c>
      <c r="L484" s="37">
        <v>0</v>
      </c>
      <c r="M484" s="37">
        <v>0</v>
      </c>
      <c r="N484" s="37">
        <v>0</v>
      </c>
      <c r="O484" s="37">
        <v>0</v>
      </c>
      <c r="P484" s="37">
        <v>0</v>
      </c>
      <c r="Q484" s="37">
        <v>0</v>
      </c>
      <c r="R484" s="37">
        <v>0</v>
      </c>
      <c r="S484" s="37"/>
      <c r="T484" s="37" t="s">
        <v>181</v>
      </c>
      <c r="U484" s="37" t="s">
        <v>191</v>
      </c>
      <c r="V484" s="37">
        <v>55</v>
      </c>
      <c r="W484" s="37" t="s">
        <v>18</v>
      </c>
      <c r="X484" s="37" t="s">
        <v>190</v>
      </c>
      <c r="Y484" s="37">
        <v>2000</v>
      </c>
      <c r="Z484" s="37" t="s">
        <v>26</v>
      </c>
      <c r="AA484" s="37">
        <v>47</v>
      </c>
      <c r="AB484" s="37">
        <v>3</v>
      </c>
      <c r="AC484" s="37" t="s">
        <v>296</v>
      </c>
      <c r="AD484" s="37" t="s">
        <v>1122</v>
      </c>
      <c r="AE484" s="37"/>
      <c r="AF484" s="37" t="s">
        <v>1123</v>
      </c>
    </row>
    <row r="485" spans="1:32" customFormat="1" x14ac:dyDescent="0.2">
      <c r="A485" s="37"/>
      <c r="B485" s="37"/>
      <c r="C485" s="37"/>
      <c r="D485" s="37"/>
      <c r="E485" s="37"/>
      <c r="F485" s="37"/>
      <c r="G485" s="37" t="s">
        <v>166</v>
      </c>
      <c r="H485" s="37" t="s">
        <v>166</v>
      </c>
      <c r="I485" s="37" t="s">
        <v>166</v>
      </c>
      <c r="J485" s="37" t="s">
        <v>268</v>
      </c>
      <c r="K485" s="37">
        <v>2</v>
      </c>
      <c r="L485" s="37">
        <v>13</v>
      </c>
      <c r="M485" s="37">
        <v>3</v>
      </c>
      <c r="N485" s="37">
        <v>18</v>
      </c>
      <c r="O485" s="37">
        <v>43</v>
      </c>
      <c r="P485" s="37">
        <v>7</v>
      </c>
      <c r="Q485" s="37">
        <v>68</v>
      </c>
      <c r="R485" s="37">
        <v>11215</v>
      </c>
      <c r="S485" s="37"/>
      <c r="T485" s="37" t="s">
        <v>166</v>
      </c>
      <c r="U485" s="37" t="s">
        <v>166</v>
      </c>
      <c r="V485" s="37" t="s">
        <v>166</v>
      </c>
      <c r="W485" s="37" t="s">
        <v>18</v>
      </c>
      <c r="X485" s="37" t="s">
        <v>166</v>
      </c>
      <c r="Y485" s="37" t="s">
        <v>166</v>
      </c>
      <c r="Z485" s="37" t="s">
        <v>26</v>
      </c>
      <c r="AA485" s="37">
        <v>47</v>
      </c>
      <c r="AB485" s="37">
        <v>3</v>
      </c>
      <c r="AC485" s="37" t="s">
        <v>296</v>
      </c>
      <c r="AD485" s="37" t="s">
        <v>1122</v>
      </c>
      <c r="AE485" s="37"/>
      <c r="AF485" s="37" t="s">
        <v>1124</v>
      </c>
    </row>
    <row r="486" spans="1:32" customFormat="1" x14ac:dyDescent="0.2">
      <c r="A486" s="37"/>
      <c r="B486" s="37"/>
      <c r="C486" s="37"/>
      <c r="D486" s="37"/>
      <c r="E486" s="37"/>
      <c r="F486" s="37"/>
      <c r="G486" s="37" t="s">
        <v>166</v>
      </c>
      <c r="H486" s="37" t="s">
        <v>166</v>
      </c>
      <c r="I486" s="37" t="s">
        <v>166</v>
      </c>
      <c r="J486" s="37" t="s">
        <v>19</v>
      </c>
      <c r="K486" s="37">
        <v>10</v>
      </c>
      <c r="L486" s="37">
        <v>47</v>
      </c>
      <c r="M486" s="37">
        <v>3</v>
      </c>
      <c r="N486" s="37">
        <v>60</v>
      </c>
      <c r="O486" s="37">
        <v>78</v>
      </c>
      <c r="P486" s="37">
        <v>19</v>
      </c>
      <c r="Q486" s="37">
        <v>157</v>
      </c>
      <c r="R486" s="37">
        <v>3159</v>
      </c>
      <c r="S486" s="37"/>
      <c r="T486" s="37" t="s">
        <v>166</v>
      </c>
      <c r="U486" s="37" t="s">
        <v>166</v>
      </c>
      <c r="V486" s="37" t="s">
        <v>166</v>
      </c>
      <c r="W486" s="37" t="s">
        <v>18</v>
      </c>
      <c r="X486" s="37" t="s">
        <v>166</v>
      </c>
      <c r="Y486" s="37" t="s">
        <v>166</v>
      </c>
      <c r="Z486" s="37" t="s">
        <v>26</v>
      </c>
      <c r="AA486" s="37">
        <v>47</v>
      </c>
      <c r="AB486" s="37">
        <v>3</v>
      </c>
      <c r="AC486" s="37" t="s">
        <v>296</v>
      </c>
      <c r="AD486" s="37" t="s">
        <v>1122</v>
      </c>
      <c r="AE486" s="37"/>
      <c r="AF486" s="37" t="s">
        <v>1125</v>
      </c>
    </row>
    <row r="487" spans="1:32" customFormat="1" x14ac:dyDescent="0.2">
      <c r="A487" s="37"/>
      <c r="B487" s="37"/>
      <c r="C487" s="37"/>
      <c r="D487" s="37"/>
      <c r="E487" s="37"/>
      <c r="F487" s="37"/>
      <c r="G487" s="37" t="s">
        <v>166</v>
      </c>
      <c r="H487" s="37" t="s">
        <v>166</v>
      </c>
      <c r="I487" s="37" t="s">
        <v>166</v>
      </c>
      <c r="J487" s="37" t="s">
        <v>18</v>
      </c>
      <c r="K487" s="37">
        <v>407</v>
      </c>
      <c r="L487" s="37">
        <v>296</v>
      </c>
      <c r="M487" s="37">
        <v>17</v>
      </c>
      <c r="N487" s="37">
        <v>720</v>
      </c>
      <c r="O487" s="37">
        <v>518</v>
      </c>
      <c r="P487" s="37">
        <v>204</v>
      </c>
      <c r="Q487" s="37">
        <v>1442</v>
      </c>
      <c r="R487" s="37">
        <v>13992</v>
      </c>
      <c r="S487" s="37"/>
      <c r="T487" s="37" t="s">
        <v>166</v>
      </c>
      <c r="U487" s="37" t="s">
        <v>166</v>
      </c>
      <c r="V487" s="37" t="s">
        <v>166</v>
      </c>
      <c r="W487" s="37" t="s">
        <v>18</v>
      </c>
      <c r="X487" s="37" t="s">
        <v>166</v>
      </c>
      <c r="Y487" s="37" t="s">
        <v>166</v>
      </c>
      <c r="Z487" s="37" t="s">
        <v>26</v>
      </c>
      <c r="AA487" s="37">
        <v>47</v>
      </c>
      <c r="AB487" s="37">
        <v>3</v>
      </c>
      <c r="AC487" s="37" t="s">
        <v>296</v>
      </c>
      <c r="AD487" s="37" t="s">
        <v>1122</v>
      </c>
      <c r="AE487" s="37"/>
      <c r="AF487" s="37" t="s">
        <v>1126</v>
      </c>
    </row>
    <row r="488" spans="1:32" customFormat="1" x14ac:dyDescent="0.2">
      <c r="A488" s="37"/>
      <c r="B488" s="37"/>
      <c r="C488" s="37" t="s">
        <v>26</v>
      </c>
      <c r="D488" s="37">
        <v>47</v>
      </c>
      <c r="E488" s="37">
        <v>5</v>
      </c>
      <c r="F488" s="37">
        <v>2</v>
      </c>
      <c r="G488" s="37">
        <v>3.4</v>
      </c>
      <c r="H488" s="37" t="s">
        <v>181</v>
      </c>
      <c r="I488" s="37" t="s">
        <v>23</v>
      </c>
      <c r="J488" s="37" t="s">
        <v>17</v>
      </c>
      <c r="K488" s="37">
        <v>0</v>
      </c>
      <c r="L488" s="37">
        <v>0</v>
      </c>
      <c r="M488" s="37">
        <v>0</v>
      </c>
      <c r="N488" s="37">
        <v>0</v>
      </c>
      <c r="O488" s="37">
        <v>0</v>
      </c>
      <c r="P488" s="37">
        <v>0</v>
      </c>
      <c r="Q488" s="37">
        <v>0</v>
      </c>
      <c r="R488" s="37">
        <v>0</v>
      </c>
      <c r="S488" s="37"/>
      <c r="T488" s="37" t="s">
        <v>181</v>
      </c>
      <c r="U488" s="37" t="s">
        <v>204</v>
      </c>
      <c r="V488" s="37">
        <v>55</v>
      </c>
      <c r="W488" s="37" t="s">
        <v>18</v>
      </c>
      <c r="X488" s="37" t="s">
        <v>190</v>
      </c>
      <c r="Y488" s="37">
        <v>816</v>
      </c>
      <c r="Z488" s="37" t="s">
        <v>26</v>
      </c>
      <c r="AA488" s="37">
        <v>47</v>
      </c>
      <c r="AB488" s="37">
        <v>5</v>
      </c>
      <c r="AC488" s="37">
        <v>2</v>
      </c>
      <c r="AD488" s="37" t="s">
        <v>1127</v>
      </c>
      <c r="AE488" s="37"/>
      <c r="AF488" s="37" t="s">
        <v>1128</v>
      </c>
    </row>
    <row r="489" spans="1:32" customFormat="1" x14ac:dyDescent="0.2">
      <c r="A489" s="37"/>
      <c r="B489" s="37"/>
      <c r="C489" s="37"/>
      <c r="D489" s="37"/>
      <c r="E489" s="37"/>
      <c r="F489" s="37"/>
      <c r="G489" s="37" t="s">
        <v>166</v>
      </c>
      <c r="H489" s="37" t="s">
        <v>166</v>
      </c>
      <c r="I489" s="37" t="s">
        <v>166</v>
      </c>
      <c r="J489" s="37" t="s">
        <v>268</v>
      </c>
      <c r="K489" s="37">
        <v>0</v>
      </c>
      <c r="L489" s="37">
        <v>5</v>
      </c>
      <c r="M489" s="37">
        <v>2</v>
      </c>
      <c r="N489" s="37">
        <v>7</v>
      </c>
      <c r="O489" s="37">
        <v>27</v>
      </c>
      <c r="P489" s="37">
        <v>4</v>
      </c>
      <c r="Q489" s="37">
        <v>38</v>
      </c>
      <c r="R489" s="37">
        <v>4856</v>
      </c>
      <c r="S489" s="37"/>
      <c r="T489" s="37" t="s">
        <v>166</v>
      </c>
      <c r="U489" s="37" t="s">
        <v>166</v>
      </c>
      <c r="V489" s="37" t="s">
        <v>166</v>
      </c>
      <c r="W489" s="37" t="s">
        <v>18</v>
      </c>
      <c r="X489" s="37" t="s">
        <v>166</v>
      </c>
      <c r="Y489" s="37" t="s">
        <v>166</v>
      </c>
      <c r="Z489" s="37" t="s">
        <v>26</v>
      </c>
      <c r="AA489" s="37">
        <v>47</v>
      </c>
      <c r="AB489" s="37">
        <v>5</v>
      </c>
      <c r="AC489" s="37">
        <v>2</v>
      </c>
      <c r="AD489" s="37" t="s">
        <v>1127</v>
      </c>
      <c r="AE489" s="37"/>
      <c r="AF489" s="37" t="s">
        <v>1129</v>
      </c>
    </row>
    <row r="490" spans="1:32" customFormat="1" x14ac:dyDescent="0.2">
      <c r="A490" s="37"/>
      <c r="B490" s="37"/>
      <c r="C490" s="37"/>
      <c r="D490" s="37"/>
      <c r="E490" s="37"/>
      <c r="F490" s="37"/>
      <c r="G490" s="37" t="s">
        <v>166</v>
      </c>
      <c r="H490" s="37" t="s">
        <v>166</v>
      </c>
      <c r="I490" s="37" t="s">
        <v>166</v>
      </c>
      <c r="J490" s="37" t="s">
        <v>19</v>
      </c>
      <c r="K490" s="37">
        <v>6</v>
      </c>
      <c r="L490" s="37">
        <v>38</v>
      </c>
      <c r="M490" s="37">
        <v>6</v>
      </c>
      <c r="N490" s="37">
        <v>50</v>
      </c>
      <c r="O490" s="37">
        <v>62</v>
      </c>
      <c r="P490" s="37">
        <v>15</v>
      </c>
      <c r="Q490" s="37">
        <v>127</v>
      </c>
      <c r="R490" s="37">
        <v>0</v>
      </c>
      <c r="S490" s="37"/>
      <c r="T490" s="37" t="s">
        <v>166</v>
      </c>
      <c r="U490" s="37" t="s">
        <v>166</v>
      </c>
      <c r="V490" s="37" t="s">
        <v>166</v>
      </c>
      <c r="W490" s="37" t="s">
        <v>18</v>
      </c>
      <c r="X490" s="37" t="s">
        <v>166</v>
      </c>
      <c r="Y490" s="37" t="s">
        <v>166</v>
      </c>
      <c r="Z490" s="37" t="s">
        <v>26</v>
      </c>
      <c r="AA490" s="37">
        <v>47</v>
      </c>
      <c r="AB490" s="37">
        <v>5</v>
      </c>
      <c r="AC490" s="37">
        <v>2</v>
      </c>
      <c r="AD490" s="37" t="s">
        <v>1127</v>
      </c>
      <c r="AE490" s="37"/>
      <c r="AF490" s="37" t="s">
        <v>1130</v>
      </c>
    </row>
    <row r="491" spans="1:32" customFormat="1" x14ac:dyDescent="0.2">
      <c r="A491" s="37"/>
      <c r="B491" s="37"/>
      <c r="C491" s="37"/>
      <c r="D491" s="37"/>
      <c r="E491" s="37"/>
      <c r="F491" s="37"/>
      <c r="G491" s="37" t="s">
        <v>166</v>
      </c>
      <c r="H491" s="37" t="s">
        <v>166</v>
      </c>
      <c r="I491" s="37" t="s">
        <v>166</v>
      </c>
      <c r="J491" s="37" t="s">
        <v>18</v>
      </c>
      <c r="K491" s="37">
        <v>225</v>
      </c>
      <c r="L491" s="37">
        <v>140</v>
      </c>
      <c r="M491" s="37">
        <v>6</v>
      </c>
      <c r="N491" s="37">
        <v>371</v>
      </c>
      <c r="O491" s="37">
        <v>253</v>
      </c>
      <c r="P491" s="37">
        <v>101</v>
      </c>
      <c r="Q491" s="37">
        <v>725</v>
      </c>
      <c r="R491" s="37">
        <v>7300</v>
      </c>
      <c r="S491" s="37"/>
      <c r="T491" s="37" t="s">
        <v>166</v>
      </c>
      <c r="U491" s="37" t="s">
        <v>166</v>
      </c>
      <c r="V491" s="37" t="s">
        <v>166</v>
      </c>
      <c r="W491" s="37" t="s">
        <v>18</v>
      </c>
      <c r="X491" s="37" t="s">
        <v>166</v>
      </c>
      <c r="Y491" s="37" t="s">
        <v>166</v>
      </c>
      <c r="Z491" s="37" t="s">
        <v>26</v>
      </c>
      <c r="AA491" s="37">
        <v>47</v>
      </c>
      <c r="AB491" s="37">
        <v>5</v>
      </c>
      <c r="AC491" s="37">
        <v>2</v>
      </c>
      <c r="AD491" s="37" t="s">
        <v>1127</v>
      </c>
      <c r="AE491" s="37"/>
      <c r="AF491" s="37" t="s">
        <v>1131</v>
      </c>
    </row>
    <row r="492" spans="1:32" customFormat="1" x14ac:dyDescent="0.2">
      <c r="A492" s="37"/>
      <c r="B492" s="37"/>
      <c r="C492" s="37" t="s">
        <v>26</v>
      </c>
      <c r="D492" s="37">
        <v>47</v>
      </c>
      <c r="E492" s="37">
        <v>17</v>
      </c>
      <c r="F492" s="37">
        <v>3</v>
      </c>
      <c r="G492" s="37">
        <v>2.2999999999999998</v>
      </c>
      <c r="H492" s="37" t="s">
        <v>181</v>
      </c>
      <c r="I492" s="37" t="s">
        <v>23</v>
      </c>
      <c r="J492" s="37" t="s">
        <v>17</v>
      </c>
      <c r="K492" s="37">
        <v>0</v>
      </c>
      <c r="L492" s="37">
        <v>0</v>
      </c>
      <c r="M492" s="37">
        <v>0</v>
      </c>
      <c r="N492" s="37">
        <v>0</v>
      </c>
      <c r="O492" s="37">
        <v>0</v>
      </c>
      <c r="P492" s="37">
        <v>0</v>
      </c>
      <c r="Q492" s="37">
        <v>0</v>
      </c>
      <c r="R492" s="37">
        <v>0</v>
      </c>
      <c r="S492" s="37"/>
      <c r="T492" s="37" t="s">
        <v>181</v>
      </c>
      <c r="U492" s="37" t="s">
        <v>247</v>
      </c>
      <c r="V492" s="37">
        <v>70</v>
      </c>
      <c r="W492" s="37" t="s">
        <v>18</v>
      </c>
      <c r="X492" s="37" t="s">
        <v>190</v>
      </c>
      <c r="Y492" s="37">
        <v>436.99999999999994</v>
      </c>
      <c r="Z492" s="37" t="s">
        <v>26</v>
      </c>
      <c r="AA492" s="37">
        <v>47</v>
      </c>
      <c r="AB492" s="37">
        <v>17</v>
      </c>
      <c r="AC492" s="37">
        <v>3</v>
      </c>
      <c r="AD492" s="37" t="s">
        <v>1132</v>
      </c>
      <c r="AE492" s="37"/>
      <c r="AF492" s="37" t="s">
        <v>1133</v>
      </c>
    </row>
    <row r="493" spans="1:32" customFormat="1" x14ac:dyDescent="0.2">
      <c r="A493" s="37"/>
      <c r="B493" s="37"/>
      <c r="C493" s="37"/>
      <c r="D493" s="37"/>
      <c r="E493" s="37"/>
      <c r="F493" s="37"/>
      <c r="G493" s="37" t="s">
        <v>166</v>
      </c>
      <c r="H493" s="37" t="s">
        <v>166</v>
      </c>
      <c r="I493" s="37" t="s">
        <v>166</v>
      </c>
      <c r="J493" s="37" t="s">
        <v>268</v>
      </c>
      <c r="K493" s="37">
        <v>1</v>
      </c>
      <c r="L493" s="37">
        <v>3</v>
      </c>
      <c r="M493" s="37">
        <v>1</v>
      </c>
      <c r="N493" s="37">
        <v>5</v>
      </c>
      <c r="O493" s="37">
        <v>11</v>
      </c>
      <c r="P493" s="37">
        <v>2</v>
      </c>
      <c r="Q493" s="37">
        <v>18</v>
      </c>
      <c r="R493" s="37">
        <v>3325</v>
      </c>
      <c r="S493" s="37"/>
      <c r="T493" s="37" t="s">
        <v>166</v>
      </c>
      <c r="U493" s="37" t="s">
        <v>166</v>
      </c>
      <c r="V493" s="37" t="s">
        <v>166</v>
      </c>
      <c r="W493" s="37" t="s">
        <v>18</v>
      </c>
      <c r="X493" s="37" t="s">
        <v>166</v>
      </c>
      <c r="Y493" s="37" t="s">
        <v>166</v>
      </c>
      <c r="Z493" s="37" t="s">
        <v>26</v>
      </c>
      <c r="AA493" s="37">
        <v>47</v>
      </c>
      <c r="AB493" s="37">
        <v>17</v>
      </c>
      <c r="AC493" s="37">
        <v>3</v>
      </c>
      <c r="AD493" s="37" t="s">
        <v>1132</v>
      </c>
      <c r="AE493" s="37"/>
      <c r="AF493" s="37" t="s">
        <v>1134</v>
      </c>
    </row>
    <row r="494" spans="1:32" customFormat="1" x14ac:dyDescent="0.2">
      <c r="A494" s="37"/>
      <c r="B494" s="37"/>
      <c r="C494" s="37"/>
      <c r="D494" s="37"/>
      <c r="E494" s="37"/>
      <c r="F494" s="37"/>
      <c r="G494" s="37" t="s">
        <v>166</v>
      </c>
      <c r="H494" s="37" t="s">
        <v>166</v>
      </c>
      <c r="I494" s="37" t="s">
        <v>166</v>
      </c>
      <c r="J494" s="37" t="s">
        <v>19</v>
      </c>
      <c r="K494" s="37">
        <v>15</v>
      </c>
      <c r="L494" s="37">
        <v>21</v>
      </c>
      <c r="M494" s="37">
        <v>1</v>
      </c>
      <c r="N494" s="37">
        <v>37</v>
      </c>
      <c r="O494" s="37">
        <v>42</v>
      </c>
      <c r="P494" s="37">
        <v>13</v>
      </c>
      <c r="Q494" s="37">
        <v>92</v>
      </c>
      <c r="R494" s="37">
        <v>2076</v>
      </c>
      <c r="S494" s="37"/>
      <c r="T494" s="37" t="s">
        <v>166</v>
      </c>
      <c r="U494" s="37" t="s">
        <v>166</v>
      </c>
      <c r="V494" s="37" t="s">
        <v>166</v>
      </c>
      <c r="W494" s="37" t="s">
        <v>18</v>
      </c>
      <c r="X494" s="37" t="s">
        <v>166</v>
      </c>
      <c r="Y494" s="37" t="s">
        <v>166</v>
      </c>
      <c r="Z494" s="37" t="s">
        <v>26</v>
      </c>
      <c r="AA494" s="37">
        <v>47</v>
      </c>
      <c r="AB494" s="37">
        <v>17</v>
      </c>
      <c r="AC494" s="37">
        <v>3</v>
      </c>
      <c r="AD494" s="37" t="s">
        <v>1132</v>
      </c>
      <c r="AE494" s="37"/>
      <c r="AF494" s="37" t="s">
        <v>1135</v>
      </c>
    </row>
    <row r="495" spans="1:32" customFormat="1" x14ac:dyDescent="0.2">
      <c r="A495" s="37"/>
      <c r="B495" s="37"/>
      <c r="C495" s="37"/>
      <c r="D495" s="37"/>
      <c r="E495" s="37"/>
      <c r="F495" s="37"/>
      <c r="G495" s="37" t="s">
        <v>166</v>
      </c>
      <c r="H495" s="37" t="s">
        <v>166</v>
      </c>
      <c r="I495" s="37" t="s">
        <v>166</v>
      </c>
      <c r="J495" s="37" t="s">
        <v>18</v>
      </c>
      <c r="K495" s="37">
        <v>122</v>
      </c>
      <c r="L495" s="37">
        <v>24</v>
      </c>
      <c r="M495" s="37">
        <v>0</v>
      </c>
      <c r="N495" s="37">
        <v>146</v>
      </c>
      <c r="O495" s="37">
        <v>108</v>
      </c>
      <c r="P495" s="37">
        <v>43</v>
      </c>
      <c r="Q495" s="37">
        <v>297</v>
      </c>
      <c r="R495" s="37">
        <v>3080</v>
      </c>
      <c r="S495" s="37"/>
      <c r="T495" s="37" t="s">
        <v>166</v>
      </c>
      <c r="U495" s="37" t="s">
        <v>166</v>
      </c>
      <c r="V495" s="37" t="s">
        <v>166</v>
      </c>
      <c r="W495" s="37" t="s">
        <v>18</v>
      </c>
      <c r="X495" s="37" t="s">
        <v>166</v>
      </c>
      <c r="Y495" s="37" t="s">
        <v>166</v>
      </c>
      <c r="Z495" s="37" t="s">
        <v>26</v>
      </c>
      <c r="AA495" s="37">
        <v>47</v>
      </c>
      <c r="AB495" s="37">
        <v>17</v>
      </c>
      <c r="AC495" s="37">
        <v>3</v>
      </c>
      <c r="AD495" s="37" t="s">
        <v>1132</v>
      </c>
      <c r="AE495" s="37"/>
      <c r="AF495" s="37" t="s">
        <v>1136</v>
      </c>
    </row>
    <row r="496" spans="1:32" customFormat="1" x14ac:dyDescent="0.2">
      <c r="A496" s="37"/>
      <c r="B496" s="37"/>
      <c r="C496" s="37" t="s">
        <v>26</v>
      </c>
      <c r="D496" s="37">
        <v>51</v>
      </c>
      <c r="E496" s="37">
        <v>7</v>
      </c>
      <c r="F496" s="37" t="s">
        <v>296</v>
      </c>
      <c r="G496" s="37">
        <v>3.5</v>
      </c>
      <c r="H496" s="37" t="s">
        <v>181</v>
      </c>
      <c r="I496" s="37" t="s">
        <v>23</v>
      </c>
      <c r="J496" s="37" t="s">
        <v>17</v>
      </c>
      <c r="K496" s="37">
        <v>27</v>
      </c>
      <c r="L496" s="37">
        <v>53</v>
      </c>
      <c r="M496" s="37">
        <v>7</v>
      </c>
      <c r="N496" s="37">
        <v>87</v>
      </c>
      <c r="O496" s="37">
        <v>87</v>
      </c>
      <c r="P496" s="37">
        <v>24</v>
      </c>
      <c r="Q496" s="37">
        <v>198</v>
      </c>
      <c r="R496" s="37">
        <v>8122</v>
      </c>
      <c r="S496" s="37"/>
      <c r="T496" s="37" t="s">
        <v>181</v>
      </c>
      <c r="U496" s="37" t="s">
        <v>286</v>
      </c>
      <c r="V496" s="37">
        <v>70</v>
      </c>
      <c r="W496" s="37" t="s">
        <v>17</v>
      </c>
      <c r="X496" s="37" t="s">
        <v>190</v>
      </c>
      <c r="Y496" s="37">
        <v>560</v>
      </c>
      <c r="Z496" s="37" t="s">
        <v>26</v>
      </c>
      <c r="AA496" s="37">
        <v>51</v>
      </c>
      <c r="AB496" s="37">
        <v>7</v>
      </c>
      <c r="AC496" s="37" t="s">
        <v>296</v>
      </c>
      <c r="AD496" s="37" t="s">
        <v>1137</v>
      </c>
      <c r="AE496" s="37"/>
      <c r="AF496" s="37" t="s">
        <v>1138</v>
      </c>
    </row>
    <row r="497" spans="1:32" customFormat="1" x14ac:dyDescent="0.2">
      <c r="A497" s="37"/>
      <c r="B497" s="37"/>
      <c r="C497" s="37"/>
      <c r="D497" s="37"/>
      <c r="E497" s="37"/>
      <c r="F497" s="37"/>
      <c r="G497" s="37" t="s">
        <v>166</v>
      </c>
      <c r="H497" s="37" t="s">
        <v>166</v>
      </c>
      <c r="I497" s="37" t="s">
        <v>166</v>
      </c>
      <c r="J497" s="37" t="s">
        <v>178</v>
      </c>
      <c r="K497" s="37">
        <v>1</v>
      </c>
      <c r="L497" s="37">
        <v>23</v>
      </c>
      <c r="M497" s="37">
        <v>5</v>
      </c>
      <c r="N497" s="37">
        <v>29</v>
      </c>
      <c r="O497" s="37">
        <v>62</v>
      </c>
      <c r="P497" s="37">
        <v>11</v>
      </c>
      <c r="Q497" s="37">
        <v>102</v>
      </c>
      <c r="R497" s="37">
        <v>17902</v>
      </c>
      <c r="S497" s="37"/>
      <c r="T497" s="37" t="s">
        <v>166</v>
      </c>
      <c r="U497" s="37" t="s">
        <v>166</v>
      </c>
      <c r="V497" s="37" t="s">
        <v>166</v>
      </c>
      <c r="W497" s="37" t="s">
        <v>17</v>
      </c>
      <c r="X497" s="37" t="s">
        <v>166</v>
      </c>
      <c r="Y497" s="37" t="s">
        <v>166</v>
      </c>
      <c r="Z497" s="37" t="s">
        <v>26</v>
      </c>
      <c r="AA497" s="37">
        <v>51</v>
      </c>
      <c r="AB497" s="37">
        <v>7</v>
      </c>
      <c r="AC497" s="37" t="s">
        <v>296</v>
      </c>
      <c r="AD497" s="37" t="s">
        <v>1137</v>
      </c>
      <c r="AE497" s="37"/>
      <c r="AF497" s="37" t="s">
        <v>1139</v>
      </c>
    </row>
    <row r="498" spans="1:32" customFormat="1" x14ac:dyDescent="0.2">
      <c r="A498" s="37"/>
      <c r="B498" s="37"/>
      <c r="C498" s="37"/>
      <c r="D498" s="37"/>
      <c r="E498" s="37"/>
      <c r="F498" s="37"/>
      <c r="G498" s="37" t="s">
        <v>166</v>
      </c>
      <c r="H498" s="37" t="s">
        <v>166</v>
      </c>
      <c r="I498" s="37" t="s">
        <v>166</v>
      </c>
      <c r="J498" s="37" t="s">
        <v>19</v>
      </c>
      <c r="K498" s="37">
        <v>9</v>
      </c>
      <c r="L498" s="37">
        <v>44</v>
      </c>
      <c r="M498" s="37">
        <v>9</v>
      </c>
      <c r="N498" s="37">
        <v>62</v>
      </c>
      <c r="O498" s="37">
        <v>92</v>
      </c>
      <c r="P498" s="37">
        <v>22</v>
      </c>
      <c r="Q498" s="37">
        <v>176</v>
      </c>
      <c r="R498" s="37">
        <v>3119</v>
      </c>
      <c r="S498" s="37"/>
      <c r="T498" s="37" t="s">
        <v>166</v>
      </c>
      <c r="U498" s="37" t="s">
        <v>166</v>
      </c>
      <c r="V498" s="37" t="s">
        <v>166</v>
      </c>
      <c r="W498" s="37" t="s">
        <v>17</v>
      </c>
      <c r="X498" s="37" t="s">
        <v>166</v>
      </c>
      <c r="Y498" s="37" t="s">
        <v>166</v>
      </c>
      <c r="Z498" s="37" t="s">
        <v>26</v>
      </c>
      <c r="AA498" s="37">
        <v>51</v>
      </c>
      <c r="AB498" s="37">
        <v>7</v>
      </c>
      <c r="AC498" s="37" t="s">
        <v>296</v>
      </c>
      <c r="AD498" s="37" t="s">
        <v>1137</v>
      </c>
      <c r="AE498" s="37"/>
      <c r="AF498" s="37" t="s">
        <v>1140</v>
      </c>
    </row>
    <row r="499" spans="1:32" customFormat="1" x14ac:dyDescent="0.2">
      <c r="A499" s="37"/>
      <c r="B499" s="37"/>
      <c r="C499" s="37"/>
      <c r="D499" s="37"/>
      <c r="E499" s="37"/>
      <c r="F499" s="37"/>
      <c r="G499" s="37" t="s">
        <v>166</v>
      </c>
      <c r="H499" s="37" t="s">
        <v>166</v>
      </c>
      <c r="I499" s="37" t="s">
        <v>166</v>
      </c>
      <c r="J499" s="37" t="s">
        <v>18</v>
      </c>
      <c r="K499" s="37">
        <v>23</v>
      </c>
      <c r="L499" s="37">
        <v>37</v>
      </c>
      <c r="M499" s="37">
        <v>0</v>
      </c>
      <c r="N499" s="37">
        <v>60</v>
      </c>
      <c r="O499" s="37">
        <v>59</v>
      </c>
      <c r="P499" s="37">
        <v>21</v>
      </c>
      <c r="Q499" s="37">
        <v>140</v>
      </c>
      <c r="R499" s="37">
        <v>1115</v>
      </c>
      <c r="S499" s="37"/>
      <c r="T499" s="37" t="s">
        <v>166</v>
      </c>
      <c r="U499" s="37" t="s">
        <v>166</v>
      </c>
      <c r="V499" s="37" t="s">
        <v>166</v>
      </c>
      <c r="W499" s="37" t="s">
        <v>17</v>
      </c>
      <c r="X499" s="37" t="s">
        <v>166</v>
      </c>
      <c r="Y499" s="37" t="s">
        <v>166</v>
      </c>
      <c r="Z499" s="37" t="s">
        <v>26</v>
      </c>
      <c r="AA499" s="37">
        <v>51</v>
      </c>
      <c r="AB499" s="37">
        <v>7</v>
      </c>
      <c r="AC499" s="37" t="s">
        <v>296</v>
      </c>
      <c r="AD499" s="37" t="s">
        <v>1137</v>
      </c>
      <c r="AE499" s="37"/>
      <c r="AF499" s="37" t="s">
        <v>1141</v>
      </c>
    </row>
    <row r="500" spans="1:32" customFormat="1" x14ac:dyDescent="0.2">
      <c r="A500" s="37"/>
      <c r="B500" s="37"/>
      <c r="C500" s="37" t="s">
        <v>26</v>
      </c>
      <c r="D500" s="37">
        <v>51</v>
      </c>
      <c r="E500" s="37">
        <v>10</v>
      </c>
      <c r="F500" s="37">
        <v>2</v>
      </c>
      <c r="G500" s="37">
        <v>8.6999999999999993</v>
      </c>
      <c r="H500" s="37" t="s">
        <v>209</v>
      </c>
      <c r="I500" s="37" t="s">
        <v>23</v>
      </c>
      <c r="J500" s="37" t="s">
        <v>17</v>
      </c>
      <c r="K500" s="37">
        <v>121</v>
      </c>
      <c r="L500" s="37">
        <v>123</v>
      </c>
      <c r="M500" s="37">
        <v>14</v>
      </c>
      <c r="N500" s="37">
        <v>258</v>
      </c>
      <c r="O500" s="37">
        <v>263</v>
      </c>
      <c r="P500" s="37">
        <v>70</v>
      </c>
      <c r="Q500" s="37">
        <v>591</v>
      </c>
      <c r="R500" s="37">
        <v>25806</v>
      </c>
      <c r="S500" s="37"/>
      <c r="T500" s="37" t="s">
        <v>181</v>
      </c>
      <c r="U500" s="37" t="s">
        <v>287</v>
      </c>
      <c r="V500" s="37">
        <v>65</v>
      </c>
      <c r="W500" s="37" t="s">
        <v>17</v>
      </c>
      <c r="X500" s="37" t="s">
        <v>190</v>
      </c>
      <c r="Y500" s="37">
        <v>1565.9999999999998</v>
      </c>
      <c r="Z500" s="37" t="s">
        <v>26</v>
      </c>
      <c r="AA500" s="37">
        <v>51</v>
      </c>
      <c r="AB500" s="37">
        <v>10</v>
      </c>
      <c r="AC500" s="37">
        <v>2</v>
      </c>
      <c r="AD500" s="37" t="s">
        <v>1142</v>
      </c>
      <c r="AE500" s="37"/>
      <c r="AF500" s="37" t="s">
        <v>1143</v>
      </c>
    </row>
    <row r="501" spans="1:32" customFormat="1" x14ac:dyDescent="0.2">
      <c r="A501" s="37"/>
      <c r="B501" s="37"/>
      <c r="C501" s="37"/>
      <c r="D501" s="37"/>
      <c r="E501" s="37"/>
      <c r="F501" s="37"/>
      <c r="G501" s="37" t="s">
        <v>166</v>
      </c>
      <c r="H501" s="37" t="s">
        <v>166</v>
      </c>
      <c r="I501" s="37" t="s">
        <v>166</v>
      </c>
      <c r="J501" s="37" t="s">
        <v>178</v>
      </c>
      <c r="K501" s="37">
        <v>10</v>
      </c>
      <c r="L501" s="37">
        <v>34</v>
      </c>
      <c r="M501" s="37">
        <v>6</v>
      </c>
      <c r="N501" s="37">
        <v>50</v>
      </c>
      <c r="O501" s="37">
        <v>88</v>
      </c>
      <c r="P501" s="37">
        <v>17</v>
      </c>
      <c r="Q501" s="37">
        <v>155</v>
      </c>
      <c r="R501" s="37">
        <v>32536</v>
      </c>
      <c r="S501" s="37"/>
      <c r="T501" s="37" t="s">
        <v>166</v>
      </c>
      <c r="U501" s="37" t="s">
        <v>166</v>
      </c>
      <c r="V501" s="37" t="s">
        <v>166</v>
      </c>
      <c r="W501" s="37" t="s">
        <v>17</v>
      </c>
      <c r="X501" s="37" t="s">
        <v>166</v>
      </c>
      <c r="Y501" s="37" t="s">
        <v>166</v>
      </c>
      <c r="Z501" s="37" t="s">
        <v>26</v>
      </c>
      <c r="AA501" s="37">
        <v>51</v>
      </c>
      <c r="AB501" s="37">
        <v>10</v>
      </c>
      <c r="AC501" s="37">
        <v>2</v>
      </c>
      <c r="AD501" s="37" t="s">
        <v>1142</v>
      </c>
      <c r="AE501" s="37"/>
      <c r="AF501" s="37" t="s">
        <v>1144</v>
      </c>
    </row>
    <row r="502" spans="1:32" customFormat="1" x14ac:dyDescent="0.2">
      <c r="A502" s="37"/>
      <c r="B502" s="37"/>
      <c r="C502" s="37"/>
      <c r="D502" s="37"/>
      <c r="E502" s="37"/>
      <c r="F502" s="37"/>
      <c r="G502" s="37" t="s">
        <v>166</v>
      </c>
      <c r="H502" s="37" t="s">
        <v>166</v>
      </c>
      <c r="I502" s="37" t="s">
        <v>166</v>
      </c>
      <c r="J502" s="37" t="s">
        <v>40</v>
      </c>
      <c r="K502" s="37">
        <v>13</v>
      </c>
      <c r="L502" s="37">
        <v>130</v>
      </c>
      <c r="M502" s="37">
        <v>16</v>
      </c>
      <c r="N502" s="37">
        <v>159</v>
      </c>
      <c r="O502" s="37">
        <v>149</v>
      </c>
      <c r="P502" s="37">
        <v>57</v>
      </c>
      <c r="Q502" s="37">
        <v>365</v>
      </c>
      <c r="R502" s="37">
        <v>7761</v>
      </c>
      <c r="S502" s="37"/>
      <c r="T502" s="37" t="s">
        <v>166</v>
      </c>
      <c r="U502" s="37" t="s">
        <v>166</v>
      </c>
      <c r="V502" s="37" t="s">
        <v>166</v>
      </c>
      <c r="W502" s="37" t="s">
        <v>17</v>
      </c>
      <c r="X502" s="37" t="s">
        <v>166</v>
      </c>
      <c r="Y502" s="37" t="s">
        <v>166</v>
      </c>
      <c r="Z502" s="37" t="s">
        <v>26</v>
      </c>
      <c r="AA502" s="37">
        <v>51</v>
      </c>
      <c r="AB502" s="37">
        <v>10</v>
      </c>
      <c r="AC502" s="37">
        <v>2</v>
      </c>
      <c r="AD502" s="37" t="s">
        <v>1142</v>
      </c>
      <c r="AE502" s="37"/>
      <c r="AF502" s="37" t="s">
        <v>1145</v>
      </c>
    </row>
    <row r="503" spans="1:32" customFormat="1" x14ac:dyDescent="0.2">
      <c r="A503" s="37"/>
      <c r="B503" s="37"/>
      <c r="C503" s="37"/>
      <c r="D503" s="37"/>
      <c r="E503" s="37"/>
      <c r="F503" s="37"/>
      <c r="G503" s="37" t="s">
        <v>166</v>
      </c>
      <c r="H503" s="37" t="s">
        <v>166</v>
      </c>
      <c r="I503" s="37" t="s">
        <v>166</v>
      </c>
      <c r="J503" s="37" t="s">
        <v>18</v>
      </c>
      <c r="K503" s="37">
        <v>95</v>
      </c>
      <c r="L503" s="37">
        <v>80</v>
      </c>
      <c r="M503" s="37">
        <v>0</v>
      </c>
      <c r="N503" s="37">
        <v>175</v>
      </c>
      <c r="O503" s="37">
        <v>159</v>
      </c>
      <c r="P503" s="37">
        <v>59</v>
      </c>
      <c r="Q503" s="37">
        <v>393</v>
      </c>
      <c r="R503" s="37">
        <v>3441</v>
      </c>
      <c r="S503" s="37"/>
      <c r="T503" s="37" t="s">
        <v>166</v>
      </c>
      <c r="U503" s="37" t="s">
        <v>166</v>
      </c>
      <c r="V503" s="37" t="s">
        <v>166</v>
      </c>
      <c r="W503" s="37" t="s">
        <v>17</v>
      </c>
      <c r="X503" s="37" t="s">
        <v>166</v>
      </c>
      <c r="Y503" s="37" t="s">
        <v>166</v>
      </c>
      <c r="Z503" s="37" t="s">
        <v>26</v>
      </c>
      <c r="AA503" s="37">
        <v>51</v>
      </c>
      <c r="AB503" s="37">
        <v>10</v>
      </c>
      <c r="AC503" s="37">
        <v>2</v>
      </c>
      <c r="AD503" s="37" t="s">
        <v>1142</v>
      </c>
      <c r="AE503" s="37"/>
      <c r="AF503" s="37" t="s">
        <v>1146</v>
      </c>
    </row>
    <row r="504" spans="1:32" customFormat="1" x14ac:dyDescent="0.2">
      <c r="A504" s="37"/>
      <c r="B504" s="37"/>
      <c r="C504" s="37" t="s">
        <v>26</v>
      </c>
      <c r="D504" s="37">
        <v>58</v>
      </c>
      <c r="E504" s="37">
        <v>29</v>
      </c>
      <c r="F504" s="37" t="s">
        <v>296</v>
      </c>
      <c r="G504" s="37">
        <v>0.6</v>
      </c>
      <c r="H504" s="37" t="s">
        <v>209</v>
      </c>
      <c r="I504" s="37" t="s">
        <v>23</v>
      </c>
      <c r="J504" s="37" t="s">
        <v>17</v>
      </c>
      <c r="K504" s="37">
        <v>0</v>
      </c>
      <c r="L504" s="37">
        <v>0</v>
      </c>
      <c r="M504" s="37">
        <v>0</v>
      </c>
      <c r="N504" s="37">
        <v>0</v>
      </c>
      <c r="O504" s="37">
        <v>0</v>
      </c>
      <c r="P504" s="37">
        <v>0</v>
      </c>
      <c r="Q504" s="37">
        <v>0</v>
      </c>
      <c r="R504" s="37">
        <v>0</v>
      </c>
      <c r="S504" s="37"/>
      <c r="T504" s="37" t="s">
        <v>181</v>
      </c>
      <c r="U504" s="37" t="s">
        <v>288</v>
      </c>
      <c r="V504" s="37">
        <v>75</v>
      </c>
      <c r="W504" s="37" t="s">
        <v>18</v>
      </c>
      <c r="X504" s="37" t="s">
        <v>190</v>
      </c>
      <c r="Y504" s="37">
        <v>108</v>
      </c>
      <c r="Z504" s="37" t="s">
        <v>26</v>
      </c>
      <c r="AA504" s="37">
        <v>58</v>
      </c>
      <c r="AB504" s="37">
        <v>29</v>
      </c>
      <c r="AC504" s="37" t="s">
        <v>296</v>
      </c>
      <c r="AD504" s="37" t="s">
        <v>1147</v>
      </c>
      <c r="AE504" s="37"/>
      <c r="AF504" s="37" t="s">
        <v>1148</v>
      </c>
    </row>
    <row r="505" spans="1:32" customFormat="1" x14ac:dyDescent="0.2">
      <c r="A505" s="37"/>
      <c r="B505" s="37"/>
      <c r="C505" s="37"/>
      <c r="D505" s="37"/>
      <c r="E505" s="37"/>
      <c r="F505" s="37"/>
      <c r="G505" s="37" t="s">
        <v>166</v>
      </c>
      <c r="H505" s="37" t="s">
        <v>166</v>
      </c>
      <c r="I505" s="37" t="s">
        <v>166</v>
      </c>
      <c r="J505" s="37" t="s">
        <v>178</v>
      </c>
      <c r="K505" s="37">
        <v>1</v>
      </c>
      <c r="L505" s="37">
        <v>3</v>
      </c>
      <c r="M505" s="37">
        <v>0</v>
      </c>
      <c r="N505" s="37">
        <v>4</v>
      </c>
      <c r="O505" s="37">
        <v>6</v>
      </c>
      <c r="P505" s="37">
        <v>1</v>
      </c>
      <c r="Q505" s="37">
        <v>11</v>
      </c>
      <c r="R505" s="37">
        <v>2915</v>
      </c>
      <c r="S505" s="37"/>
      <c r="T505" s="37" t="s">
        <v>166</v>
      </c>
      <c r="U505" s="37" t="s">
        <v>166</v>
      </c>
      <c r="V505" s="37" t="s">
        <v>166</v>
      </c>
      <c r="W505" s="37" t="s">
        <v>18</v>
      </c>
      <c r="X505" s="37" t="s">
        <v>166</v>
      </c>
      <c r="Y505" s="37" t="s">
        <v>166</v>
      </c>
      <c r="Z505" s="37" t="s">
        <v>26</v>
      </c>
      <c r="AA505" s="37">
        <v>58</v>
      </c>
      <c r="AB505" s="37">
        <v>29</v>
      </c>
      <c r="AC505" s="37" t="s">
        <v>296</v>
      </c>
      <c r="AD505" s="37" t="s">
        <v>1147</v>
      </c>
      <c r="AE505" s="37"/>
      <c r="AF505" s="37" t="s">
        <v>1149</v>
      </c>
    </row>
    <row r="506" spans="1:32" customFormat="1" x14ac:dyDescent="0.2">
      <c r="A506" s="37"/>
      <c r="B506" s="37"/>
      <c r="C506" s="37"/>
      <c r="D506" s="37"/>
      <c r="E506" s="37"/>
      <c r="F506" s="37"/>
      <c r="G506" s="37" t="s">
        <v>166</v>
      </c>
      <c r="H506" s="37" t="s">
        <v>166</v>
      </c>
      <c r="I506" s="37" t="s">
        <v>166</v>
      </c>
      <c r="J506" s="37" t="s">
        <v>19</v>
      </c>
      <c r="K506" s="37">
        <v>2</v>
      </c>
      <c r="L506" s="37">
        <v>8</v>
      </c>
      <c r="M506" s="37">
        <v>1</v>
      </c>
      <c r="N506" s="37">
        <v>11</v>
      </c>
      <c r="O506" s="37">
        <v>13</v>
      </c>
      <c r="P506" s="37">
        <v>3</v>
      </c>
      <c r="Q506" s="37">
        <v>27</v>
      </c>
      <c r="R506" s="37">
        <v>549</v>
      </c>
      <c r="S506" s="37"/>
      <c r="T506" s="37" t="s">
        <v>166</v>
      </c>
      <c r="U506" s="37" t="s">
        <v>166</v>
      </c>
      <c r="V506" s="37" t="s">
        <v>166</v>
      </c>
      <c r="W506" s="37" t="s">
        <v>18</v>
      </c>
      <c r="X506" s="37" t="s">
        <v>166</v>
      </c>
      <c r="Y506" s="37" t="s">
        <v>166</v>
      </c>
      <c r="Z506" s="37" t="s">
        <v>26</v>
      </c>
      <c r="AA506" s="37">
        <v>58</v>
      </c>
      <c r="AB506" s="37">
        <v>29</v>
      </c>
      <c r="AC506" s="37" t="s">
        <v>296</v>
      </c>
      <c r="AD506" s="37" t="s">
        <v>1147</v>
      </c>
      <c r="AE506" s="37"/>
      <c r="AF506" s="37" t="s">
        <v>1150</v>
      </c>
    </row>
    <row r="507" spans="1:32" customFormat="1" x14ac:dyDescent="0.2">
      <c r="A507" s="37"/>
      <c r="B507" s="37"/>
      <c r="C507" s="37"/>
      <c r="D507" s="37"/>
      <c r="E507" s="37"/>
      <c r="F507" s="37"/>
      <c r="G507" s="37" t="s">
        <v>166</v>
      </c>
      <c r="H507" s="37" t="s">
        <v>166</v>
      </c>
      <c r="I507" s="37" t="s">
        <v>166</v>
      </c>
      <c r="J507" s="37" t="s">
        <v>18</v>
      </c>
      <c r="K507" s="37">
        <v>25</v>
      </c>
      <c r="L507" s="37">
        <v>8</v>
      </c>
      <c r="M507" s="37">
        <v>0</v>
      </c>
      <c r="N507" s="37">
        <v>33</v>
      </c>
      <c r="O507" s="37">
        <v>23</v>
      </c>
      <c r="P507" s="37">
        <v>10</v>
      </c>
      <c r="Q507" s="37">
        <v>66</v>
      </c>
      <c r="R507" s="37">
        <v>651</v>
      </c>
      <c r="S507" s="37"/>
      <c r="T507" s="37" t="s">
        <v>166</v>
      </c>
      <c r="U507" s="37" t="s">
        <v>166</v>
      </c>
      <c r="V507" s="37" t="s">
        <v>166</v>
      </c>
      <c r="W507" s="37" t="s">
        <v>18</v>
      </c>
      <c r="X507" s="37" t="s">
        <v>166</v>
      </c>
      <c r="Y507" s="37" t="s">
        <v>166</v>
      </c>
      <c r="Z507" s="37" t="s">
        <v>26</v>
      </c>
      <c r="AA507" s="37">
        <v>58</v>
      </c>
      <c r="AB507" s="37">
        <v>29</v>
      </c>
      <c r="AC507" s="37" t="s">
        <v>296</v>
      </c>
      <c r="AD507" s="37" t="s">
        <v>1147</v>
      </c>
      <c r="AE507" s="37"/>
      <c r="AF507" s="37" t="s">
        <v>1151</v>
      </c>
    </row>
    <row r="508" spans="1:32" customFormat="1" x14ac:dyDescent="0.2">
      <c r="A508" s="37"/>
      <c r="B508" s="37"/>
      <c r="C508" s="37" t="s">
        <v>26</v>
      </c>
      <c r="D508" s="37">
        <v>59</v>
      </c>
      <c r="E508" s="37">
        <v>2</v>
      </c>
      <c r="F508" s="37" t="s">
        <v>296</v>
      </c>
      <c r="G508" s="37">
        <v>2.9</v>
      </c>
      <c r="H508" s="37" t="s">
        <v>181</v>
      </c>
      <c r="I508" s="37" t="s">
        <v>23</v>
      </c>
      <c r="J508" s="37" t="s">
        <v>17</v>
      </c>
      <c r="K508" s="37">
        <v>5</v>
      </c>
      <c r="L508" s="37">
        <v>6</v>
      </c>
      <c r="M508" s="37">
        <v>0</v>
      </c>
      <c r="N508" s="37">
        <v>11</v>
      </c>
      <c r="O508" s="37">
        <v>13</v>
      </c>
      <c r="P508" s="37">
        <v>3</v>
      </c>
      <c r="Q508" s="37">
        <v>27</v>
      </c>
      <c r="R508" s="37">
        <v>1120</v>
      </c>
      <c r="S508" s="37"/>
      <c r="T508" s="37" t="s">
        <v>174</v>
      </c>
      <c r="U508" s="37" t="s">
        <v>289</v>
      </c>
      <c r="V508" s="37">
        <v>80</v>
      </c>
      <c r="W508" s="37" t="s">
        <v>178</v>
      </c>
      <c r="X508" s="37" t="s">
        <v>190</v>
      </c>
      <c r="Y508" s="37">
        <v>493</v>
      </c>
      <c r="Z508" s="37" t="s">
        <v>26</v>
      </c>
      <c r="AA508" s="37">
        <v>59</v>
      </c>
      <c r="AB508" s="37">
        <v>2</v>
      </c>
      <c r="AC508" s="37" t="s">
        <v>296</v>
      </c>
      <c r="AD508" s="37" t="s">
        <v>1152</v>
      </c>
      <c r="AE508" s="37"/>
      <c r="AF508" s="37" t="s">
        <v>1153</v>
      </c>
    </row>
    <row r="509" spans="1:32" customFormat="1" x14ac:dyDescent="0.2">
      <c r="A509" s="37"/>
      <c r="B509" s="37"/>
      <c r="C509" s="37"/>
      <c r="D509" s="37"/>
      <c r="E509" s="37"/>
      <c r="F509" s="37"/>
      <c r="G509" s="37" t="s">
        <v>166</v>
      </c>
      <c r="H509" s="37" t="s">
        <v>166</v>
      </c>
      <c r="I509" s="37" t="s">
        <v>166</v>
      </c>
      <c r="J509" s="37" t="s">
        <v>178</v>
      </c>
      <c r="K509" s="37">
        <v>6</v>
      </c>
      <c r="L509" s="37">
        <v>13</v>
      </c>
      <c r="M509" s="37">
        <v>1</v>
      </c>
      <c r="N509" s="37">
        <v>20</v>
      </c>
      <c r="O509" s="37">
        <v>31</v>
      </c>
      <c r="P509" s="37">
        <v>7</v>
      </c>
      <c r="Q509" s="37">
        <v>58</v>
      </c>
      <c r="R509" s="37">
        <v>14101</v>
      </c>
      <c r="S509" s="37"/>
      <c r="T509" s="37" t="s">
        <v>166</v>
      </c>
      <c r="U509" s="37" t="s">
        <v>166</v>
      </c>
      <c r="V509" s="37" t="s">
        <v>166</v>
      </c>
      <c r="W509" s="37" t="s">
        <v>178</v>
      </c>
      <c r="X509" s="37" t="s">
        <v>166</v>
      </c>
      <c r="Y509" s="37" t="s">
        <v>166</v>
      </c>
      <c r="Z509" s="37" t="s">
        <v>26</v>
      </c>
      <c r="AA509" s="37">
        <v>59</v>
      </c>
      <c r="AB509" s="37">
        <v>2</v>
      </c>
      <c r="AC509" s="37" t="s">
        <v>296</v>
      </c>
      <c r="AD509" s="37" t="s">
        <v>1152</v>
      </c>
      <c r="AE509" s="37"/>
      <c r="AF509" s="37" t="s">
        <v>1154</v>
      </c>
    </row>
    <row r="510" spans="1:32" customFormat="1" x14ac:dyDescent="0.2">
      <c r="A510" s="37"/>
      <c r="B510" s="37"/>
      <c r="C510" s="37"/>
      <c r="D510" s="37"/>
      <c r="E510" s="37"/>
      <c r="F510" s="37"/>
      <c r="G510" s="37" t="s">
        <v>166</v>
      </c>
      <c r="H510" s="37" t="s">
        <v>166</v>
      </c>
      <c r="I510" s="37" t="s">
        <v>166</v>
      </c>
      <c r="J510" s="37" t="s">
        <v>268</v>
      </c>
      <c r="K510" s="37">
        <v>1</v>
      </c>
      <c r="L510" s="37">
        <v>4</v>
      </c>
      <c r="M510" s="37">
        <v>1</v>
      </c>
      <c r="N510" s="37">
        <v>6</v>
      </c>
      <c r="O510" s="37">
        <v>22</v>
      </c>
      <c r="P510" s="37">
        <v>3</v>
      </c>
      <c r="Q510" s="37">
        <v>31</v>
      </c>
      <c r="R510" s="37">
        <v>4456</v>
      </c>
      <c r="S510" s="37"/>
      <c r="T510" s="37" t="s">
        <v>166</v>
      </c>
      <c r="U510" s="37" t="s">
        <v>166</v>
      </c>
      <c r="V510" s="37" t="s">
        <v>166</v>
      </c>
      <c r="W510" s="37" t="s">
        <v>178</v>
      </c>
      <c r="X510" s="37" t="s">
        <v>166</v>
      </c>
      <c r="Y510" s="37" t="s">
        <v>166</v>
      </c>
      <c r="Z510" s="37" t="s">
        <v>26</v>
      </c>
      <c r="AA510" s="37">
        <v>59</v>
      </c>
      <c r="AB510" s="37">
        <v>2</v>
      </c>
      <c r="AC510" s="37" t="s">
        <v>296</v>
      </c>
      <c r="AD510" s="37" t="s">
        <v>1152</v>
      </c>
      <c r="AE510" s="37"/>
      <c r="AF510" s="37" t="s">
        <v>1155</v>
      </c>
    </row>
    <row r="511" spans="1:32" customFormat="1" x14ac:dyDescent="0.2">
      <c r="A511" s="37"/>
      <c r="B511" s="37"/>
      <c r="C511" s="37"/>
      <c r="D511" s="37"/>
      <c r="E511" s="37"/>
      <c r="F511" s="37"/>
      <c r="G511" s="37" t="s">
        <v>166</v>
      </c>
      <c r="H511" s="37" t="s">
        <v>166</v>
      </c>
      <c r="I511" s="37" t="s">
        <v>166</v>
      </c>
      <c r="J511" s="37" t="s">
        <v>19</v>
      </c>
      <c r="K511" s="37">
        <v>12</v>
      </c>
      <c r="L511" s="37">
        <v>42</v>
      </c>
      <c r="M511" s="37">
        <v>8</v>
      </c>
      <c r="N511" s="37">
        <v>62</v>
      </c>
      <c r="O511" s="37">
        <v>74</v>
      </c>
      <c r="P511" s="37">
        <v>20</v>
      </c>
      <c r="Q511" s="37">
        <v>156</v>
      </c>
      <c r="R511" s="37">
        <v>3155</v>
      </c>
      <c r="S511" s="37"/>
      <c r="T511" s="37" t="s">
        <v>166</v>
      </c>
      <c r="U511" s="37" t="s">
        <v>166</v>
      </c>
      <c r="V511" s="37" t="s">
        <v>166</v>
      </c>
      <c r="W511" s="37" t="s">
        <v>178</v>
      </c>
      <c r="X511" s="37" t="s">
        <v>166</v>
      </c>
      <c r="Y511" s="37" t="s">
        <v>166</v>
      </c>
      <c r="Z511" s="37" t="s">
        <v>26</v>
      </c>
      <c r="AA511" s="37">
        <v>59</v>
      </c>
      <c r="AB511" s="37">
        <v>2</v>
      </c>
      <c r="AC511" s="37" t="s">
        <v>296</v>
      </c>
      <c r="AD511" s="37" t="s">
        <v>1152</v>
      </c>
      <c r="AE511" s="37"/>
      <c r="AF511" s="37" t="s">
        <v>1156</v>
      </c>
    </row>
    <row r="512" spans="1:32" customFormat="1" x14ac:dyDescent="0.2">
      <c r="A512" s="37"/>
      <c r="B512" s="37"/>
      <c r="C512" s="37"/>
      <c r="D512" s="37"/>
      <c r="E512" s="37"/>
      <c r="F512" s="37"/>
      <c r="G512" s="37" t="s">
        <v>166</v>
      </c>
      <c r="H512" s="37" t="s">
        <v>166</v>
      </c>
      <c r="I512" s="37" t="s">
        <v>166</v>
      </c>
      <c r="J512" s="37" t="s">
        <v>18</v>
      </c>
      <c r="K512" s="37">
        <v>56</v>
      </c>
      <c r="L512" s="37">
        <v>27</v>
      </c>
      <c r="M512" s="37">
        <v>1</v>
      </c>
      <c r="N512" s="37">
        <v>84</v>
      </c>
      <c r="O512" s="37">
        <v>69</v>
      </c>
      <c r="P512" s="37">
        <v>26</v>
      </c>
      <c r="Q512" s="37">
        <v>179</v>
      </c>
      <c r="R512" s="37">
        <v>1704</v>
      </c>
      <c r="S512" s="37"/>
      <c r="T512" s="37" t="s">
        <v>166</v>
      </c>
      <c r="U512" s="37" t="s">
        <v>166</v>
      </c>
      <c r="V512" s="37" t="s">
        <v>166</v>
      </c>
      <c r="W512" s="37" t="s">
        <v>178</v>
      </c>
      <c r="X512" s="37" t="s">
        <v>166</v>
      </c>
      <c r="Y512" s="37" t="s">
        <v>166</v>
      </c>
      <c r="Z512" s="37" t="s">
        <v>26</v>
      </c>
      <c r="AA512" s="37">
        <v>59</v>
      </c>
      <c r="AB512" s="37">
        <v>2</v>
      </c>
      <c r="AC512" s="37" t="s">
        <v>296</v>
      </c>
      <c r="AD512" s="37" t="s">
        <v>1152</v>
      </c>
      <c r="AE512" s="37"/>
      <c r="AF512" s="37" t="s">
        <v>1157</v>
      </c>
    </row>
    <row r="513" spans="1:32" customFormat="1" x14ac:dyDescent="0.2">
      <c r="A513" s="37"/>
      <c r="B513" s="37"/>
      <c r="C513" s="37" t="s">
        <v>26</v>
      </c>
      <c r="D513" s="37">
        <v>59</v>
      </c>
      <c r="E513" s="37">
        <v>7</v>
      </c>
      <c r="F513" s="37">
        <v>2</v>
      </c>
      <c r="G513" s="37">
        <v>3.1</v>
      </c>
      <c r="H513" s="37" t="s">
        <v>181</v>
      </c>
      <c r="I513" s="37" t="s">
        <v>23</v>
      </c>
      <c r="J513" s="37" t="s">
        <v>17</v>
      </c>
      <c r="K513" s="37">
        <v>21</v>
      </c>
      <c r="L513" s="37">
        <v>40</v>
      </c>
      <c r="M513" s="37">
        <v>0</v>
      </c>
      <c r="N513" s="37">
        <v>61</v>
      </c>
      <c r="O513" s="37">
        <v>44</v>
      </c>
      <c r="P513" s="37">
        <v>14</v>
      </c>
      <c r="Q513" s="37">
        <v>119</v>
      </c>
      <c r="R513" s="37">
        <v>5851</v>
      </c>
      <c r="S513" s="37"/>
      <c r="T513" s="37" t="s">
        <v>181</v>
      </c>
      <c r="U513" s="37" t="s">
        <v>219</v>
      </c>
      <c r="V513" s="37">
        <v>45</v>
      </c>
      <c r="W513" s="37" t="s">
        <v>18</v>
      </c>
      <c r="X513" s="37" t="s">
        <v>190</v>
      </c>
      <c r="Y513" s="37">
        <v>713</v>
      </c>
      <c r="Z513" s="37" t="s">
        <v>26</v>
      </c>
      <c r="AA513" s="37">
        <v>59</v>
      </c>
      <c r="AB513" s="37">
        <v>7</v>
      </c>
      <c r="AC513" s="37">
        <v>2</v>
      </c>
      <c r="AD513" s="37" t="s">
        <v>1158</v>
      </c>
      <c r="AE513" s="37"/>
      <c r="AF513" s="37" t="s">
        <v>1159</v>
      </c>
    </row>
    <row r="514" spans="1:32" customFormat="1" x14ac:dyDescent="0.2">
      <c r="A514" s="37"/>
      <c r="B514" s="37"/>
      <c r="C514" s="37"/>
      <c r="D514" s="37"/>
      <c r="E514" s="37"/>
      <c r="F514" s="37"/>
      <c r="G514" s="37" t="s">
        <v>166</v>
      </c>
      <c r="H514" s="37" t="s">
        <v>166</v>
      </c>
      <c r="I514" s="37" t="s">
        <v>166</v>
      </c>
      <c r="J514" s="37" t="s">
        <v>19</v>
      </c>
      <c r="K514" s="37">
        <v>0</v>
      </c>
      <c r="L514" s="37">
        <v>14</v>
      </c>
      <c r="M514" s="37">
        <v>9</v>
      </c>
      <c r="N514" s="37">
        <v>23</v>
      </c>
      <c r="O514" s="37">
        <v>42</v>
      </c>
      <c r="P514" s="37">
        <v>7</v>
      </c>
      <c r="Q514" s="37">
        <v>72</v>
      </c>
      <c r="R514" s="37">
        <v>985</v>
      </c>
      <c r="S514" s="37"/>
      <c r="T514" s="37" t="s">
        <v>166</v>
      </c>
      <c r="U514" s="37" t="s">
        <v>166</v>
      </c>
      <c r="V514" s="37" t="s">
        <v>166</v>
      </c>
      <c r="W514" s="37" t="s">
        <v>18</v>
      </c>
      <c r="X514" s="37" t="s">
        <v>166</v>
      </c>
      <c r="Y514" s="37" t="s">
        <v>166</v>
      </c>
      <c r="Z514" s="37" t="s">
        <v>26</v>
      </c>
      <c r="AA514" s="37">
        <v>59</v>
      </c>
      <c r="AB514" s="37">
        <v>7</v>
      </c>
      <c r="AC514" s="37">
        <v>2</v>
      </c>
      <c r="AD514" s="37" t="s">
        <v>1158</v>
      </c>
      <c r="AE514" s="37"/>
      <c r="AF514" s="37" t="s">
        <v>1160</v>
      </c>
    </row>
    <row r="515" spans="1:32" customFormat="1" x14ac:dyDescent="0.2">
      <c r="A515" s="37"/>
      <c r="B515" s="37"/>
      <c r="C515" s="37"/>
      <c r="D515" s="37"/>
      <c r="E515" s="37"/>
      <c r="F515" s="37"/>
      <c r="G515" s="37" t="s">
        <v>166</v>
      </c>
      <c r="H515" s="37" t="s">
        <v>166</v>
      </c>
      <c r="I515" s="37" t="s">
        <v>166</v>
      </c>
      <c r="J515" s="37" t="s">
        <v>18</v>
      </c>
      <c r="K515" s="37">
        <v>72</v>
      </c>
      <c r="L515" s="37">
        <v>128</v>
      </c>
      <c r="M515" s="37">
        <v>9</v>
      </c>
      <c r="N515" s="37">
        <v>209</v>
      </c>
      <c r="O515" s="37">
        <v>147</v>
      </c>
      <c r="P515" s="37">
        <v>57</v>
      </c>
      <c r="Q515" s="37">
        <v>413</v>
      </c>
      <c r="R515" s="37">
        <v>3797</v>
      </c>
      <c r="S515" s="37"/>
      <c r="T515" s="37" t="s">
        <v>166</v>
      </c>
      <c r="U515" s="37" t="s">
        <v>166</v>
      </c>
      <c r="V515" s="37" t="s">
        <v>166</v>
      </c>
      <c r="W515" s="37" t="s">
        <v>18</v>
      </c>
      <c r="X515" s="37" t="s">
        <v>166</v>
      </c>
      <c r="Y515" s="37" t="s">
        <v>166</v>
      </c>
      <c r="Z515" s="37" t="s">
        <v>26</v>
      </c>
      <c r="AA515" s="37">
        <v>59</v>
      </c>
      <c r="AB515" s="37">
        <v>7</v>
      </c>
      <c r="AC515" s="37">
        <v>2</v>
      </c>
      <c r="AD515" s="37" t="s">
        <v>1158</v>
      </c>
      <c r="AE515" s="37"/>
      <c r="AF515" s="37" t="s">
        <v>1161</v>
      </c>
    </row>
    <row r="516" spans="1:32" customFormat="1" x14ac:dyDescent="0.2">
      <c r="A516" s="37"/>
      <c r="B516" s="37"/>
      <c r="C516" s="37" t="s">
        <v>26</v>
      </c>
      <c r="D516" s="37">
        <v>61</v>
      </c>
      <c r="E516" s="37">
        <v>1</v>
      </c>
      <c r="F516" s="37" t="s">
        <v>296</v>
      </c>
      <c r="G516" s="37">
        <v>6.8</v>
      </c>
      <c r="H516" s="37" t="s">
        <v>181</v>
      </c>
      <c r="I516" s="37" t="s">
        <v>23</v>
      </c>
      <c r="J516" s="37" t="s">
        <v>17</v>
      </c>
      <c r="K516" s="37">
        <v>19</v>
      </c>
      <c r="L516" s="37">
        <v>18</v>
      </c>
      <c r="M516" s="37">
        <v>0</v>
      </c>
      <c r="N516" s="37">
        <v>37</v>
      </c>
      <c r="O516" s="37">
        <v>64</v>
      </c>
      <c r="P516" s="37">
        <v>13</v>
      </c>
      <c r="Q516" s="37">
        <v>114</v>
      </c>
      <c r="R516" s="37">
        <v>4047</v>
      </c>
      <c r="S516" s="37"/>
      <c r="T516" s="37" t="s">
        <v>174</v>
      </c>
      <c r="U516" s="37" t="s">
        <v>291</v>
      </c>
      <c r="V516" s="37">
        <v>70</v>
      </c>
      <c r="W516" s="37" t="s">
        <v>178</v>
      </c>
      <c r="X516" s="37" t="s">
        <v>190</v>
      </c>
      <c r="Y516" s="37">
        <v>1156</v>
      </c>
      <c r="Z516" s="37" t="s">
        <v>26</v>
      </c>
      <c r="AA516" s="37">
        <v>61</v>
      </c>
      <c r="AB516" s="37">
        <v>1</v>
      </c>
      <c r="AC516" s="37" t="s">
        <v>296</v>
      </c>
      <c r="AD516" s="37" t="s">
        <v>1162</v>
      </c>
      <c r="AE516" s="37"/>
      <c r="AF516" s="37" t="s">
        <v>1163</v>
      </c>
    </row>
    <row r="517" spans="1:32" customFormat="1" x14ac:dyDescent="0.2">
      <c r="A517" s="37"/>
      <c r="B517" s="37"/>
      <c r="C517" s="37"/>
      <c r="D517" s="37"/>
      <c r="E517" s="37"/>
      <c r="F517" s="37"/>
      <c r="G517" s="37" t="s">
        <v>166</v>
      </c>
      <c r="H517" s="37" t="s">
        <v>166</v>
      </c>
      <c r="I517" s="37" t="s">
        <v>166</v>
      </c>
      <c r="J517" s="37" t="s">
        <v>178</v>
      </c>
      <c r="K517" s="37">
        <v>36</v>
      </c>
      <c r="L517" s="37">
        <v>38</v>
      </c>
      <c r="M517" s="37">
        <v>0</v>
      </c>
      <c r="N517" s="37">
        <v>74</v>
      </c>
      <c r="O517" s="37">
        <v>180</v>
      </c>
      <c r="P517" s="37">
        <v>26</v>
      </c>
      <c r="Q517" s="37">
        <v>280</v>
      </c>
      <c r="R517" s="37">
        <v>58219</v>
      </c>
      <c r="S517" s="37"/>
      <c r="T517" s="37" t="s">
        <v>166</v>
      </c>
      <c r="U517" s="37" t="s">
        <v>166</v>
      </c>
      <c r="V517" s="37" t="s">
        <v>166</v>
      </c>
      <c r="W517" s="37" t="s">
        <v>178</v>
      </c>
      <c r="X517" s="37" t="s">
        <v>166</v>
      </c>
      <c r="Y517" s="37" t="s">
        <v>166</v>
      </c>
      <c r="Z517" s="37" t="s">
        <v>26</v>
      </c>
      <c r="AA517" s="37">
        <v>61</v>
      </c>
      <c r="AB517" s="37">
        <v>1</v>
      </c>
      <c r="AC517" s="37" t="s">
        <v>296</v>
      </c>
      <c r="AD517" s="37" t="s">
        <v>1162</v>
      </c>
      <c r="AE517" s="37"/>
      <c r="AF517" s="37" t="s">
        <v>1164</v>
      </c>
    </row>
    <row r="518" spans="1:32" customFormat="1" x14ac:dyDescent="0.2">
      <c r="A518" s="37"/>
      <c r="B518" s="37"/>
      <c r="C518" s="37"/>
      <c r="D518" s="37"/>
      <c r="E518" s="37"/>
      <c r="F518" s="37"/>
      <c r="G518" s="37" t="s">
        <v>166</v>
      </c>
      <c r="H518" s="37" t="s">
        <v>166</v>
      </c>
      <c r="I518" s="37" t="s">
        <v>166</v>
      </c>
      <c r="J518" s="37" t="s">
        <v>19</v>
      </c>
      <c r="K518" s="37">
        <v>43</v>
      </c>
      <c r="L518" s="37">
        <v>94</v>
      </c>
      <c r="M518" s="37">
        <v>8</v>
      </c>
      <c r="N518" s="37">
        <v>145</v>
      </c>
      <c r="O518" s="37">
        <v>219</v>
      </c>
      <c r="P518" s="37">
        <v>56</v>
      </c>
      <c r="Q518" s="37">
        <v>420</v>
      </c>
      <c r="R518" s="37">
        <v>7961</v>
      </c>
      <c r="S518" s="37"/>
      <c r="T518" s="37" t="s">
        <v>166</v>
      </c>
      <c r="U518" s="37" t="s">
        <v>166</v>
      </c>
      <c r="V518" s="37" t="s">
        <v>166</v>
      </c>
      <c r="W518" s="37" t="s">
        <v>178</v>
      </c>
      <c r="X518" s="37" t="s">
        <v>166</v>
      </c>
      <c r="Y518" s="37" t="s">
        <v>166</v>
      </c>
      <c r="Z518" s="37" t="s">
        <v>26</v>
      </c>
      <c r="AA518" s="37">
        <v>61</v>
      </c>
      <c r="AB518" s="37">
        <v>1</v>
      </c>
      <c r="AC518" s="37" t="s">
        <v>296</v>
      </c>
      <c r="AD518" s="37" t="s">
        <v>1162</v>
      </c>
      <c r="AE518" s="37"/>
      <c r="AF518" s="37" t="s">
        <v>1165</v>
      </c>
    </row>
    <row r="519" spans="1:32" customFormat="1" x14ac:dyDescent="0.2">
      <c r="A519" s="37"/>
      <c r="B519" s="37"/>
      <c r="C519" s="37"/>
      <c r="D519" s="37"/>
      <c r="E519" s="37"/>
      <c r="F519" s="37"/>
      <c r="G519" s="37" t="s">
        <v>166</v>
      </c>
      <c r="H519" s="37" t="s">
        <v>166</v>
      </c>
      <c r="I519" s="37" t="s">
        <v>166</v>
      </c>
      <c r="J519" s="37" t="s">
        <v>18</v>
      </c>
      <c r="K519" s="37">
        <v>126</v>
      </c>
      <c r="L519" s="37">
        <v>54</v>
      </c>
      <c r="M519" s="37">
        <v>0</v>
      </c>
      <c r="N519" s="37">
        <v>180</v>
      </c>
      <c r="O519" s="37">
        <v>158</v>
      </c>
      <c r="P519" s="37">
        <v>59</v>
      </c>
      <c r="Q519" s="37">
        <v>397</v>
      </c>
      <c r="R519" s="37">
        <v>3677</v>
      </c>
      <c r="S519" s="37"/>
      <c r="T519" s="37" t="s">
        <v>166</v>
      </c>
      <c r="U519" s="37" t="s">
        <v>166</v>
      </c>
      <c r="V519" s="37" t="s">
        <v>166</v>
      </c>
      <c r="W519" s="37" t="s">
        <v>178</v>
      </c>
      <c r="X519" s="37" t="s">
        <v>166</v>
      </c>
      <c r="Y519" s="37" t="s">
        <v>166</v>
      </c>
      <c r="Z519" s="37" t="s">
        <v>26</v>
      </c>
      <c r="AA519" s="37">
        <v>61</v>
      </c>
      <c r="AB519" s="37">
        <v>1</v>
      </c>
      <c r="AC519" s="37" t="s">
        <v>296</v>
      </c>
      <c r="AD519" s="37" t="s">
        <v>1162</v>
      </c>
      <c r="AE519" s="37"/>
      <c r="AF519" s="37" t="s">
        <v>1166</v>
      </c>
    </row>
    <row r="520" spans="1:32" customFormat="1" x14ac:dyDescent="0.2">
      <c r="A520" s="37"/>
      <c r="B520" s="37"/>
      <c r="C520" s="37" t="s">
        <v>26</v>
      </c>
      <c r="D520" s="37">
        <v>63</v>
      </c>
      <c r="E520" s="37">
        <v>1</v>
      </c>
      <c r="F520" s="37" t="s">
        <v>296</v>
      </c>
      <c r="G520" s="37">
        <v>3.2</v>
      </c>
      <c r="H520" s="37" t="s">
        <v>181</v>
      </c>
      <c r="I520" s="37" t="s">
        <v>23</v>
      </c>
      <c r="J520" s="37" t="s">
        <v>17</v>
      </c>
      <c r="K520" s="37">
        <v>10</v>
      </c>
      <c r="L520" s="37">
        <v>21</v>
      </c>
      <c r="M520" s="37">
        <v>3</v>
      </c>
      <c r="N520" s="37">
        <v>34</v>
      </c>
      <c r="O520" s="37">
        <v>24</v>
      </c>
      <c r="P520" s="37">
        <v>8</v>
      </c>
      <c r="Q520" s="37">
        <v>66</v>
      </c>
      <c r="R520" s="37">
        <v>3095</v>
      </c>
      <c r="S520" s="37"/>
      <c r="T520" s="37" t="s">
        <v>181</v>
      </c>
      <c r="U520" s="37" t="s">
        <v>246</v>
      </c>
      <c r="V520" s="37">
        <v>50</v>
      </c>
      <c r="W520" s="37" t="s">
        <v>18</v>
      </c>
      <c r="X520" s="37" t="s">
        <v>190</v>
      </c>
      <c r="Y520" s="37">
        <v>640</v>
      </c>
      <c r="Z520" s="37" t="s">
        <v>26</v>
      </c>
      <c r="AA520" s="37">
        <v>63</v>
      </c>
      <c r="AB520" s="37">
        <v>1</v>
      </c>
      <c r="AC520" s="37" t="s">
        <v>296</v>
      </c>
      <c r="AD520" s="37" t="s">
        <v>1167</v>
      </c>
      <c r="AE520" s="37"/>
      <c r="AF520" s="37" t="s">
        <v>1168</v>
      </c>
    </row>
    <row r="521" spans="1:32" customFormat="1" x14ac:dyDescent="0.2">
      <c r="A521" s="37"/>
      <c r="B521" s="37"/>
      <c r="C521" s="37"/>
      <c r="D521" s="37"/>
      <c r="E521" s="37"/>
      <c r="F521" s="37"/>
      <c r="G521" s="37" t="s">
        <v>166</v>
      </c>
      <c r="H521" s="37" t="s">
        <v>166</v>
      </c>
      <c r="I521" s="37" t="s">
        <v>166</v>
      </c>
      <c r="J521" s="37" t="s">
        <v>19</v>
      </c>
      <c r="K521" s="37">
        <v>6</v>
      </c>
      <c r="L521" s="37">
        <v>27</v>
      </c>
      <c r="M521" s="37">
        <v>4</v>
      </c>
      <c r="N521" s="37">
        <v>37</v>
      </c>
      <c r="O521" s="37">
        <v>48</v>
      </c>
      <c r="P521" s="37">
        <v>11</v>
      </c>
      <c r="Q521" s="37">
        <v>96</v>
      </c>
      <c r="R521" s="37">
        <v>1893</v>
      </c>
      <c r="S521" s="37"/>
      <c r="T521" s="37" t="s">
        <v>166</v>
      </c>
      <c r="U521" s="37" t="s">
        <v>166</v>
      </c>
      <c r="V521" s="37" t="s">
        <v>166</v>
      </c>
      <c r="W521" s="37" t="s">
        <v>18</v>
      </c>
      <c r="X521" s="37" t="s">
        <v>166</v>
      </c>
      <c r="Y521" s="37" t="s">
        <v>166</v>
      </c>
      <c r="Z521" s="37" t="s">
        <v>26</v>
      </c>
      <c r="AA521" s="37">
        <v>63</v>
      </c>
      <c r="AB521" s="37">
        <v>1</v>
      </c>
      <c r="AC521" s="37" t="s">
        <v>296</v>
      </c>
      <c r="AD521" s="37" t="s">
        <v>1167</v>
      </c>
      <c r="AE521" s="37"/>
      <c r="AF521" s="37" t="s">
        <v>1169</v>
      </c>
    </row>
    <row r="522" spans="1:32" customFormat="1" x14ac:dyDescent="0.2">
      <c r="A522" s="37"/>
      <c r="B522" s="37"/>
      <c r="C522" s="37"/>
      <c r="D522" s="37"/>
      <c r="E522" s="37"/>
      <c r="F522" s="37"/>
      <c r="G522" s="37" t="s">
        <v>166</v>
      </c>
      <c r="H522" s="37" t="s">
        <v>166</v>
      </c>
      <c r="I522" s="37" t="s">
        <v>166</v>
      </c>
      <c r="J522" s="37" t="s">
        <v>18</v>
      </c>
      <c r="K522" s="37">
        <v>102</v>
      </c>
      <c r="L522" s="37">
        <v>135</v>
      </c>
      <c r="M522" s="37">
        <v>8</v>
      </c>
      <c r="N522" s="37">
        <v>245</v>
      </c>
      <c r="O522" s="37">
        <v>160</v>
      </c>
      <c r="P522" s="37">
        <v>64</v>
      </c>
      <c r="Q522" s="37">
        <v>469</v>
      </c>
      <c r="R522" s="37">
        <v>4543</v>
      </c>
      <c r="S522" s="37"/>
      <c r="T522" s="37" t="s">
        <v>166</v>
      </c>
      <c r="U522" s="37" t="s">
        <v>166</v>
      </c>
      <c r="V522" s="37" t="s">
        <v>166</v>
      </c>
      <c r="W522" s="37" t="s">
        <v>18</v>
      </c>
      <c r="X522" s="37" t="s">
        <v>166</v>
      </c>
      <c r="Y522" s="37" t="s">
        <v>166</v>
      </c>
      <c r="Z522" s="37" t="s">
        <v>26</v>
      </c>
      <c r="AA522" s="37">
        <v>63</v>
      </c>
      <c r="AB522" s="37">
        <v>1</v>
      </c>
      <c r="AC522" s="37" t="s">
        <v>296</v>
      </c>
      <c r="AD522" s="37" t="s">
        <v>1167</v>
      </c>
      <c r="AE522" s="37"/>
      <c r="AF522" s="37" t="s">
        <v>1170</v>
      </c>
    </row>
    <row r="523" spans="1:32" customFormat="1" x14ac:dyDescent="0.2">
      <c r="A523" s="37"/>
      <c r="B523" s="37"/>
      <c r="C523" s="37" t="s">
        <v>26</v>
      </c>
      <c r="D523" s="37">
        <v>72</v>
      </c>
      <c r="E523" s="37">
        <v>6</v>
      </c>
      <c r="F523" s="37" t="s">
        <v>296</v>
      </c>
      <c r="G523" s="37">
        <v>1.8</v>
      </c>
      <c r="H523" s="37" t="s">
        <v>181</v>
      </c>
      <c r="I523" s="37" t="s">
        <v>23</v>
      </c>
      <c r="J523" s="37" t="s">
        <v>17</v>
      </c>
      <c r="K523" s="37">
        <v>0</v>
      </c>
      <c r="L523" s="37">
        <v>0</v>
      </c>
      <c r="M523" s="37">
        <v>0</v>
      </c>
      <c r="N523" s="37">
        <v>0</v>
      </c>
      <c r="O523" s="37">
        <v>0</v>
      </c>
      <c r="P523" s="37">
        <v>0</v>
      </c>
      <c r="Q523" s="37">
        <v>0</v>
      </c>
      <c r="R523" s="37">
        <v>0</v>
      </c>
      <c r="S523" s="37"/>
      <c r="T523" s="37" t="s">
        <v>181</v>
      </c>
      <c r="U523" s="37" t="s">
        <v>290</v>
      </c>
      <c r="V523" s="37">
        <v>45</v>
      </c>
      <c r="W523" s="37" t="s">
        <v>18</v>
      </c>
      <c r="X523" s="37" t="s">
        <v>190</v>
      </c>
      <c r="Y523" s="37">
        <v>324</v>
      </c>
      <c r="Z523" s="37" t="s">
        <v>26</v>
      </c>
      <c r="AA523" s="37">
        <v>72</v>
      </c>
      <c r="AB523" s="37">
        <v>6</v>
      </c>
      <c r="AC523" s="37" t="s">
        <v>296</v>
      </c>
      <c r="AD523" s="37" t="s">
        <v>1171</v>
      </c>
      <c r="AE523" s="37"/>
      <c r="AF523" s="37" t="s">
        <v>1172</v>
      </c>
    </row>
    <row r="524" spans="1:32" customFormat="1" x14ac:dyDescent="0.2">
      <c r="A524" s="37"/>
      <c r="B524" s="37"/>
      <c r="C524" s="37"/>
      <c r="D524" s="37"/>
      <c r="E524" s="37"/>
      <c r="F524" s="37"/>
      <c r="G524" s="37" t="s">
        <v>166</v>
      </c>
      <c r="H524" s="37" t="s">
        <v>166</v>
      </c>
      <c r="I524" s="37" t="s">
        <v>166</v>
      </c>
      <c r="J524" s="37" t="s">
        <v>178</v>
      </c>
      <c r="K524" s="37">
        <v>2</v>
      </c>
      <c r="L524" s="37">
        <v>5</v>
      </c>
      <c r="M524" s="37">
        <v>0</v>
      </c>
      <c r="N524" s="37">
        <v>7</v>
      </c>
      <c r="O524" s="37">
        <v>5</v>
      </c>
      <c r="P524" s="37">
        <v>2</v>
      </c>
      <c r="Q524" s="37">
        <v>14</v>
      </c>
      <c r="R524" s="37">
        <v>4743</v>
      </c>
      <c r="S524" s="37"/>
      <c r="T524" s="37" t="s">
        <v>166</v>
      </c>
      <c r="U524" s="37" t="s">
        <v>166</v>
      </c>
      <c r="V524" s="37" t="s">
        <v>166</v>
      </c>
      <c r="W524" s="37" t="s">
        <v>18</v>
      </c>
      <c r="X524" s="37" t="s">
        <v>166</v>
      </c>
      <c r="Y524" s="37" t="s">
        <v>166</v>
      </c>
      <c r="Z524" s="37" t="s">
        <v>26</v>
      </c>
      <c r="AA524" s="37">
        <v>72</v>
      </c>
      <c r="AB524" s="37">
        <v>6</v>
      </c>
      <c r="AC524" s="37" t="s">
        <v>296</v>
      </c>
      <c r="AD524" s="37" t="s">
        <v>1171</v>
      </c>
      <c r="AE524" s="37"/>
      <c r="AF524" s="37" t="s">
        <v>1173</v>
      </c>
    </row>
    <row r="525" spans="1:32" customFormat="1" x14ac:dyDescent="0.2">
      <c r="A525" s="37"/>
      <c r="B525" s="37"/>
      <c r="C525" s="37"/>
      <c r="D525" s="37"/>
      <c r="E525" s="37"/>
      <c r="F525" s="37"/>
      <c r="G525" s="37" t="s">
        <v>166</v>
      </c>
      <c r="H525" s="37" t="s">
        <v>166</v>
      </c>
      <c r="I525" s="37" t="s">
        <v>166</v>
      </c>
      <c r="J525" s="37" t="s">
        <v>19</v>
      </c>
      <c r="K525" s="37">
        <v>6</v>
      </c>
      <c r="L525" s="37">
        <v>27</v>
      </c>
      <c r="M525" s="37">
        <v>7</v>
      </c>
      <c r="N525" s="37">
        <v>40</v>
      </c>
      <c r="O525" s="37">
        <v>52</v>
      </c>
      <c r="P525" s="37">
        <v>10</v>
      </c>
      <c r="Q525" s="37">
        <v>102</v>
      </c>
      <c r="R525" s="37">
        <v>1948</v>
      </c>
      <c r="S525" s="37"/>
      <c r="T525" s="37" t="s">
        <v>166</v>
      </c>
      <c r="U525" s="37" t="s">
        <v>166</v>
      </c>
      <c r="V525" s="37" t="s">
        <v>166</v>
      </c>
      <c r="W525" s="37" t="s">
        <v>18</v>
      </c>
      <c r="X525" s="37" t="s">
        <v>166</v>
      </c>
      <c r="Y525" s="37" t="s">
        <v>166</v>
      </c>
      <c r="Z525" s="37" t="s">
        <v>26</v>
      </c>
      <c r="AA525" s="37">
        <v>72</v>
      </c>
      <c r="AB525" s="37">
        <v>6</v>
      </c>
      <c r="AC525" s="37" t="s">
        <v>296</v>
      </c>
      <c r="AD525" s="37" t="s">
        <v>1171</v>
      </c>
      <c r="AE525" s="37"/>
      <c r="AF525" s="37" t="s">
        <v>1174</v>
      </c>
    </row>
    <row r="526" spans="1:32" customFormat="1" x14ac:dyDescent="0.2">
      <c r="A526" s="37"/>
      <c r="B526" s="37"/>
      <c r="C526" s="37"/>
      <c r="D526" s="37"/>
      <c r="E526" s="37"/>
      <c r="F526" s="37"/>
      <c r="G526" s="37" t="s">
        <v>166</v>
      </c>
      <c r="H526" s="37" t="s">
        <v>166</v>
      </c>
      <c r="I526" s="37" t="s">
        <v>166</v>
      </c>
      <c r="J526" s="37" t="s">
        <v>18</v>
      </c>
      <c r="K526" s="37">
        <v>44</v>
      </c>
      <c r="L526" s="37">
        <v>52</v>
      </c>
      <c r="M526" s="37">
        <v>3</v>
      </c>
      <c r="N526" s="37">
        <v>99</v>
      </c>
      <c r="O526" s="37">
        <v>66</v>
      </c>
      <c r="P526" s="37">
        <v>26</v>
      </c>
      <c r="Q526" s="37">
        <v>191</v>
      </c>
      <c r="R526" s="37">
        <v>1858</v>
      </c>
      <c r="S526" s="37"/>
      <c r="T526" s="37" t="s">
        <v>166</v>
      </c>
      <c r="U526" s="37" t="s">
        <v>166</v>
      </c>
      <c r="V526" s="37" t="s">
        <v>166</v>
      </c>
      <c r="W526" s="37" t="s">
        <v>18</v>
      </c>
      <c r="X526" s="37" t="s">
        <v>166</v>
      </c>
      <c r="Y526" s="37" t="s">
        <v>166</v>
      </c>
      <c r="Z526" s="37" t="s">
        <v>26</v>
      </c>
      <c r="AA526" s="37">
        <v>72</v>
      </c>
      <c r="AB526" s="37">
        <v>6</v>
      </c>
      <c r="AC526" s="37" t="s">
        <v>296</v>
      </c>
      <c r="AD526" s="37" t="s">
        <v>1171</v>
      </c>
      <c r="AE526" s="37"/>
      <c r="AF526" s="37" t="s">
        <v>1175</v>
      </c>
    </row>
    <row r="527" spans="1:32" customFormat="1" x14ac:dyDescent="0.2">
      <c r="A527" s="37"/>
      <c r="B527" s="37"/>
      <c r="C527" s="37" t="s">
        <v>26</v>
      </c>
      <c r="D527" s="37">
        <v>76</v>
      </c>
      <c r="E527" s="37">
        <v>15</v>
      </c>
      <c r="F527" s="37" t="s">
        <v>296</v>
      </c>
      <c r="G527" s="37">
        <v>9.1</v>
      </c>
      <c r="H527" s="37" t="s">
        <v>181</v>
      </c>
      <c r="I527" s="37" t="s">
        <v>23</v>
      </c>
      <c r="J527" s="37" t="s">
        <v>17</v>
      </c>
      <c r="K527" s="37">
        <v>0</v>
      </c>
      <c r="L527" s="37">
        <v>55</v>
      </c>
      <c r="M527" s="37">
        <v>25</v>
      </c>
      <c r="N527" s="37">
        <v>80</v>
      </c>
      <c r="O527" s="37">
        <v>56</v>
      </c>
      <c r="P527" s="37">
        <v>20</v>
      </c>
      <c r="Q527" s="37">
        <v>156</v>
      </c>
      <c r="R527" s="37">
        <v>5780</v>
      </c>
      <c r="S527" s="37"/>
      <c r="T527" s="37" t="s">
        <v>181</v>
      </c>
      <c r="U527" s="37" t="s">
        <v>241</v>
      </c>
      <c r="V527" s="37">
        <v>65</v>
      </c>
      <c r="W527" s="37" t="s">
        <v>19</v>
      </c>
      <c r="X527" s="37" t="s">
        <v>190</v>
      </c>
      <c r="Y527" s="37">
        <v>1365</v>
      </c>
      <c r="Z527" s="37" t="s">
        <v>26</v>
      </c>
      <c r="AA527" s="37">
        <v>76</v>
      </c>
      <c r="AB527" s="37">
        <v>15</v>
      </c>
      <c r="AC527" s="37" t="s">
        <v>296</v>
      </c>
      <c r="AD527" s="37" t="s">
        <v>1176</v>
      </c>
      <c r="AE527" s="37"/>
      <c r="AF527" s="37" t="s">
        <v>1177</v>
      </c>
    </row>
    <row r="528" spans="1:32" customFormat="1" x14ac:dyDescent="0.2">
      <c r="A528" s="37"/>
      <c r="B528" s="37"/>
      <c r="C528" s="37"/>
      <c r="D528" s="37"/>
      <c r="E528" s="37"/>
      <c r="F528" s="37"/>
      <c r="G528" s="37" t="s">
        <v>166</v>
      </c>
      <c r="H528" s="37" t="s">
        <v>166</v>
      </c>
      <c r="I528" s="37" t="s">
        <v>166</v>
      </c>
      <c r="J528" s="37" t="s">
        <v>178</v>
      </c>
      <c r="K528" s="37">
        <v>0</v>
      </c>
      <c r="L528" s="37">
        <v>24</v>
      </c>
      <c r="M528" s="37">
        <v>2</v>
      </c>
      <c r="N528" s="37">
        <v>26</v>
      </c>
      <c r="O528" s="37">
        <v>20</v>
      </c>
      <c r="P528" s="37">
        <v>9</v>
      </c>
      <c r="Q528" s="37">
        <v>55</v>
      </c>
      <c r="R528" s="37">
        <v>15282</v>
      </c>
      <c r="S528" s="37"/>
      <c r="T528" s="37" t="s">
        <v>166</v>
      </c>
      <c r="U528" s="37" t="s">
        <v>166</v>
      </c>
      <c r="V528" s="37" t="s">
        <v>166</v>
      </c>
      <c r="W528" s="37" t="s">
        <v>19</v>
      </c>
      <c r="X528" s="37" t="s">
        <v>166</v>
      </c>
      <c r="Y528" s="37" t="s">
        <v>166</v>
      </c>
      <c r="Z528" s="37" t="s">
        <v>26</v>
      </c>
      <c r="AA528" s="37">
        <v>76</v>
      </c>
      <c r="AB528" s="37">
        <v>15</v>
      </c>
      <c r="AC528" s="37" t="s">
        <v>296</v>
      </c>
      <c r="AD528" s="37" t="s">
        <v>1176</v>
      </c>
      <c r="AE528" s="37"/>
      <c r="AF528" s="37" t="s">
        <v>1178</v>
      </c>
    </row>
    <row r="529" spans="1:32" customFormat="1" x14ac:dyDescent="0.2">
      <c r="A529" s="37"/>
      <c r="B529" s="37"/>
      <c r="C529" s="37"/>
      <c r="D529" s="37"/>
      <c r="E529" s="37"/>
      <c r="F529" s="37"/>
      <c r="G529" s="37" t="s">
        <v>166</v>
      </c>
      <c r="H529" s="37" t="s">
        <v>166</v>
      </c>
      <c r="I529" s="37" t="s">
        <v>166</v>
      </c>
      <c r="J529" s="37" t="s">
        <v>19</v>
      </c>
      <c r="K529" s="37">
        <v>50</v>
      </c>
      <c r="L529" s="37">
        <v>228</v>
      </c>
      <c r="M529" s="37">
        <v>49</v>
      </c>
      <c r="N529" s="37">
        <v>327</v>
      </c>
      <c r="O529" s="37">
        <v>335</v>
      </c>
      <c r="P529" s="37">
        <v>90</v>
      </c>
      <c r="Q529" s="37">
        <v>752</v>
      </c>
      <c r="R529" s="37">
        <v>16139</v>
      </c>
      <c r="S529" s="37"/>
      <c r="T529" s="37" t="s">
        <v>166</v>
      </c>
      <c r="U529" s="37" t="s">
        <v>166</v>
      </c>
      <c r="V529" s="37" t="s">
        <v>166</v>
      </c>
      <c r="W529" s="37" t="s">
        <v>19</v>
      </c>
      <c r="X529" s="37" t="s">
        <v>166</v>
      </c>
      <c r="Y529" s="37" t="s">
        <v>166</v>
      </c>
      <c r="Z529" s="37" t="s">
        <v>26</v>
      </c>
      <c r="AA529" s="37">
        <v>76</v>
      </c>
      <c r="AB529" s="37">
        <v>15</v>
      </c>
      <c r="AC529" s="37" t="s">
        <v>296</v>
      </c>
      <c r="AD529" s="37" t="s">
        <v>1176</v>
      </c>
      <c r="AE529" s="37"/>
      <c r="AF529" s="37" t="s">
        <v>1179</v>
      </c>
    </row>
    <row r="530" spans="1:32" customFormat="1" x14ac:dyDescent="0.2">
      <c r="A530" s="37"/>
      <c r="B530" s="37"/>
      <c r="C530" s="37"/>
      <c r="D530" s="37"/>
      <c r="E530" s="37"/>
      <c r="F530" s="37"/>
      <c r="G530" s="37" t="s">
        <v>166</v>
      </c>
      <c r="H530" s="37" t="s">
        <v>166</v>
      </c>
      <c r="I530" s="37" t="s">
        <v>166</v>
      </c>
      <c r="J530" s="37" t="s">
        <v>18</v>
      </c>
      <c r="K530" s="37">
        <v>86</v>
      </c>
      <c r="L530" s="37">
        <v>119</v>
      </c>
      <c r="M530" s="37">
        <v>13</v>
      </c>
      <c r="N530" s="37">
        <v>218</v>
      </c>
      <c r="O530" s="37">
        <v>175</v>
      </c>
      <c r="P530" s="37">
        <v>66</v>
      </c>
      <c r="Q530" s="37">
        <v>459</v>
      </c>
      <c r="R530" s="37">
        <v>4000</v>
      </c>
      <c r="S530" s="37"/>
      <c r="T530" s="37" t="s">
        <v>166</v>
      </c>
      <c r="U530" s="37" t="s">
        <v>166</v>
      </c>
      <c r="V530" s="37" t="s">
        <v>166</v>
      </c>
      <c r="W530" s="37" t="s">
        <v>19</v>
      </c>
      <c r="X530" s="37" t="s">
        <v>166</v>
      </c>
      <c r="Y530" s="37" t="s">
        <v>166</v>
      </c>
      <c r="Z530" s="37" t="s">
        <v>26</v>
      </c>
      <c r="AA530" s="37">
        <v>76</v>
      </c>
      <c r="AB530" s="37">
        <v>15</v>
      </c>
      <c r="AC530" s="37" t="s">
        <v>296</v>
      </c>
      <c r="AD530" s="37" t="s">
        <v>1176</v>
      </c>
      <c r="AE530" s="37"/>
      <c r="AF530" s="37" t="s">
        <v>1180</v>
      </c>
    </row>
    <row r="531" spans="1:32" customFormat="1" x14ac:dyDescent="0.2">
      <c r="A531" s="37"/>
      <c r="B531" s="37"/>
      <c r="C531" s="37" t="s">
        <v>26</v>
      </c>
      <c r="D531" s="37">
        <v>79</v>
      </c>
      <c r="E531" s="37">
        <v>10</v>
      </c>
      <c r="F531" s="37" t="s">
        <v>296</v>
      </c>
      <c r="G531" s="37">
        <v>2</v>
      </c>
      <c r="H531" s="37" t="s">
        <v>181</v>
      </c>
      <c r="I531" s="37" t="s">
        <v>23</v>
      </c>
      <c r="J531" s="37" t="s">
        <v>17</v>
      </c>
      <c r="K531" s="37">
        <v>0</v>
      </c>
      <c r="L531" s="37">
        <v>0</v>
      </c>
      <c r="M531" s="37">
        <v>0</v>
      </c>
      <c r="N531" s="37">
        <v>0</v>
      </c>
      <c r="O531" s="37">
        <v>0</v>
      </c>
      <c r="P531" s="37">
        <v>0</v>
      </c>
      <c r="Q531" s="37">
        <v>0</v>
      </c>
      <c r="R531" s="37">
        <v>0</v>
      </c>
      <c r="S531" s="37"/>
      <c r="T531" s="37" t="s">
        <v>181</v>
      </c>
      <c r="U531" s="37" t="s">
        <v>199</v>
      </c>
      <c r="V531" s="37">
        <v>45</v>
      </c>
      <c r="W531" s="37" t="s">
        <v>18</v>
      </c>
      <c r="X531" s="37" t="s">
        <v>190</v>
      </c>
      <c r="Y531" s="37">
        <v>300</v>
      </c>
      <c r="Z531" s="37" t="s">
        <v>26</v>
      </c>
      <c r="AA531" s="37">
        <v>79</v>
      </c>
      <c r="AB531" s="37">
        <v>10</v>
      </c>
      <c r="AC531" s="37" t="s">
        <v>296</v>
      </c>
      <c r="AD531" s="37" t="s">
        <v>1181</v>
      </c>
      <c r="AE531" s="37"/>
      <c r="AF531" s="37" t="s">
        <v>1182</v>
      </c>
    </row>
    <row r="532" spans="1:32" customFormat="1" x14ac:dyDescent="0.2">
      <c r="A532" s="37"/>
      <c r="B532" s="37"/>
      <c r="C532" s="37"/>
      <c r="D532" s="37"/>
      <c r="E532" s="37"/>
      <c r="F532" s="37"/>
      <c r="G532" s="37" t="s">
        <v>166</v>
      </c>
      <c r="H532" s="37" t="s">
        <v>166</v>
      </c>
      <c r="I532" s="37" t="s">
        <v>166</v>
      </c>
      <c r="J532" s="37" t="s">
        <v>178</v>
      </c>
      <c r="K532" s="37">
        <v>0</v>
      </c>
      <c r="L532" s="37">
        <v>2</v>
      </c>
      <c r="M532" s="37">
        <v>0</v>
      </c>
      <c r="N532" s="37">
        <v>2</v>
      </c>
      <c r="O532" s="37">
        <v>1</v>
      </c>
      <c r="P532" s="37">
        <v>1</v>
      </c>
      <c r="Q532" s="37">
        <v>4</v>
      </c>
      <c r="R532" s="37">
        <v>1130</v>
      </c>
      <c r="S532" s="37"/>
      <c r="T532" s="37" t="s">
        <v>166</v>
      </c>
      <c r="U532" s="37" t="s">
        <v>166</v>
      </c>
      <c r="V532" s="37" t="s">
        <v>166</v>
      </c>
      <c r="W532" s="37" t="s">
        <v>18</v>
      </c>
      <c r="X532" s="37" t="s">
        <v>166</v>
      </c>
      <c r="Y532" s="37" t="s">
        <v>166</v>
      </c>
      <c r="Z532" s="37" t="s">
        <v>26</v>
      </c>
      <c r="AA532" s="37">
        <v>79</v>
      </c>
      <c r="AB532" s="37">
        <v>10</v>
      </c>
      <c r="AC532" s="37" t="s">
        <v>296</v>
      </c>
      <c r="AD532" s="37" t="s">
        <v>1181</v>
      </c>
      <c r="AE532" s="37"/>
      <c r="AF532" s="37" t="s">
        <v>1183</v>
      </c>
    </row>
    <row r="533" spans="1:32" customFormat="1" x14ac:dyDescent="0.2">
      <c r="A533" s="37"/>
      <c r="B533" s="37"/>
      <c r="C533" s="37"/>
      <c r="D533" s="37"/>
      <c r="E533" s="37"/>
      <c r="F533" s="37"/>
      <c r="G533" s="37" t="s">
        <v>166</v>
      </c>
      <c r="H533" s="37" t="s">
        <v>166</v>
      </c>
      <c r="I533" s="37" t="s">
        <v>166</v>
      </c>
      <c r="J533" s="37" t="s">
        <v>19</v>
      </c>
      <c r="K533" s="37">
        <v>4</v>
      </c>
      <c r="L533" s="37">
        <v>23</v>
      </c>
      <c r="M533" s="37">
        <v>7</v>
      </c>
      <c r="N533" s="37">
        <v>34</v>
      </c>
      <c r="O533" s="37">
        <v>45</v>
      </c>
      <c r="P533" s="37">
        <v>8</v>
      </c>
      <c r="Q533" s="37">
        <v>87</v>
      </c>
      <c r="R533" s="37">
        <v>1616</v>
      </c>
      <c r="S533" s="37"/>
      <c r="T533" s="37" t="s">
        <v>166</v>
      </c>
      <c r="U533" s="37" t="s">
        <v>166</v>
      </c>
      <c r="V533" s="37" t="s">
        <v>166</v>
      </c>
      <c r="W533" s="37" t="s">
        <v>18</v>
      </c>
      <c r="X533" s="37" t="s">
        <v>166</v>
      </c>
      <c r="Y533" s="37" t="s">
        <v>166</v>
      </c>
      <c r="Z533" s="37" t="s">
        <v>26</v>
      </c>
      <c r="AA533" s="37">
        <v>79</v>
      </c>
      <c r="AB533" s="37">
        <v>10</v>
      </c>
      <c r="AC533" s="37" t="s">
        <v>296</v>
      </c>
      <c r="AD533" s="37" t="s">
        <v>1181</v>
      </c>
      <c r="AE533" s="37"/>
      <c r="AF533" s="37" t="s">
        <v>1184</v>
      </c>
    </row>
    <row r="534" spans="1:32" customFormat="1" x14ac:dyDescent="0.2">
      <c r="A534" s="37"/>
      <c r="B534" s="37"/>
      <c r="C534" s="37"/>
      <c r="D534" s="37"/>
      <c r="E534" s="37"/>
      <c r="F534" s="37"/>
      <c r="G534" s="37" t="s">
        <v>166</v>
      </c>
      <c r="H534" s="37" t="s">
        <v>166</v>
      </c>
      <c r="I534" s="37" t="s">
        <v>166</v>
      </c>
      <c r="J534" s="37" t="s">
        <v>18</v>
      </c>
      <c r="K534" s="37">
        <v>50</v>
      </c>
      <c r="L534" s="37">
        <v>58</v>
      </c>
      <c r="M534" s="37">
        <v>3</v>
      </c>
      <c r="N534" s="37">
        <v>111</v>
      </c>
      <c r="O534" s="37">
        <v>72</v>
      </c>
      <c r="P534" s="37">
        <v>29</v>
      </c>
      <c r="Q534" s="37">
        <v>212</v>
      </c>
      <c r="R534" s="37">
        <v>2082</v>
      </c>
      <c r="S534" s="37"/>
      <c r="T534" s="37" t="s">
        <v>166</v>
      </c>
      <c r="U534" s="37" t="s">
        <v>166</v>
      </c>
      <c r="V534" s="37" t="s">
        <v>166</v>
      </c>
      <c r="W534" s="37" t="s">
        <v>18</v>
      </c>
      <c r="X534" s="37" t="s">
        <v>166</v>
      </c>
      <c r="Y534" s="37" t="s">
        <v>166</v>
      </c>
      <c r="Z534" s="37" t="s">
        <v>26</v>
      </c>
      <c r="AA534" s="37">
        <v>79</v>
      </c>
      <c r="AB534" s="37">
        <v>10</v>
      </c>
      <c r="AC534" s="37" t="s">
        <v>296</v>
      </c>
      <c r="AD534" s="37" t="s">
        <v>1181</v>
      </c>
      <c r="AE534" s="37"/>
      <c r="AF534" s="37" t="s">
        <v>1185</v>
      </c>
    </row>
    <row r="535" spans="1:32" customFormat="1" x14ac:dyDescent="0.2">
      <c r="A535" s="37"/>
      <c r="B535" s="37"/>
      <c r="C535" s="37" t="s">
        <v>26</v>
      </c>
      <c r="D535" s="37">
        <v>83</v>
      </c>
      <c r="E535" s="37">
        <v>11</v>
      </c>
      <c r="F535" s="37" t="s">
        <v>296</v>
      </c>
      <c r="G535" s="37">
        <v>0.8</v>
      </c>
      <c r="H535" s="37" t="s">
        <v>181</v>
      </c>
      <c r="I535" s="37" t="s">
        <v>528</v>
      </c>
      <c r="J535" s="37" t="s">
        <v>17</v>
      </c>
      <c r="K535" s="37">
        <v>0</v>
      </c>
      <c r="L535" s="37">
        <v>0</v>
      </c>
      <c r="M535" s="37">
        <v>0</v>
      </c>
      <c r="N535" s="37">
        <v>0</v>
      </c>
      <c r="O535" s="37">
        <v>0</v>
      </c>
      <c r="P535" s="37">
        <v>0</v>
      </c>
      <c r="Q535" s="37">
        <v>0</v>
      </c>
      <c r="R535" s="37">
        <v>0</v>
      </c>
      <c r="S535" s="37"/>
      <c r="T535" s="37" t="s">
        <v>181</v>
      </c>
      <c r="U535" s="37" t="s">
        <v>191</v>
      </c>
      <c r="V535" s="37">
        <v>60</v>
      </c>
      <c r="W535" s="37" t="s">
        <v>18</v>
      </c>
      <c r="X535" s="37" t="s">
        <v>283</v>
      </c>
      <c r="Y535" s="37">
        <v>200</v>
      </c>
      <c r="Z535" s="37" t="s">
        <v>26</v>
      </c>
      <c r="AA535" s="37">
        <v>83</v>
      </c>
      <c r="AB535" s="37">
        <v>11</v>
      </c>
      <c r="AC535" s="37" t="s">
        <v>296</v>
      </c>
      <c r="AD535" s="37" t="s">
        <v>1186</v>
      </c>
      <c r="AE535" s="37"/>
      <c r="AF535" s="37" t="s">
        <v>1187</v>
      </c>
    </row>
    <row r="536" spans="1:32" customFormat="1" x14ac:dyDescent="0.2">
      <c r="A536" s="37"/>
      <c r="B536" s="37"/>
      <c r="C536" s="37"/>
      <c r="D536" s="37"/>
      <c r="E536" s="37"/>
      <c r="F536" s="37"/>
      <c r="G536" s="37" t="s">
        <v>166</v>
      </c>
      <c r="H536" s="37" t="s">
        <v>166</v>
      </c>
      <c r="I536" s="37" t="s">
        <v>166</v>
      </c>
      <c r="J536" s="37" t="s">
        <v>18</v>
      </c>
      <c r="K536" s="37">
        <v>6</v>
      </c>
      <c r="L536" s="37">
        <v>2</v>
      </c>
      <c r="M536" s="37">
        <v>0</v>
      </c>
      <c r="N536" s="37">
        <v>8</v>
      </c>
      <c r="O536" s="37">
        <v>31</v>
      </c>
      <c r="P536" s="37">
        <v>9</v>
      </c>
      <c r="Q536" s="37">
        <v>48</v>
      </c>
      <c r="R536" s="37">
        <v>172</v>
      </c>
      <c r="S536" s="37"/>
      <c r="T536" s="37" t="s">
        <v>166</v>
      </c>
      <c r="U536" s="37" t="s">
        <v>166</v>
      </c>
      <c r="V536" s="37" t="s">
        <v>166</v>
      </c>
      <c r="W536" s="37" t="s">
        <v>18</v>
      </c>
      <c r="X536" s="37" t="s">
        <v>166</v>
      </c>
      <c r="Y536" s="37" t="s">
        <v>166</v>
      </c>
      <c r="Z536" s="37" t="s">
        <v>26</v>
      </c>
      <c r="AA536" s="37">
        <v>83</v>
      </c>
      <c r="AB536" s="37">
        <v>11</v>
      </c>
      <c r="AC536" s="37" t="s">
        <v>296</v>
      </c>
      <c r="AD536" s="37" t="s">
        <v>1186</v>
      </c>
      <c r="AE536" s="37"/>
      <c r="AF536" s="37" t="s">
        <v>1188</v>
      </c>
    </row>
    <row r="537" spans="1:32" customFormat="1" x14ac:dyDescent="0.2">
      <c r="A537" s="37"/>
      <c r="B537" s="37"/>
      <c r="C537" s="37" t="s">
        <v>26</v>
      </c>
      <c r="D537" s="37">
        <v>83</v>
      </c>
      <c r="E537" s="37">
        <v>16</v>
      </c>
      <c r="F537" s="37">
        <v>2</v>
      </c>
      <c r="G537" s="37">
        <v>1.2</v>
      </c>
      <c r="H537" s="37" t="s">
        <v>181</v>
      </c>
      <c r="I537" s="37" t="s">
        <v>528</v>
      </c>
      <c r="J537" s="37" t="s">
        <v>17</v>
      </c>
      <c r="K537" s="37">
        <v>0</v>
      </c>
      <c r="L537" s="37">
        <v>0</v>
      </c>
      <c r="M537" s="37">
        <v>0</v>
      </c>
      <c r="N537" s="37">
        <v>0</v>
      </c>
      <c r="O537" s="37">
        <v>0</v>
      </c>
      <c r="P537" s="37">
        <v>0</v>
      </c>
      <c r="Q537" s="37">
        <v>0</v>
      </c>
      <c r="R537" s="37">
        <v>0</v>
      </c>
      <c r="S537" s="37"/>
      <c r="T537" s="37" t="s">
        <v>181</v>
      </c>
      <c r="U537" s="37" t="s">
        <v>202</v>
      </c>
      <c r="V537" s="37">
        <v>55</v>
      </c>
      <c r="W537" s="37" t="s">
        <v>18</v>
      </c>
      <c r="X537" s="37" t="s">
        <v>283</v>
      </c>
      <c r="Y537" s="37">
        <v>288</v>
      </c>
      <c r="Z537" s="37" t="s">
        <v>26</v>
      </c>
      <c r="AA537" s="37">
        <v>83</v>
      </c>
      <c r="AB537" s="37">
        <v>16</v>
      </c>
      <c r="AC537" s="37">
        <v>2</v>
      </c>
      <c r="AD537" s="37" t="s">
        <v>1189</v>
      </c>
      <c r="AE537" s="37"/>
      <c r="AF537" s="37" t="s">
        <v>1190</v>
      </c>
    </row>
    <row r="538" spans="1:32" customFormat="1" x14ac:dyDescent="0.2">
      <c r="A538" s="37"/>
      <c r="B538" s="37"/>
      <c r="C538" s="37"/>
      <c r="D538" s="37"/>
      <c r="E538" s="37"/>
      <c r="F538" s="37"/>
      <c r="G538" s="37" t="s">
        <v>166</v>
      </c>
      <c r="H538" s="37" t="s">
        <v>166</v>
      </c>
      <c r="I538" s="37" t="s">
        <v>166</v>
      </c>
      <c r="J538" s="37" t="s">
        <v>18</v>
      </c>
      <c r="K538" s="37">
        <v>6</v>
      </c>
      <c r="L538" s="37">
        <v>3</v>
      </c>
      <c r="M538" s="37">
        <v>0</v>
      </c>
      <c r="N538" s="37">
        <v>9</v>
      </c>
      <c r="O538" s="37">
        <v>40</v>
      </c>
      <c r="P538" s="37">
        <v>12</v>
      </c>
      <c r="Q538" s="37">
        <v>61</v>
      </c>
      <c r="R538" s="37">
        <v>204</v>
      </c>
      <c r="S538" s="37"/>
      <c r="T538" s="37" t="s">
        <v>166</v>
      </c>
      <c r="U538" s="37" t="s">
        <v>166</v>
      </c>
      <c r="V538" s="37" t="s">
        <v>166</v>
      </c>
      <c r="W538" s="37" t="s">
        <v>18</v>
      </c>
      <c r="X538" s="37" t="s">
        <v>166</v>
      </c>
      <c r="Y538" s="37" t="s">
        <v>166</v>
      </c>
      <c r="Z538" s="37" t="s">
        <v>26</v>
      </c>
      <c r="AA538" s="37">
        <v>83</v>
      </c>
      <c r="AB538" s="37">
        <v>16</v>
      </c>
      <c r="AC538" s="37">
        <v>2</v>
      </c>
      <c r="AD538" s="37" t="s">
        <v>1189</v>
      </c>
      <c r="AE538" s="37"/>
      <c r="AF538" s="37" t="s">
        <v>1191</v>
      </c>
    </row>
    <row r="539" spans="1:32" customFormat="1" x14ac:dyDescent="0.2">
      <c r="A539" s="37"/>
      <c r="B539" s="37"/>
      <c r="C539" s="37" t="s">
        <v>26</v>
      </c>
      <c r="D539" s="37">
        <v>88</v>
      </c>
      <c r="E539" s="37">
        <v>6</v>
      </c>
      <c r="F539" s="37" t="s">
        <v>296</v>
      </c>
      <c r="G539" s="37">
        <v>2.7</v>
      </c>
      <c r="H539" s="37" t="s">
        <v>181</v>
      </c>
      <c r="I539" s="37" t="s">
        <v>23</v>
      </c>
      <c r="J539" s="37" t="s">
        <v>17</v>
      </c>
      <c r="K539" s="37">
        <v>6</v>
      </c>
      <c r="L539" s="37">
        <v>17</v>
      </c>
      <c r="M539" s="37">
        <v>3</v>
      </c>
      <c r="N539" s="37">
        <v>26</v>
      </c>
      <c r="O539" s="37">
        <v>17</v>
      </c>
      <c r="P539" s="37">
        <v>6</v>
      </c>
      <c r="Q539" s="37">
        <v>49</v>
      </c>
      <c r="R539" s="37">
        <v>2312</v>
      </c>
      <c r="S539" s="37"/>
      <c r="T539" s="37" t="s">
        <v>181</v>
      </c>
      <c r="U539" s="37" t="s">
        <v>217</v>
      </c>
      <c r="V539" s="37">
        <v>45</v>
      </c>
      <c r="W539" s="37" t="s">
        <v>18</v>
      </c>
      <c r="X539" s="37" t="s">
        <v>190</v>
      </c>
      <c r="Y539" s="37">
        <v>459.00000000000006</v>
      </c>
      <c r="Z539" s="37" t="s">
        <v>26</v>
      </c>
      <c r="AA539" s="37">
        <v>88</v>
      </c>
      <c r="AB539" s="37">
        <v>6</v>
      </c>
      <c r="AC539" s="37" t="s">
        <v>296</v>
      </c>
      <c r="AD539" s="37" t="s">
        <v>1192</v>
      </c>
      <c r="AE539" s="37"/>
      <c r="AF539" s="37" t="s">
        <v>1193</v>
      </c>
    </row>
    <row r="540" spans="1:32" customFormat="1" x14ac:dyDescent="0.2">
      <c r="A540" s="37"/>
      <c r="B540" s="37"/>
      <c r="C540" s="37"/>
      <c r="D540" s="37"/>
      <c r="E540" s="37"/>
      <c r="F540" s="37"/>
      <c r="G540" s="37" t="s">
        <v>166</v>
      </c>
      <c r="H540" s="37" t="s">
        <v>166</v>
      </c>
      <c r="I540" s="37" t="s">
        <v>166</v>
      </c>
      <c r="J540" s="37" t="s">
        <v>19</v>
      </c>
      <c r="K540" s="37">
        <v>2</v>
      </c>
      <c r="L540" s="37">
        <v>17</v>
      </c>
      <c r="M540" s="37">
        <v>5</v>
      </c>
      <c r="N540" s="37">
        <v>24</v>
      </c>
      <c r="O540" s="37">
        <v>29</v>
      </c>
      <c r="P540" s="37">
        <v>7</v>
      </c>
      <c r="Q540" s="37">
        <v>60</v>
      </c>
      <c r="R540" s="37">
        <v>1111</v>
      </c>
      <c r="S540" s="37"/>
      <c r="T540" s="37" t="s">
        <v>166</v>
      </c>
      <c r="U540" s="37" t="s">
        <v>166</v>
      </c>
      <c r="V540" s="37" t="s">
        <v>166</v>
      </c>
      <c r="W540" s="37" t="s">
        <v>18</v>
      </c>
      <c r="X540" s="37" t="s">
        <v>166</v>
      </c>
      <c r="Y540" s="37" t="s">
        <v>166</v>
      </c>
      <c r="Z540" s="37" t="s">
        <v>26</v>
      </c>
      <c r="AA540" s="37">
        <v>88</v>
      </c>
      <c r="AB540" s="37">
        <v>6</v>
      </c>
      <c r="AC540" s="37" t="s">
        <v>296</v>
      </c>
      <c r="AD540" s="37" t="s">
        <v>1192</v>
      </c>
      <c r="AE540" s="37"/>
      <c r="AF540" s="37" t="s">
        <v>1194</v>
      </c>
    </row>
    <row r="541" spans="1:32" customFormat="1" x14ac:dyDescent="0.2">
      <c r="A541" s="37"/>
      <c r="B541" s="37"/>
      <c r="C541" s="37"/>
      <c r="D541" s="37"/>
      <c r="E541" s="37"/>
      <c r="F541" s="37"/>
      <c r="G541" s="37" t="s">
        <v>166</v>
      </c>
      <c r="H541" s="37" t="s">
        <v>166</v>
      </c>
      <c r="I541" s="37" t="s">
        <v>166</v>
      </c>
      <c r="J541" s="37" t="s">
        <v>18</v>
      </c>
      <c r="K541" s="37">
        <v>101</v>
      </c>
      <c r="L541" s="37">
        <v>73</v>
      </c>
      <c r="M541" s="37">
        <v>5</v>
      </c>
      <c r="N541" s="37">
        <v>179</v>
      </c>
      <c r="O541" s="37">
        <v>123</v>
      </c>
      <c r="P541" s="37">
        <v>49</v>
      </c>
      <c r="Q541" s="37">
        <v>351</v>
      </c>
      <c r="R541" s="37">
        <v>3474</v>
      </c>
      <c r="S541" s="37"/>
      <c r="T541" s="37" t="s">
        <v>166</v>
      </c>
      <c r="U541" s="37" t="s">
        <v>166</v>
      </c>
      <c r="V541" s="37" t="s">
        <v>166</v>
      </c>
      <c r="W541" s="37" t="s">
        <v>18</v>
      </c>
      <c r="X541" s="37" t="s">
        <v>166</v>
      </c>
      <c r="Y541" s="37" t="s">
        <v>166</v>
      </c>
      <c r="Z541" s="37" t="s">
        <v>26</v>
      </c>
      <c r="AA541" s="37">
        <v>88</v>
      </c>
      <c r="AB541" s="37">
        <v>6</v>
      </c>
      <c r="AC541" s="37" t="s">
        <v>296</v>
      </c>
      <c r="AD541" s="37" t="s">
        <v>1192</v>
      </c>
      <c r="AE541" s="37"/>
      <c r="AF541" s="37" t="s">
        <v>1195</v>
      </c>
    </row>
    <row r="542" spans="1:32" customFormat="1" x14ac:dyDescent="0.2">
      <c r="A542" s="37"/>
      <c r="B542" s="37"/>
      <c r="C542" s="37" t="s">
        <v>26</v>
      </c>
      <c r="D542" s="37">
        <v>91</v>
      </c>
      <c r="E542" s="37">
        <v>1</v>
      </c>
      <c r="F542" s="37" t="s">
        <v>296</v>
      </c>
      <c r="G542" s="37">
        <v>0.9</v>
      </c>
      <c r="H542" s="37" t="s">
        <v>181</v>
      </c>
      <c r="I542" s="37" t="s">
        <v>23</v>
      </c>
      <c r="J542" s="37" t="s">
        <v>17</v>
      </c>
      <c r="K542" s="37">
        <v>0</v>
      </c>
      <c r="L542" s="37">
        <v>0</v>
      </c>
      <c r="M542" s="37">
        <v>0</v>
      </c>
      <c r="N542" s="37">
        <v>0</v>
      </c>
      <c r="O542" s="37">
        <v>0</v>
      </c>
      <c r="P542" s="37">
        <v>0</v>
      </c>
      <c r="Q542" s="37">
        <v>0</v>
      </c>
      <c r="R542" s="37">
        <v>0</v>
      </c>
      <c r="S542" s="37"/>
      <c r="T542" s="37" t="s">
        <v>174</v>
      </c>
      <c r="U542" s="37" t="s">
        <v>304</v>
      </c>
      <c r="V542" s="37">
        <v>75</v>
      </c>
      <c r="W542" s="37" t="s">
        <v>178</v>
      </c>
      <c r="X542" s="37" t="s">
        <v>190</v>
      </c>
      <c r="Y542" s="37">
        <v>153</v>
      </c>
      <c r="Z542" s="37" t="s">
        <v>26</v>
      </c>
      <c r="AA542" s="37">
        <v>91</v>
      </c>
      <c r="AB542" s="37">
        <v>1</v>
      </c>
      <c r="AC542" s="37" t="s">
        <v>296</v>
      </c>
      <c r="AD542" s="37" t="s">
        <v>1196</v>
      </c>
      <c r="AE542" s="37"/>
      <c r="AF542" s="37" t="s">
        <v>1197</v>
      </c>
    </row>
    <row r="543" spans="1:32" customFormat="1" x14ac:dyDescent="0.2">
      <c r="A543" s="37"/>
      <c r="B543" s="37"/>
      <c r="C543" s="37"/>
      <c r="D543" s="37"/>
      <c r="E543" s="37"/>
      <c r="F543" s="37"/>
      <c r="G543" s="37" t="s">
        <v>166</v>
      </c>
      <c r="H543" s="37" t="s">
        <v>166</v>
      </c>
      <c r="I543" s="37" t="s">
        <v>166</v>
      </c>
      <c r="J543" s="37" t="s">
        <v>178</v>
      </c>
      <c r="K543" s="37">
        <v>6</v>
      </c>
      <c r="L543" s="37">
        <v>4</v>
      </c>
      <c r="M543" s="37">
        <v>0</v>
      </c>
      <c r="N543" s="37">
        <v>10</v>
      </c>
      <c r="O543" s="37">
        <v>24</v>
      </c>
      <c r="P543" s="37">
        <v>3</v>
      </c>
      <c r="Q543" s="37">
        <v>37</v>
      </c>
      <c r="R543" s="37">
        <v>7742</v>
      </c>
      <c r="S543" s="37"/>
      <c r="T543" s="37" t="s">
        <v>166</v>
      </c>
      <c r="U543" s="37" t="s">
        <v>166</v>
      </c>
      <c r="V543" s="37" t="s">
        <v>166</v>
      </c>
      <c r="W543" s="37" t="s">
        <v>178</v>
      </c>
      <c r="X543" s="37" t="s">
        <v>166</v>
      </c>
      <c r="Y543" s="37" t="s">
        <v>166</v>
      </c>
      <c r="Z543" s="37" t="s">
        <v>26</v>
      </c>
      <c r="AA543" s="37">
        <v>91</v>
      </c>
      <c r="AB543" s="37">
        <v>1</v>
      </c>
      <c r="AC543" s="37" t="s">
        <v>296</v>
      </c>
      <c r="AD543" s="37" t="s">
        <v>1196</v>
      </c>
      <c r="AE543" s="37"/>
      <c r="AF543" s="37" t="s">
        <v>1198</v>
      </c>
    </row>
    <row r="544" spans="1:32" customFormat="1" x14ac:dyDescent="0.2">
      <c r="A544" s="37"/>
      <c r="B544" s="37"/>
      <c r="C544" s="37"/>
      <c r="D544" s="37"/>
      <c r="E544" s="37"/>
      <c r="F544" s="37"/>
      <c r="G544" s="37" t="s">
        <v>166</v>
      </c>
      <c r="H544" s="37" t="s">
        <v>166</v>
      </c>
      <c r="I544" s="37" t="s">
        <v>166</v>
      </c>
      <c r="J544" s="37" t="s">
        <v>268</v>
      </c>
      <c r="K544" s="37">
        <v>0</v>
      </c>
      <c r="L544" s="37">
        <v>1</v>
      </c>
      <c r="M544" s="37">
        <v>0</v>
      </c>
      <c r="N544" s="37">
        <v>1</v>
      </c>
      <c r="O544" s="37">
        <v>7</v>
      </c>
      <c r="P544" s="37">
        <v>1</v>
      </c>
      <c r="Q544" s="37">
        <v>9</v>
      </c>
      <c r="R544" s="37">
        <v>1306</v>
      </c>
      <c r="S544" s="37"/>
      <c r="T544" s="37" t="s">
        <v>166</v>
      </c>
      <c r="U544" s="37" t="s">
        <v>166</v>
      </c>
      <c r="V544" s="37" t="s">
        <v>166</v>
      </c>
      <c r="W544" s="37" t="s">
        <v>178</v>
      </c>
      <c r="X544" s="37" t="s">
        <v>166</v>
      </c>
      <c r="Y544" s="37" t="s">
        <v>166</v>
      </c>
      <c r="Z544" s="37" t="s">
        <v>26</v>
      </c>
      <c r="AA544" s="37">
        <v>91</v>
      </c>
      <c r="AB544" s="37">
        <v>1</v>
      </c>
      <c r="AC544" s="37" t="s">
        <v>296</v>
      </c>
      <c r="AD544" s="37" t="s">
        <v>1196</v>
      </c>
      <c r="AE544" s="37"/>
      <c r="AF544" s="37" t="s">
        <v>1199</v>
      </c>
    </row>
    <row r="545" spans="1:32" customFormat="1" x14ac:dyDescent="0.2">
      <c r="A545" s="37"/>
      <c r="B545" s="37"/>
      <c r="C545" s="37"/>
      <c r="D545" s="37"/>
      <c r="E545" s="37"/>
      <c r="F545" s="37"/>
      <c r="G545" s="37" t="s">
        <v>166</v>
      </c>
      <c r="H545" s="37" t="s">
        <v>166</v>
      </c>
      <c r="I545" s="37" t="s">
        <v>166</v>
      </c>
      <c r="J545" s="37" t="s">
        <v>19</v>
      </c>
      <c r="K545" s="37">
        <v>7</v>
      </c>
      <c r="L545" s="37">
        <v>15</v>
      </c>
      <c r="M545" s="37">
        <v>1</v>
      </c>
      <c r="N545" s="37">
        <v>23</v>
      </c>
      <c r="O545" s="37">
        <v>27</v>
      </c>
      <c r="P545" s="37">
        <v>8</v>
      </c>
      <c r="Q545" s="37">
        <v>58</v>
      </c>
      <c r="R545" s="37">
        <v>1292</v>
      </c>
      <c r="S545" s="37"/>
      <c r="T545" s="37" t="s">
        <v>166</v>
      </c>
      <c r="U545" s="37" t="s">
        <v>166</v>
      </c>
      <c r="V545" s="37" t="s">
        <v>166</v>
      </c>
      <c r="W545" s="37" t="s">
        <v>178</v>
      </c>
      <c r="X545" s="37" t="s">
        <v>166</v>
      </c>
      <c r="Y545" s="37" t="s">
        <v>166</v>
      </c>
      <c r="Z545" s="37" t="s">
        <v>26</v>
      </c>
      <c r="AA545" s="37">
        <v>91</v>
      </c>
      <c r="AB545" s="37">
        <v>1</v>
      </c>
      <c r="AC545" s="37" t="s">
        <v>296</v>
      </c>
      <c r="AD545" s="37" t="s">
        <v>1196</v>
      </c>
      <c r="AE545" s="37"/>
      <c r="AF545" s="37" t="s">
        <v>1200</v>
      </c>
    </row>
    <row r="546" spans="1:32" customFormat="1" x14ac:dyDescent="0.2">
      <c r="A546" s="37"/>
      <c r="B546" s="37"/>
      <c r="C546" s="37"/>
      <c r="D546" s="37"/>
      <c r="E546" s="37"/>
      <c r="F546" s="37"/>
      <c r="G546" s="37" t="s">
        <v>166</v>
      </c>
      <c r="H546" s="37" t="s">
        <v>166</v>
      </c>
      <c r="I546" s="37" t="s">
        <v>166</v>
      </c>
      <c r="J546" s="37" t="s">
        <v>18</v>
      </c>
      <c r="K546" s="37">
        <v>19</v>
      </c>
      <c r="L546" s="37">
        <v>14</v>
      </c>
      <c r="M546" s="37">
        <v>0</v>
      </c>
      <c r="N546" s="37">
        <v>33</v>
      </c>
      <c r="O546" s="37">
        <v>21</v>
      </c>
      <c r="P546" s="37">
        <v>8</v>
      </c>
      <c r="Q546" s="37">
        <v>62</v>
      </c>
      <c r="R546" s="37">
        <v>648</v>
      </c>
      <c r="S546" s="37"/>
      <c r="T546" s="37" t="s">
        <v>166</v>
      </c>
      <c r="U546" s="37" t="s">
        <v>166</v>
      </c>
      <c r="V546" s="37" t="s">
        <v>166</v>
      </c>
      <c r="W546" s="37" t="s">
        <v>178</v>
      </c>
      <c r="X546" s="37" t="s">
        <v>166</v>
      </c>
      <c r="Y546" s="37" t="s">
        <v>166</v>
      </c>
      <c r="Z546" s="37" t="s">
        <v>26</v>
      </c>
      <c r="AA546" s="37">
        <v>91</v>
      </c>
      <c r="AB546" s="37">
        <v>1</v>
      </c>
      <c r="AC546" s="37" t="s">
        <v>296</v>
      </c>
      <c r="AD546" s="37" t="s">
        <v>1196</v>
      </c>
      <c r="AE546" s="37"/>
      <c r="AF546" s="37" t="s">
        <v>1201</v>
      </c>
    </row>
    <row r="547" spans="1:32" customFormat="1" x14ac:dyDescent="0.2">
      <c r="A547" s="37"/>
      <c r="B547" s="37"/>
      <c r="C547" s="37" t="s">
        <v>26</v>
      </c>
      <c r="D547" s="37">
        <v>102</v>
      </c>
      <c r="E547" s="37">
        <v>15</v>
      </c>
      <c r="F547" s="37" t="s">
        <v>296</v>
      </c>
      <c r="G547" s="37">
        <v>3.4</v>
      </c>
      <c r="H547" s="37" t="s">
        <v>181</v>
      </c>
      <c r="I547" s="37" t="s">
        <v>23</v>
      </c>
      <c r="J547" s="37" t="s">
        <v>17</v>
      </c>
      <c r="K547" s="37">
        <v>7</v>
      </c>
      <c r="L547" s="37">
        <v>13</v>
      </c>
      <c r="M547" s="37">
        <v>0</v>
      </c>
      <c r="N547" s="37">
        <v>20</v>
      </c>
      <c r="O547" s="37">
        <v>35</v>
      </c>
      <c r="P547" s="37">
        <v>7</v>
      </c>
      <c r="Q547" s="37">
        <v>62</v>
      </c>
      <c r="R547" s="37">
        <v>2074</v>
      </c>
      <c r="S547" s="37"/>
      <c r="T547" s="37" t="s">
        <v>174</v>
      </c>
      <c r="U547" s="37" t="s">
        <v>294</v>
      </c>
      <c r="V547" s="37">
        <v>70</v>
      </c>
      <c r="W547" s="37" t="s">
        <v>178</v>
      </c>
      <c r="X547" s="37" t="s">
        <v>190</v>
      </c>
      <c r="Y547" s="37">
        <v>714</v>
      </c>
      <c r="Z547" s="37" t="s">
        <v>26</v>
      </c>
      <c r="AA547" s="37">
        <v>102</v>
      </c>
      <c r="AB547" s="37">
        <v>15</v>
      </c>
      <c r="AC547" s="37" t="s">
        <v>296</v>
      </c>
      <c r="AD547" s="37" t="s">
        <v>1202</v>
      </c>
      <c r="AE547" s="37"/>
      <c r="AF547" s="37" t="s">
        <v>1203</v>
      </c>
    </row>
    <row r="548" spans="1:32" customFormat="1" x14ac:dyDescent="0.2">
      <c r="A548" s="37"/>
      <c r="B548" s="37"/>
      <c r="C548" s="37"/>
      <c r="D548" s="37"/>
      <c r="E548" s="37"/>
      <c r="F548" s="37"/>
      <c r="G548" s="37" t="s">
        <v>166</v>
      </c>
      <c r="H548" s="37" t="s">
        <v>166</v>
      </c>
      <c r="I548" s="37" t="s">
        <v>166</v>
      </c>
      <c r="J548" s="37" t="s">
        <v>178</v>
      </c>
      <c r="K548" s="37">
        <v>20</v>
      </c>
      <c r="L548" s="37">
        <v>21</v>
      </c>
      <c r="M548" s="37">
        <v>3</v>
      </c>
      <c r="N548" s="37">
        <v>44</v>
      </c>
      <c r="O548" s="37">
        <v>103</v>
      </c>
      <c r="P548" s="37">
        <v>16</v>
      </c>
      <c r="Q548" s="37">
        <v>163</v>
      </c>
      <c r="R548" s="37">
        <v>32653</v>
      </c>
      <c r="S548" s="37"/>
      <c r="T548" s="37" t="s">
        <v>166</v>
      </c>
      <c r="U548" s="37" t="s">
        <v>166</v>
      </c>
      <c r="V548" s="37" t="s">
        <v>166</v>
      </c>
      <c r="W548" s="37" t="s">
        <v>178</v>
      </c>
      <c r="X548" s="37" t="s">
        <v>166</v>
      </c>
      <c r="Y548" s="37" t="s">
        <v>166</v>
      </c>
      <c r="Z548" s="37" t="s">
        <v>26</v>
      </c>
      <c r="AA548" s="37">
        <v>102</v>
      </c>
      <c r="AB548" s="37">
        <v>15</v>
      </c>
      <c r="AC548" s="37" t="s">
        <v>296</v>
      </c>
      <c r="AD548" s="37" t="s">
        <v>1202</v>
      </c>
      <c r="AE548" s="37"/>
      <c r="AF548" s="37" t="s">
        <v>1204</v>
      </c>
    </row>
    <row r="549" spans="1:32" customFormat="1" x14ac:dyDescent="0.2">
      <c r="A549" s="37"/>
      <c r="B549" s="37"/>
      <c r="C549" s="37"/>
      <c r="D549" s="37"/>
      <c r="E549" s="37"/>
      <c r="F549" s="37"/>
      <c r="G549" s="37" t="s">
        <v>166</v>
      </c>
      <c r="H549" s="37" t="s">
        <v>166</v>
      </c>
      <c r="I549" s="37" t="s">
        <v>166</v>
      </c>
      <c r="J549" s="37" t="s">
        <v>19</v>
      </c>
      <c r="K549" s="37">
        <v>13</v>
      </c>
      <c r="L549" s="37">
        <v>60</v>
      </c>
      <c r="M549" s="37">
        <v>7</v>
      </c>
      <c r="N549" s="37">
        <v>80</v>
      </c>
      <c r="O549" s="37">
        <v>101</v>
      </c>
      <c r="P549" s="37">
        <v>26</v>
      </c>
      <c r="Q549" s="37">
        <v>207</v>
      </c>
      <c r="R549" s="37">
        <v>4089</v>
      </c>
      <c r="S549" s="37"/>
      <c r="T549" s="37" t="s">
        <v>166</v>
      </c>
      <c r="U549" s="37" t="s">
        <v>166</v>
      </c>
      <c r="V549" s="37" t="s">
        <v>166</v>
      </c>
      <c r="W549" s="37" t="s">
        <v>178</v>
      </c>
      <c r="X549" s="37" t="s">
        <v>166</v>
      </c>
      <c r="Y549" s="37" t="s">
        <v>166</v>
      </c>
      <c r="Z549" s="37" t="s">
        <v>26</v>
      </c>
      <c r="AA549" s="37">
        <v>102</v>
      </c>
      <c r="AB549" s="37">
        <v>15</v>
      </c>
      <c r="AC549" s="37" t="s">
        <v>296</v>
      </c>
      <c r="AD549" s="37" t="s">
        <v>1202</v>
      </c>
      <c r="AE549" s="37"/>
      <c r="AF549" s="37" t="s">
        <v>1205</v>
      </c>
    </row>
    <row r="550" spans="1:32" customFormat="1" x14ac:dyDescent="0.2">
      <c r="A550" s="37"/>
      <c r="B550" s="37"/>
      <c r="C550" s="37"/>
      <c r="D550" s="37"/>
      <c r="E550" s="37"/>
      <c r="F550" s="37"/>
      <c r="G550" s="37" t="s">
        <v>166</v>
      </c>
      <c r="H550" s="37" t="s">
        <v>166</v>
      </c>
      <c r="I550" s="37" t="s">
        <v>166</v>
      </c>
      <c r="J550" s="37" t="s">
        <v>18</v>
      </c>
      <c r="K550" s="37">
        <v>76</v>
      </c>
      <c r="L550" s="37">
        <v>59</v>
      </c>
      <c r="M550" s="37">
        <v>0</v>
      </c>
      <c r="N550" s="37">
        <v>135</v>
      </c>
      <c r="O550" s="37">
        <v>152</v>
      </c>
      <c r="P550" s="37">
        <v>54</v>
      </c>
      <c r="Q550" s="37">
        <v>341</v>
      </c>
      <c r="R550" s="37">
        <v>2682</v>
      </c>
      <c r="S550" s="37"/>
      <c r="T550" s="37" t="s">
        <v>166</v>
      </c>
      <c r="U550" s="37" t="s">
        <v>166</v>
      </c>
      <c r="V550" s="37" t="s">
        <v>166</v>
      </c>
      <c r="W550" s="37" t="s">
        <v>178</v>
      </c>
      <c r="X550" s="37" t="s">
        <v>166</v>
      </c>
      <c r="Y550" s="37" t="s">
        <v>166</v>
      </c>
      <c r="Z550" s="37" t="s">
        <v>26</v>
      </c>
      <c r="AA550" s="37">
        <v>102</v>
      </c>
      <c r="AB550" s="37">
        <v>15</v>
      </c>
      <c r="AC550" s="37" t="s">
        <v>296</v>
      </c>
      <c r="AD550" s="37" t="s">
        <v>1202</v>
      </c>
      <c r="AE550" s="37"/>
      <c r="AF550" s="37" t="s">
        <v>1206</v>
      </c>
    </row>
    <row r="551" spans="1:32" customFormat="1" x14ac:dyDescent="0.2">
      <c r="A551" s="37"/>
      <c r="B551" s="37"/>
      <c r="C551" s="37" t="s">
        <v>26</v>
      </c>
      <c r="D551" s="37">
        <v>104</v>
      </c>
      <c r="E551" s="37">
        <v>6</v>
      </c>
      <c r="F551" s="37" t="s">
        <v>296</v>
      </c>
      <c r="G551" s="37">
        <v>4.7</v>
      </c>
      <c r="H551" s="37" t="s">
        <v>181</v>
      </c>
      <c r="I551" s="37" t="s">
        <v>23</v>
      </c>
      <c r="J551" s="37" t="s">
        <v>17</v>
      </c>
      <c r="K551" s="37">
        <v>0</v>
      </c>
      <c r="L551" s="37">
        <v>0</v>
      </c>
      <c r="M551" s="37">
        <v>0</v>
      </c>
      <c r="N551" s="37">
        <v>0</v>
      </c>
      <c r="O551" s="37">
        <v>0</v>
      </c>
      <c r="P551" s="37">
        <v>0</v>
      </c>
      <c r="Q551" s="37">
        <v>0</v>
      </c>
      <c r="R551" s="37">
        <v>0</v>
      </c>
      <c r="S551" s="37"/>
      <c r="T551" s="37" t="s">
        <v>181</v>
      </c>
      <c r="U551" s="37" t="s">
        <v>305</v>
      </c>
      <c r="V551" s="37">
        <v>70</v>
      </c>
      <c r="W551" s="37" t="s">
        <v>19</v>
      </c>
      <c r="X551" s="37" t="s">
        <v>190</v>
      </c>
      <c r="Y551" s="37">
        <v>987</v>
      </c>
      <c r="Z551" s="37" t="s">
        <v>26</v>
      </c>
      <c r="AA551" s="37">
        <v>104</v>
      </c>
      <c r="AB551" s="37">
        <v>6</v>
      </c>
      <c r="AC551" s="37" t="s">
        <v>296</v>
      </c>
      <c r="AD551" s="37" t="s">
        <v>656</v>
      </c>
      <c r="AE551" s="37"/>
      <c r="AF551" s="37" t="s">
        <v>1207</v>
      </c>
    </row>
    <row r="552" spans="1:32" customFormat="1" x14ac:dyDescent="0.2">
      <c r="A552" s="37"/>
      <c r="B552" s="37"/>
      <c r="C552" s="37"/>
      <c r="D552" s="37"/>
      <c r="E552" s="37"/>
      <c r="F552" s="37"/>
      <c r="G552" s="37" t="s">
        <v>166</v>
      </c>
      <c r="H552" s="37" t="s">
        <v>166</v>
      </c>
      <c r="I552" s="37" t="s">
        <v>166</v>
      </c>
      <c r="J552" s="37" t="s">
        <v>178</v>
      </c>
      <c r="K552" s="37">
        <v>31</v>
      </c>
      <c r="L552" s="37">
        <v>77</v>
      </c>
      <c r="M552" s="37">
        <v>2</v>
      </c>
      <c r="N552" s="37">
        <v>110</v>
      </c>
      <c r="O552" s="37">
        <v>82</v>
      </c>
      <c r="P552" s="37">
        <v>32</v>
      </c>
      <c r="Q552" s="37">
        <v>224</v>
      </c>
      <c r="R552" s="37">
        <v>75942</v>
      </c>
      <c r="S552" s="37"/>
      <c r="T552" s="37" t="s">
        <v>166</v>
      </c>
      <c r="U552" s="37" t="s">
        <v>166</v>
      </c>
      <c r="V552" s="37" t="s">
        <v>166</v>
      </c>
      <c r="W552" s="37" t="s">
        <v>19</v>
      </c>
      <c r="X552" s="37" t="s">
        <v>166</v>
      </c>
      <c r="Y552" s="37" t="s">
        <v>166</v>
      </c>
      <c r="Z552" s="37" t="s">
        <v>26</v>
      </c>
      <c r="AA552" s="37">
        <v>104</v>
      </c>
      <c r="AB552" s="37">
        <v>6</v>
      </c>
      <c r="AC552" s="37" t="s">
        <v>296</v>
      </c>
      <c r="AD552" s="37" t="s">
        <v>656</v>
      </c>
      <c r="AE552" s="37"/>
      <c r="AF552" s="37" t="s">
        <v>1208</v>
      </c>
    </row>
    <row r="553" spans="1:32" customFormat="1" x14ac:dyDescent="0.2">
      <c r="A553" s="37"/>
      <c r="B553" s="37"/>
      <c r="C553" s="37"/>
      <c r="D553" s="37"/>
      <c r="E553" s="37"/>
      <c r="F553" s="37"/>
      <c r="G553" s="37" t="s">
        <v>166</v>
      </c>
      <c r="H553" s="37" t="s">
        <v>166</v>
      </c>
      <c r="I553" s="37" t="s">
        <v>166</v>
      </c>
      <c r="J553" s="37" t="s">
        <v>19</v>
      </c>
      <c r="K553" s="37">
        <v>27</v>
      </c>
      <c r="L553" s="37">
        <v>128</v>
      </c>
      <c r="M553" s="37">
        <v>25</v>
      </c>
      <c r="N553" s="37">
        <v>180</v>
      </c>
      <c r="O553" s="37">
        <v>201</v>
      </c>
      <c r="P553" s="37">
        <v>53</v>
      </c>
      <c r="Q553" s="37">
        <v>434</v>
      </c>
      <c r="R553" s="37">
        <v>8954</v>
      </c>
      <c r="S553" s="37"/>
      <c r="T553" s="37" t="s">
        <v>166</v>
      </c>
      <c r="U553" s="37" t="s">
        <v>166</v>
      </c>
      <c r="V553" s="37" t="s">
        <v>166</v>
      </c>
      <c r="W553" s="37" t="s">
        <v>19</v>
      </c>
      <c r="X553" s="37" t="s">
        <v>166</v>
      </c>
      <c r="Y553" s="37" t="s">
        <v>166</v>
      </c>
      <c r="Z553" s="37" t="s">
        <v>26</v>
      </c>
      <c r="AA553" s="37">
        <v>104</v>
      </c>
      <c r="AB553" s="37">
        <v>6</v>
      </c>
      <c r="AC553" s="37" t="s">
        <v>296</v>
      </c>
      <c r="AD553" s="37" t="s">
        <v>656</v>
      </c>
      <c r="AE553" s="37"/>
      <c r="AF553" s="37" t="s">
        <v>659</v>
      </c>
    </row>
    <row r="554" spans="1:32" customFormat="1" x14ac:dyDescent="0.2">
      <c r="A554" s="37"/>
      <c r="B554" s="37"/>
      <c r="C554" s="37"/>
      <c r="D554" s="37"/>
      <c r="E554" s="37"/>
      <c r="F554" s="37"/>
      <c r="G554" s="37" t="s">
        <v>166</v>
      </c>
      <c r="H554" s="37" t="s">
        <v>166</v>
      </c>
      <c r="I554" s="37" t="s">
        <v>166</v>
      </c>
      <c r="J554" s="37" t="s">
        <v>18</v>
      </c>
      <c r="K554" s="37">
        <v>82</v>
      </c>
      <c r="L554" s="37">
        <v>92</v>
      </c>
      <c r="M554" s="37">
        <v>5</v>
      </c>
      <c r="N554" s="37">
        <v>179</v>
      </c>
      <c r="O554" s="37">
        <v>105</v>
      </c>
      <c r="P554" s="37">
        <v>44</v>
      </c>
      <c r="Q554" s="37">
        <v>328</v>
      </c>
      <c r="R554" s="37">
        <v>3372</v>
      </c>
      <c r="S554" s="37"/>
      <c r="T554" s="37" t="s">
        <v>166</v>
      </c>
      <c r="U554" s="37" t="s">
        <v>166</v>
      </c>
      <c r="V554" s="37" t="s">
        <v>166</v>
      </c>
      <c r="W554" s="37" t="s">
        <v>19</v>
      </c>
      <c r="X554" s="37" t="s">
        <v>166</v>
      </c>
      <c r="Y554" s="37" t="s">
        <v>166</v>
      </c>
      <c r="Z554" s="37" t="s">
        <v>26</v>
      </c>
      <c r="AA554" s="37">
        <v>104</v>
      </c>
      <c r="AB554" s="37">
        <v>6</v>
      </c>
      <c r="AC554" s="37" t="s">
        <v>296</v>
      </c>
      <c r="AD554" s="37" t="s">
        <v>656</v>
      </c>
      <c r="AE554" s="37"/>
      <c r="AF554" s="37" t="s">
        <v>657</v>
      </c>
    </row>
    <row r="555" spans="1:32" customFormat="1" x14ac:dyDescent="0.2">
      <c r="A555" s="37"/>
      <c r="B555" s="37"/>
      <c r="C555" s="37" t="s">
        <v>26</v>
      </c>
      <c r="D555" s="37">
        <v>113</v>
      </c>
      <c r="E555" s="37">
        <v>15</v>
      </c>
      <c r="F555" s="37" t="s">
        <v>296</v>
      </c>
      <c r="G555" s="37">
        <v>3</v>
      </c>
      <c r="H555" s="37" t="s">
        <v>181</v>
      </c>
      <c r="I555" s="37" t="s">
        <v>528</v>
      </c>
      <c r="J555" s="37" t="s">
        <v>17</v>
      </c>
      <c r="K555" s="37">
        <v>0</v>
      </c>
      <c r="L555" s="37">
        <v>0</v>
      </c>
      <c r="M555" s="37">
        <v>0</v>
      </c>
      <c r="N555" s="37">
        <v>0</v>
      </c>
      <c r="O555" s="37">
        <v>0</v>
      </c>
      <c r="P555" s="37">
        <v>0</v>
      </c>
      <c r="Q555" s="37">
        <v>0</v>
      </c>
      <c r="R555" s="37">
        <v>0</v>
      </c>
      <c r="S555" s="37"/>
      <c r="T555" s="37" t="s">
        <v>181</v>
      </c>
      <c r="U555" s="37" t="s">
        <v>245</v>
      </c>
      <c r="V555" s="37">
        <v>70</v>
      </c>
      <c r="W555" s="37" t="s">
        <v>18</v>
      </c>
      <c r="X555" s="37" t="s">
        <v>283</v>
      </c>
      <c r="Y555" s="37">
        <v>840</v>
      </c>
      <c r="Z555" s="37" t="s">
        <v>26</v>
      </c>
      <c r="AA555" s="37">
        <v>113</v>
      </c>
      <c r="AB555" s="37">
        <v>15</v>
      </c>
      <c r="AC555" s="37" t="s">
        <v>296</v>
      </c>
      <c r="AD555" s="37" t="s">
        <v>1209</v>
      </c>
      <c r="AE555" s="37"/>
      <c r="AF555" s="37" t="s">
        <v>1210</v>
      </c>
    </row>
    <row r="556" spans="1:32" customFormat="1" x14ac:dyDescent="0.2">
      <c r="A556" s="37"/>
      <c r="B556" s="37"/>
      <c r="C556" s="37"/>
      <c r="D556" s="37"/>
      <c r="E556" s="37"/>
      <c r="F556" s="37"/>
      <c r="G556" s="37" t="s">
        <v>166</v>
      </c>
      <c r="H556" s="37" t="s">
        <v>166</v>
      </c>
      <c r="I556" s="37" t="s">
        <v>166</v>
      </c>
      <c r="J556" s="37" t="s">
        <v>18</v>
      </c>
      <c r="K556" s="37">
        <v>9</v>
      </c>
      <c r="L556" s="37">
        <v>3</v>
      </c>
      <c r="M556" s="37">
        <v>0</v>
      </c>
      <c r="N556" s="37">
        <v>12</v>
      </c>
      <c r="O556" s="37">
        <v>46</v>
      </c>
      <c r="P556" s="37">
        <v>14</v>
      </c>
      <c r="Q556" s="37">
        <v>72</v>
      </c>
      <c r="R556" s="37">
        <v>267</v>
      </c>
      <c r="S556" s="37"/>
      <c r="T556" s="37" t="s">
        <v>166</v>
      </c>
      <c r="U556" s="37" t="s">
        <v>166</v>
      </c>
      <c r="V556" s="37" t="s">
        <v>166</v>
      </c>
      <c r="W556" s="37" t="s">
        <v>18</v>
      </c>
      <c r="X556" s="37" t="s">
        <v>166</v>
      </c>
      <c r="Y556" s="37" t="s">
        <v>166</v>
      </c>
      <c r="Z556" s="37" t="s">
        <v>26</v>
      </c>
      <c r="AA556" s="37">
        <v>113</v>
      </c>
      <c r="AB556" s="37">
        <v>15</v>
      </c>
      <c r="AC556" s="37" t="s">
        <v>296</v>
      </c>
      <c r="AD556" s="37" t="s">
        <v>1209</v>
      </c>
      <c r="AE556" s="37"/>
      <c r="AF556" s="37" t="s">
        <v>1211</v>
      </c>
    </row>
    <row r="557" spans="1:32" customFormat="1" x14ac:dyDescent="0.2">
      <c r="A557" s="37"/>
      <c r="B557" s="37"/>
      <c r="C557" s="37" t="s">
        <v>310</v>
      </c>
      <c r="D557" s="37">
        <v>3</v>
      </c>
      <c r="E557" s="37">
        <v>7</v>
      </c>
      <c r="F557" s="37" t="s">
        <v>296</v>
      </c>
      <c r="G557" s="37">
        <v>4.4000000000000004</v>
      </c>
      <c r="H557" s="37" t="s">
        <v>181</v>
      </c>
      <c r="I557" s="37" t="s">
        <v>23</v>
      </c>
      <c r="J557" s="37" t="s">
        <v>17</v>
      </c>
      <c r="K557" s="37">
        <v>2</v>
      </c>
      <c r="L557" s="37">
        <v>15</v>
      </c>
      <c r="M557" s="37">
        <v>2</v>
      </c>
      <c r="N557" s="37">
        <v>19</v>
      </c>
      <c r="O557" s="37">
        <v>15</v>
      </c>
      <c r="P557" s="37">
        <v>5</v>
      </c>
      <c r="Q557" s="37">
        <v>39</v>
      </c>
      <c r="R557" s="37">
        <v>1593</v>
      </c>
      <c r="S557" s="37"/>
      <c r="T557" s="37" t="s">
        <v>181</v>
      </c>
      <c r="U557" s="37" t="s">
        <v>195</v>
      </c>
      <c r="V557" s="37">
        <v>45</v>
      </c>
      <c r="W557" s="37" t="s">
        <v>18</v>
      </c>
      <c r="X557" s="37" t="s">
        <v>190</v>
      </c>
      <c r="Y557" s="37">
        <v>1100</v>
      </c>
      <c r="Z557" s="37" t="s">
        <v>310</v>
      </c>
      <c r="AA557" s="37">
        <v>3</v>
      </c>
      <c r="AB557" s="37">
        <v>7</v>
      </c>
      <c r="AC557" s="37" t="s">
        <v>296</v>
      </c>
      <c r="AD557" s="37" t="s">
        <v>1212</v>
      </c>
      <c r="AE557" s="37"/>
      <c r="AF557" s="37" t="s">
        <v>1213</v>
      </c>
    </row>
    <row r="558" spans="1:32" customFormat="1" x14ac:dyDescent="0.2">
      <c r="A558" s="37"/>
      <c r="B558" s="37"/>
      <c r="C558" s="37"/>
      <c r="D558" s="37"/>
      <c r="E558" s="37"/>
      <c r="F558" s="37"/>
      <c r="G558" s="37" t="s">
        <v>166</v>
      </c>
      <c r="H558" s="37" t="s">
        <v>166</v>
      </c>
      <c r="I558" s="37" t="s">
        <v>166</v>
      </c>
      <c r="J558" s="37" t="s">
        <v>19</v>
      </c>
      <c r="K558" s="37">
        <v>0</v>
      </c>
      <c r="L558" s="37">
        <v>6</v>
      </c>
      <c r="M558" s="37">
        <v>7</v>
      </c>
      <c r="N558" s="37">
        <v>13</v>
      </c>
      <c r="O558" s="37">
        <v>32</v>
      </c>
      <c r="P558" s="37">
        <v>4</v>
      </c>
      <c r="Q558" s="37">
        <v>49</v>
      </c>
      <c r="R558" s="37">
        <v>518</v>
      </c>
      <c r="S558" s="37"/>
      <c r="T558" s="37" t="s">
        <v>166</v>
      </c>
      <c r="U558" s="37" t="s">
        <v>166</v>
      </c>
      <c r="V558" s="37" t="s">
        <v>166</v>
      </c>
      <c r="W558" s="37" t="s">
        <v>18</v>
      </c>
      <c r="X558" s="37" t="s">
        <v>166</v>
      </c>
      <c r="Y558" s="37" t="s">
        <v>166</v>
      </c>
      <c r="Z558" s="37" t="s">
        <v>310</v>
      </c>
      <c r="AA558" s="37">
        <v>3</v>
      </c>
      <c r="AB558" s="37">
        <v>7</v>
      </c>
      <c r="AC558" s="37" t="s">
        <v>296</v>
      </c>
      <c r="AD558" s="37" t="s">
        <v>1212</v>
      </c>
      <c r="AE558" s="37"/>
      <c r="AF558" s="37" t="s">
        <v>1214</v>
      </c>
    </row>
    <row r="559" spans="1:32" customFormat="1" x14ac:dyDescent="0.2">
      <c r="A559" s="37"/>
      <c r="B559" s="37"/>
      <c r="C559" s="37"/>
      <c r="D559" s="37"/>
      <c r="E559" s="37"/>
      <c r="F559" s="37"/>
      <c r="G559" s="37" t="s">
        <v>166</v>
      </c>
      <c r="H559" s="37" t="s">
        <v>166</v>
      </c>
      <c r="I559" s="37" t="s">
        <v>166</v>
      </c>
      <c r="J559" s="37" t="s">
        <v>18</v>
      </c>
      <c r="K559" s="37">
        <v>221</v>
      </c>
      <c r="L559" s="37">
        <v>235</v>
      </c>
      <c r="M559" s="37">
        <v>5</v>
      </c>
      <c r="N559" s="37">
        <v>461</v>
      </c>
      <c r="O559" s="37">
        <v>404</v>
      </c>
      <c r="P559" s="37">
        <v>151</v>
      </c>
      <c r="Q559" s="37">
        <v>1016</v>
      </c>
      <c r="R559" s="37">
        <v>8852</v>
      </c>
      <c r="S559" s="37"/>
      <c r="T559" s="37" t="s">
        <v>166</v>
      </c>
      <c r="U559" s="37" t="s">
        <v>166</v>
      </c>
      <c r="V559" s="37" t="s">
        <v>166</v>
      </c>
      <c r="W559" s="37" t="s">
        <v>18</v>
      </c>
      <c r="X559" s="37" t="s">
        <v>166</v>
      </c>
      <c r="Y559" s="37" t="s">
        <v>166</v>
      </c>
      <c r="Z559" s="37" t="s">
        <v>310</v>
      </c>
      <c r="AA559" s="37">
        <v>3</v>
      </c>
      <c r="AB559" s="37">
        <v>7</v>
      </c>
      <c r="AC559" s="37" t="s">
        <v>296</v>
      </c>
      <c r="AD559" s="37" t="s">
        <v>1212</v>
      </c>
      <c r="AE559" s="37"/>
      <c r="AF559" s="37" t="s">
        <v>1215</v>
      </c>
    </row>
    <row r="560" spans="1:32" customFormat="1" x14ac:dyDescent="0.2">
      <c r="A560" s="37"/>
      <c r="B560" s="37"/>
      <c r="C560" s="37" t="s">
        <v>310</v>
      </c>
      <c r="D560" s="37">
        <v>9</v>
      </c>
      <c r="E560" s="37">
        <v>9</v>
      </c>
      <c r="F560" s="37" t="s">
        <v>296</v>
      </c>
      <c r="G560" s="37">
        <v>3.9</v>
      </c>
      <c r="H560" s="37" t="s">
        <v>181</v>
      </c>
      <c r="I560" s="37" t="s">
        <v>23</v>
      </c>
      <c r="J560" s="37" t="s">
        <v>17</v>
      </c>
      <c r="K560" s="37">
        <v>16</v>
      </c>
      <c r="L560" s="37">
        <v>47</v>
      </c>
      <c r="M560" s="37">
        <v>3</v>
      </c>
      <c r="N560" s="37">
        <v>66</v>
      </c>
      <c r="O560" s="37">
        <v>42</v>
      </c>
      <c r="P560" s="37">
        <v>14</v>
      </c>
      <c r="Q560" s="37">
        <v>122</v>
      </c>
      <c r="R560" s="37">
        <v>5980</v>
      </c>
      <c r="S560" s="37"/>
      <c r="T560" s="37" t="s">
        <v>181</v>
      </c>
      <c r="U560" s="37" t="s">
        <v>195</v>
      </c>
      <c r="V560" s="37">
        <v>55</v>
      </c>
      <c r="W560" s="37" t="s">
        <v>18</v>
      </c>
      <c r="X560" s="37" t="s">
        <v>190</v>
      </c>
      <c r="Y560" s="37">
        <v>975</v>
      </c>
      <c r="Z560" s="37" t="s">
        <v>310</v>
      </c>
      <c r="AA560" s="37">
        <v>9</v>
      </c>
      <c r="AB560" s="37">
        <v>9</v>
      </c>
      <c r="AC560" s="37" t="s">
        <v>296</v>
      </c>
      <c r="AD560" s="37" t="s">
        <v>1216</v>
      </c>
      <c r="AE560" s="37"/>
      <c r="AF560" s="37" t="s">
        <v>1217</v>
      </c>
    </row>
    <row r="561" spans="1:32" customFormat="1" x14ac:dyDescent="0.2">
      <c r="A561" s="37"/>
      <c r="B561" s="37"/>
      <c r="C561" s="37"/>
      <c r="D561" s="37"/>
      <c r="E561" s="37"/>
      <c r="F561" s="37"/>
      <c r="G561" s="37" t="s">
        <v>166</v>
      </c>
      <c r="H561" s="37" t="s">
        <v>166</v>
      </c>
      <c r="I561" s="37" t="s">
        <v>166</v>
      </c>
      <c r="J561" s="37" t="s">
        <v>19</v>
      </c>
      <c r="K561" s="37">
        <v>0</v>
      </c>
      <c r="L561" s="37">
        <v>6</v>
      </c>
      <c r="M561" s="37">
        <v>10</v>
      </c>
      <c r="N561" s="37">
        <v>16</v>
      </c>
      <c r="O561" s="37">
        <v>21</v>
      </c>
      <c r="P561" s="37">
        <v>3</v>
      </c>
      <c r="Q561" s="37">
        <v>40</v>
      </c>
      <c r="R561" s="37">
        <v>555</v>
      </c>
      <c r="S561" s="37"/>
      <c r="T561" s="37" t="s">
        <v>166</v>
      </c>
      <c r="U561" s="37" t="s">
        <v>166</v>
      </c>
      <c r="V561" s="37" t="s">
        <v>166</v>
      </c>
      <c r="W561" s="37" t="s">
        <v>18</v>
      </c>
      <c r="X561" s="37" t="s">
        <v>166</v>
      </c>
      <c r="Y561" s="37" t="s">
        <v>166</v>
      </c>
      <c r="Z561" s="37" t="s">
        <v>310</v>
      </c>
      <c r="AA561" s="37">
        <v>9</v>
      </c>
      <c r="AB561" s="37">
        <v>9</v>
      </c>
      <c r="AC561" s="37" t="s">
        <v>296</v>
      </c>
      <c r="AD561" s="37" t="s">
        <v>1216</v>
      </c>
      <c r="AE561" s="37"/>
      <c r="AF561" s="37" t="s">
        <v>1218</v>
      </c>
    </row>
    <row r="562" spans="1:32" customFormat="1" x14ac:dyDescent="0.2">
      <c r="A562" s="37"/>
      <c r="B562" s="37"/>
      <c r="C562" s="37"/>
      <c r="D562" s="37"/>
      <c r="E562" s="37"/>
      <c r="F562" s="37"/>
      <c r="G562" s="37" t="s">
        <v>166</v>
      </c>
      <c r="H562" s="37" t="s">
        <v>166</v>
      </c>
      <c r="I562" s="37" t="s">
        <v>166</v>
      </c>
      <c r="J562" s="37" t="s">
        <v>18</v>
      </c>
      <c r="K562" s="37">
        <v>328</v>
      </c>
      <c r="L562" s="37">
        <v>72</v>
      </c>
      <c r="M562" s="37">
        <v>2</v>
      </c>
      <c r="N562" s="37">
        <v>402</v>
      </c>
      <c r="O562" s="37">
        <v>281</v>
      </c>
      <c r="P562" s="37">
        <v>112</v>
      </c>
      <c r="Q562" s="37">
        <v>795</v>
      </c>
      <c r="R562" s="37">
        <v>8381</v>
      </c>
      <c r="S562" s="37"/>
      <c r="T562" s="37" t="s">
        <v>166</v>
      </c>
      <c r="U562" s="37" t="s">
        <v>166</v>
      </c>
      <c r="V562" s="37" t="s">
        <v>166</v>
      </c>
      <c r="W562" s="37" t="s">
        <v>18</v>
      </c>
      <c r="X562" s="37" t="s">
        <v>166</v>
      </c>
      <c r="Y562" s="37" t="s">
        <v>166</v>
      </c>
      <c r="Z562" s="37" t="s">
        <v>310</v>
      </c>
      <c r="AA562" s="37">
        <v>9</v>
      </c>
      <c r="AB562" s="37">
        <v>9</v>
      </c>
      <c r="AC562" s="37" t="s">
        <v>296</v>
      </c>
      <c r="AD562" s="37" t="s">
        <v>1216</v>
      </c>
      <c r="AE562" s="37"/>
      <c r="AF562" s="37" t="s">
        <v>1219</v>
      </c>
    </row>
    <row r="563" spans="1:32" customFormat="1" x14ac:dyDescent="0.2">
      <c r="A563" s="37"/>
      <c r="B563" s="37"/>
      <c r="C563" s="37" t="s">
        <v>310</v>
      </c>
      <c r="D563" s="37">
        <v>9</v>
      </c>
      <c r="E563" s="37">
        <v>19</v>
      </c>
      <c r="F563" s="37">
        <v>2</v>
      </c>
      <c r="G563" s="37">
        <v>4.8</v>
      </c>
      <c r="H563" s="37" t="s">
        <v>181</v>
      </c>
      <c r="I563" s="37" t="s">
        <v>23</v>
      </c>
      <c r="J563" s="37" t="s">
        <v>17</v>
      </c>
      <c r="K563" s="37">
        <v>18</v>
      </c>
      <c r="L563" s="37">
        <v>54</v>
      </c>
      <c r="M563" s="37">
        <v>2</v>
      </c>
      <c r="N563" s="37">
        <v>74</v>
      </c>
      <c r="O563" s="37">
        <v>47</v>
      </c>
      <c r="P563" s="37">
        <v>17</v>
      </c>
      <c r="Q563" s="37">
        <v>138</v>
      </c>
      <c r="R563" s="37">
        <v>6804</v>
      </c>
      <c r="S563" s="37"/>
      <c r="T563" s="37" t="s">
        <v>181</v>
      </c>
      <c r="U563" s="37" t="s">
        <v>207</v>
      </c>
      <c r="V563" s="37">
        <v>60</v>
      </c>
      <c r="W563" s="37" t="s">
        <v>18</v>
      </c>
      <c r="X563" s="37" t="s">
        <v>190</v>
      </c>
      <c r="Y563" s="37">
        <v>1248</v>
      </c>
      <c r="Z563" s="37" t="s">
        <v>310</v>
      </c>
      <c r="AA563" s="37">
        <v>9</v>
      </c>
      <c r="AB563" s="37">
        <v>19</v>
      </c>
      <c r="AC563" s="37">
        <v>2</v>
      </c>
      <c r="AD563" s="37" t="s">
        <v>1220</v>
      </c>
      <c r="AE563" s="37"/>
      <c r="AF563" s="37" t="s">
        <v>1221</v>
      </c>
    </row>
    <row r="564" spans="1:32" customFormat="1" x14ac:dyDescent="0.2">
      <c r="A564" s="37"/>
      <c r="B564" s="37"/>
      <c r="C564" s="37"/>
      <c r="D564" s="37"/>
      <c r="E564" s="37"/>
      <c r="F564" s="37"/>
      <c r="G564" s="37" t="s">
        <v>166</v>
      </c>
      <c r="H564" s="37" t="s">
        <v>166</v>
      </c>
      <c r="I564" s="37" t="s">
        <v>166</v>
      </c>
      <c r="J564" s="37" t="s">
        <v>19</v>
      </c>
      <c r="K564" s="37">
        <v>0</v>
      </c>
      <c r="L564" s="37">
        <v>6</v>
      </c>
      <c r="M564" s="37">
        <v>11</v>
      </c>
      <c r="N564" s="37">
        <v>17</v>
      </c>
      <c r="O564" s="37">
        <v>24</v>
      </c>
      <c r="P564" s="37">
        <v>4</v>
      </c>
      <c r="Q564" s="37">
        <v>45</v>
      </c>
      <c r="R564" s="37">
        <v>602</v>
      </c>
      <c r="S564" s="37"/>
      <c r="T564" s="37" t="s">
        <v>166</v>
      </c>
      <c r="U564" s="37" t="s">
        <v>166</v>
      </c>
      <c r="V564" s="37" t="s">
        <v>166</v>
      </c>
      <c r="W564" s="37" t="s">
        <v>18</v>
      </c>
      <c r="X564" s="37" t="s">
        <v>166</v>
      </c>
      <c r="Y564" s="37" t="s">
        <v>166</v>
      </c>
      <c r="Z564" s="37" t="s">
        <v>310</v>
      </c>
      <c r="AA564" s="37">
        <v>9</v>
      </c>
      <c r="AB564" s="37">
        <v>19</v>
      </c>
      <c r="AC564" s="37">
        <v>2</v>
      </c>
      <c r="AD564" s="37" t="s">
        <v>1220</v>
      </c>
      <c r="AE564" s="37"/>
      <c r="AF564" s="37" t="s">
        <v>1222</v>
      </c>
    </row>
    <row r="565" spans="1:32" customFormat="1" x14ac:dyDescent="0.2">
      <c r="A565" s="37"/>
      <c r="B565" s="37"/>
      <c r="C565" s="37"/>
      <c r="D565" s="37"/>
      <c r="E565" s="37"/>
      <c r="F565" s="37"/>
      <c r="G565" s="37" t="s">
        <v>166</v>
      </c>
      <c r="H565" s="37" t="s">
        <v>166</v>
      </c>
      <c r="I565" s="37" t="s">
        <v>166</v>
      </c>
      <c r="J565" s="37" t="s">
        <v>18</v>
      </c>
      <c r="K565" s="37">
        <v>414</v>
      </c>
      <c r="L565" s="37">
        <v>98</v>
      </c>
      <c r="M565" s="37">
        <v>1</v>
      </c>
      <c r="N565" s="37">
        <v>513</v>
      </c>
      <c r="O565" s="37">
        <v>345</v>
      </c>
      <c r="P565" s="37">
        <v>140</v>
      </c>
      <c r="Q565" s="37">
        <v>998</v>
      </c>
      <c r="R565" s="37">
        <v>10693</v>
      </c>
      <c r="S565" s="37"/>
      <c r="T565" s="37" t="s">
        <v>166</v>
      </c>
      <c r="U565" s="37" t="s">
        <v>166</v>
      </c>
      <c r="V565" s="37" t="s">
        <v>166</v>
      </c>
      <c r="W565" s="37" t="s">
        <v>18</v>
      </c>
      <c r="X565" s="37" t="s">
        <v>166</v>
      </c>
      <c r="Y565" s="37" t="s">
        <v>166</v>
      </c>
      <c r="Z565" s="37" t="s">
        <v>310</v>
      </c>
      <c r="AA565" s="37">
        <v>9</v>
      </c>
      <c r="AB565" s="37">
        <v>19</v>
      </c>
      <c r="AC565" s="37">
        <v>2</v>
      </c>
      <c r="AD565" s="37" t="s">
        <v>1220</v>
      </c>
      <c r="AE565" s="37"/>
      <c r="AF565" s="37" t="s">
        <v>1223</v>
      </c>
    </row>
    <row r="566" spans="1:32" customFormat="1" x14ac:dyDescent="0.2">
      <c r="A566" s="37"/>
      <c r="B566" s="37"/>
      <c r="C566" s="37" t="s">
        <v>310</v>
      </c>
      <c r="D566" s="37">
        <v>15</v>
      </c>
      <c r="E566" s="37">
        <v>45</v>
      </c>
      <c r="F566" s="37" t="s">
        <v>296</v>
      </c>
      <c r="G566" s="37">
        <v>4</v>
      </c>
      <c r="H566" s="37" t="s">
        <v>181</v>
      </c>
      <c r="I566" s="37" t="s">
        <v>528</v>
      </c>
      <c r="J566" s="37" t="s">
        <v>17</v>
      </c>
      <c r="K566" s="37">
        <v>0</v>
      </c>
      <c r="L566" s="37">
        <v>0</v>
      </c>
      <c r="M566" s="37">
        <v>0</v>
      </c>
      <c r="N566" s="37">
        <v>0</v>
      </c>
      <c r="O566" s="37">
        <v>3</v>
      </c>
      <c r="P566" s="37">
        <v>1</v>
      </c>
      <c r="Q566" s="37">
        <v>4</v>
      </c>
      <c r="R566" s="37">
        <v>49</v>
      </c>
      <c r="S566" s="37"/>
      <c r="T566" s="37" t="s">
        <v>181</v>
      </c>
      <c r="U566" s="37" t="s">
        <v>207</v>
      </c>
      <c r="V566" s="37">
        <v>55</v>
      </c>
      <c r="W566" s="37" t="s">
        <v>18</v>
      </c>
      <c r="X566" s="37" t="s">
        <v>283</v>
      </c>
      <c r="Y566" s="37">
        <v>1000</v>
      </c>
      <c r="Z566" s="37" t="s">
        <v>310</v>
      </c>
      <c r="AA566" s="37">
        <v>15</v>
      </c>
      <c r="AB566" s="37">
        <v>45</v>
      </c>
      <c r="AC566" s="37" t="s">
        <v>296</v>
      </c>
      <c r="AD566" s="37" t="s">
        <v>1224</v>
      </c>
      <c r="AE566" s="37"/>
      <c r="AF566" s="37" t="s">
        <v>1225</v>
      </c>
    </row>
    <row r="567" spans="1:32" customFormat="1" x14ac:dyDescent="0.2">
      <c r="A567" s="37"/>
      <c r="B567" s="37"/>
      <c r="C567" s="37"/>
      <c r="D567" s="37"/>
      <c r="E567" s="37"/>
      <c r="F567" s="37"/>
      <c r="G567" s="37" t="s">
        <v>166</v>
      </c>
      <c r="H567" s="37" t="s">
        <v>166</v>
      </c>
      <c r="I567" s="37" t="s">
        <v>166</v>
      </c>
      <c r="J567" s="37" t="s">
        <v>19</v>
      </c>
      <c r="K567" s="37">
        <v>0</v>
      </c>
      <c r="L567" s="37">
        <v>0</v>
      </c>
      <c r="M567" s="37">
        <v>0</v>
      </c>
      <c r="N567" s="37">
        <v>0</v>
      </c>
      <c r="O567" s="37">
        <v>4</v>
      </c>
      <c r="P567" s="37">
        <v>0</v>
      </c>
      <c r="Q567" s="37">
        <v>4</v>
      </c>
      <c r="R567" s="37">
        <v>20</v>
      </c>
      <c r="S567" s="37"/>
      <c r="T567" s="37" t="s">
        <v>166</v>
      </c>
      <c r="U567" s="37" t="s">
        <v>166</v>
      </c>
      <c r="V567" s="37" t="s">
        <v>166</v>
      </c>
      <c r="W567" s="37" t="s">
        <v>18</v>
      </c>
      <c r="X567" s="37" t="s">
        <v>166</v>
      </c>
      <c r="Y567" s="37" t="s">
        <v>166</v>
      </c>
      <c r="Z567" s="37" t="s">
        <v>310</v>
      </c>
      <c r="AA567" s="37">
        <v>15</v>
      </c>
      <c r="AB567" s="37">
        <v>45</v>
      </c>
      <c r="AC567" s="37" t="s">
        <v>296</v>
      </c>
      <c r="AD567" s="37" t="s">
        <v>1224</v>
      </c>
      <c r="AE567" s="37"/>
      <c r="AF567" s="37" t="s">
        <v>1226</v>
      </c>
    </row>
    <row r="568" spans="1:32" customFormat="1" x14ac:dyDescent="0.2">
      <c r="A568" s="37"/>
      <c r="B568" s="37"/>
      <c r="C568" s="37"/>
      <c r="D568" s="37"/>
      <c r="E568" s="37"/>
      <c r="F568" s="37"/>
      <c r="G568" s="37" t="s">
        <v>166</v>
      </c>
      <c r="H568" s="37" t="s">
        <v>166</v>
      </c>
      <c r="I568" s="37" t="s">
        <v>166</v>
      </c>
      <c r="J568" s="37" t="s">
        <v>18</v>
      </c>
      <c r="K568" s="37">
        <v>0</v>
      </c>
      <c r="L568" s="37">
        <v>3</v>
      </c>
      <c r="M568" s="37">
        <v>0</v>
      </c>
      <c r="N568" s="37">
        <v>3</v>
      </c>
      <c r="O568" s="37">
        <v>29</v>
      </c>
      <c r="P568" s="37">
        <v>8</v>
      </c>
      <c r="Q568" s="37">
        <v>40</v>
      </c>
      <c r="R568" s="37">
        <v>69</v>
      </c>
      <c r="S568" s="37"/>
      <c r="T568" s="37" t="s">
        <v>166</v>
      </c>
      <c r="U568" s="37" t="s">
        <v>166</v>
      </c>
      <c r="V568" s="37" t="s">
        <v>166</v>
      </c>
      <c r="W568" s="37" t="s">
        <v>18</v>
      </c>
      <c r="X568" s="37" t="s">
        <v>166</v>
      </c>
      <c r="Y568" s="37" t="s">
        <v>166</v>
      </c>
      <c r="Z568" s="37" t="s">
        <v>310</v>
      </c>
      <c r="AA568" s="37">
        <v>15</v>
      </c>
      <c r="AB568" s="37">
        <v>45</v>
      </c>
      <c r="AC568" s="37" t="s">
        <v>296</v>
      </c>
      <c r="AD568" s="37" t="s">
        <v>1224</v>
      </c>
      <c r="AE568" s="37"/>
      <c r="AF568" s="37" t="s">
        <v>1227</v>
      </c>
    </row>
    <row r="569" spans="1:32" customFormat="1" x14ac:dyDescent="0.2">
      <c r="A569" s="37"/>
      <c r="B569" s="37"/>
      <c r="C569" s="37" t="s">
        <v>310</v>
      </c>
      <c r="D569" s="37">
        <v>16</v>
      </c>
      <c r="E569" s="37">
        <v>27</v>
      </c>
      <c r="F569" s="37" t="s">
        <v>296</v>
      </c>
      <c r="G569" s="37">
        <v>0.6</v>
      </c>
      <c r="H569" s="37" t="s">
        <v>181</v>
      </c>
      <c r="I569" s="37" t="s">
        <v>528</v>
      </c>
      <c r="J569" s="37" t="s">
        <v>17</v>
      </c>
      <c r="K569" s="37">
        <v>0</v>
      </c>
      <c r="L569" s="37">
        <v>0</v>
      </c>
      <c r="M569" s="37">
        <v>0</v>
      </c>
      <c r="N569" s="37">
        <v>0</v>
      </c>
      <c r="O569" s="37">
        <v>0</v>
      </c>
      <c r="P569" s="37">
        <v>0</v>
      </c>
      <c r="Q569" s="37">
        <v>0</v>
      </c>
      <c r="R569" s="37">
        <v>0</v>
      </c>
      <c r="S569" s="37"/>
      <c r="T569" s="37" t="s">
        <v>181</v>
      </c>
      <c r="U569" s="37" t="s">
        <v>211</v>
      </c>
      <c r="V569" s="37">
        <v>60</v>
      </c>
      <c r="W569" s="37" t="s">
        <v>18</v>
      </c>
      <c r="X569" s="37" t="s">
        <v>283</v>
      </c>
      <c r="Y569" s="37">
        <v>132</v>
      </c>
      <c r="Z569" s="37" t="s">
        <v>310</v>
      </c>
      <c r="AA569" s="37">
        <v>16</v>
      </c>
      <c r="AB569" s="37">
        <v>27</v>
      </c>
      <c r="AC569" s="37" t="s">
        <v>296</v>
      </c>
      <c r="AD569" s="37" t="s">
        <v>1228</v>
      </c>
      <c r="AE569" s="37"/>
      <c r="AF569" s="37" t="s">
        <v>1229</v>
      </c>
    </row>
    <row r="570" spans="1:32" customFormat="1" x14ac:dyDescent="0.2">
      <c r="A570" s="37"/>
      <c r="B570" s="37"/>
      <c r="C570" s="37"/>
      <c r="D570" s="37"/>
      <c r="E570" s="37"/>
      <c r="F570" s="37"/>
      <c r="G570" s="37" t="s">
        <v>166</v>
      </c>
      <c r="H570" s="37" t="s">
        <v>166</v>
      </c>
      <c r="I570" s="37" t="s">
        <v>166</v>
      </c>
      <c r="J570" s="37" t="s">
        <v>18</v>
      </c>
      <c r="K570" s="37">
        <v>0</v>
      </c>
      <c r="L570" s="37">
        <v>1</v>
      </c>
      <c r="M570" s="37">
        <v>0</v>
      </c>
      <c r="N570" s="37">
        <v>1</v>
      </c>
      <c r="O570" s="37">
        <v>9</v>
      </c>
      <c r="P570" s="37">
        <v>3</v>
      </c>
      <c r="Q570" s="37">
        <v>13</v>
      </c>
      <c r="R570" s="37">
        <v>14</v>
      </c>
      <c r="S570" s="37"/>
      <c r="T570" s="37" t="s">
        <v>166</v>
      </c>
      <c r="U570" s="37" t="s">
        <v>166</v>
      </c>
      <c r="V570" s="37" t="s">
        <v>166</v>
      </c>
      <c r="W570" s="37" t="s">
        <v>18</v>
      </c>
      <c r="X570" s="37" t="s">
        <v>166</v>
      </c>
      <c r="Y570" s="37" t="s">
        <v>166</v>
      </c>
      <c r="Z570" s="37" t="s">
        <v>310</v>
      </c>
      <c r="AA570" s="37">
        <v>16</v>
      </c>
      <c r="AB570" s="37">
        <v>27</v>
      </c>
      <c r="AC570" s="37" t="s">
        <v>296</v>
      </c>
      <c r="AD570" s="37" t="s">
        <v>1228</v>
      </c>
      <c r="AE570" s="37"/>
      <c r="AF570" s="37" t="s">
        <v>1230</v>
      </c>
    </row>
    <row r="571" spans="1:32" customFormat="1" x14ac:dyDescent="0.2">
      <c r="A571" s="37"/>
      <c r="B571" s="37"/>
      <c r="C571" s="37" t="s">
        <v>310</v>
      </c>
      <c r="D571" s="37">
        <v>20</v>
      </c>
      <c r="E571" s="37">
        <v>5</v>
      </c>
      <c r="F571" s="37" t="s">
        <v>296</v>
      </c>
      <c r="G571" s="37">
        <v>3</v>
      </c>
      <c r="H571" s="37" t="s">
        <v>181</v>
      </c>
      <c r="I571" s="37" t="s">
        <v>23</v>
      </c>
      <c r="J571" s="37" t="s">
        <v>17</v>
      </c>
      <c r="K571" s="37">
        <v>7</v>
      </c>
      <c r="L571" s="37">
        <v>24</v>
      </c>
      <c r="M571" s="37">
        <v>4</v>
      </c>
      <c r="N571" s="37">
        <v>35</v>
      </c>
      <c r="O571" s="37">
        <v>15</v>
      </c>
      <c r="P571" s="37">
        <v>7</v>
      </c>
      <c r="Q571" s="37">
        <v>57</v>
      </c>
      <c r="R571" s="37">
        <v>2972</v>
      </c>
      <c r="S571" s="37"/>
      <c r="T571" s="37" t="s">
        <v>181</v>
      </c>
      <c r="U571" s="37" t="s">
        <v>207</v>
      </c>
      <c r="V571" s="37">
        <v>50</v>
      </c>
      <c r="W571" s="37" t="s">
        <v>18</v>
      </c>
      <c r="X571" s="37" t="s">
        <v>190</v>
      </c>
      <c r="Y571" s="37">
        <v>690</v>
      </c>
      <c r="Z571" s="37" t="s">
        <v>310</v>
      </c>
      <c r="AA571" s="37">
        <v>20</v>
      </c>
      <c r="AB571" s="37">
        <v>5</v>
      </c>
      <c r="AC571" s="37" t="s">
        <v>296</v>
      </c>
      <c r="AD571" s="37" t="s">
        <v>1231</v>
      </c>
      <c r="AE571" s="37"/>
      <c r="AF571" s="37" t="s">
        <v>1232</v>
      </c>
    </row>
    <row r="572" spans="1:32" customFormat="1" x14ac:dyDescent="0.2">
      <c r="A572" s="37"/>
      <c r="B572" s="37"/>
      <c r="C572" s="37"/>
      <c r="D572" s="37"/>
      <c r="E572" s="37"/>
      <c r="F572" s="37"/>
      <c r="G572" s="37" t="s">
        <v>166</v>
      </c>
      <c r="H572" s="37" t="s">
        <v>166</v>
      </c>
      <c r="I572" s="37" t="s">
        <v>166</v>
      </c>
      <c r="J572" s="37" t="s">
        <v>19</v>
      </c>
      <c r="K572" s="37">
        <v>0</v>
      </c>
      <c r="L572" s="37">
        <v>3</v>
      </c>
      <c r="M572" s="37">
        <v>3</v>
      </c>
      <c r="N572" s="37">
        <v>6</v>
      </c>
      <c r="O572" s="37">
        <v>9</v>
      </c>
      <c r="P572" s="37">
        <v>1</v>
      </c>
      <c r="Q572" s="37">
        <v>16</v>
      </c>
      <c r="R572" s="37">
        <v>230</v>
      </c>
      <c r="S572" s="37"/>
      <c r="T572" s="37" t="s">
        <v>166</v>
      </c>
      <c r="U572" s="37" t="s">
        <v>166</v>
      </c>
      <c r="V572" s="37" t="s">
        <v>166</v>
      </c>
      <c r="W572" s="37" t="s">
        <v>18</v>
      </c>
      <c r="X572" s="37" t="s">
        <v>166</v>
      </c>
      <c r="Y572" s="37" t="s">
        <v>166</v>
      </c>
      <c r="Z572" s="37" t="s">
        <v>310</v>
      </c>
      <c r="AA572" s="37">
        <v>20</v>
      </c>
      <c r="AB572" s="37">
        <v>5</v>
      </c>
      <c r="AC572" s="37" t="s">
        <v>296</v>
      </c>
      <c r="AD572" s="37" t="s">
        <v>1231</v>
      </c>
      <c r="AE572" s="37"/>
      <c r="AF572" s="37" t="s">
        <v>1233</v>
      </c>
    </row>
    <row r="573" spans="1:32" customFormat="1" x14ac:dyDescent="0.2">
      <c r="A573" s="37"/>
      <c r="B573" s="37"/>
      <c r="C573" s="37"/>
      <c r="D573" s="37"/>
      <c r="E573" s="37"/>
      <c r="F573" s="37"/>
      <c r="G573" s="37" t="s">
        <v>166</v>
      </c>
      <c r="H573" s="37" t="s">
        <v>166</v>
      </c>
      <c r="I573" s="37" t="s">
        <v>166</v>
      </c>
      <c r="J573" s="37" t="s">
        <v>18</v>
      </c>
      <c r="K573" s="37">
        <v>209</v>
      </c>
      <c r="L573" s="37">
        <v>68</v>
      </c>
      <c r="M573" s="37">
        <v>2</v>
      </c>
      <c r="N573" s="37">
        <v>279</v>
      </c>
      <c r="O573" s="37">
        <v>168</v>
      </c>
      <c r="P573" s="37">
        <v>70</v>
      </c>
      <c r="Q573" s="37">
        <v>517</v>
      </c>
      <c r="R573" s="37">
        <v>5710</v>
      </c>
      <c r="S573" s="37"/>
      <c r="T573" s="37" t="s">
        <v>166</v>
      </c>
      <c r="U573" s="37" t="s">
        <v>166</v>
      </c>
      <c r="V573" s="37" t="s">
        <v>166</v>
      </c>
      <c r="W573" s="37" t="s">
        <v>18</v>
      </c>
      <c r="X573" s="37" t="s">
        <v>166</v>
      </c>
      <c r="Y573" s="37" t="s">
        <v>166</v>
      </c>
      <c r="Z573" s="37" t="s">
        <v>310</v>
      </c>
      <c r="AA573" s="37">
        <v>20</v>
      </c>
      <c r="AB573" s="37">
        <v>5</v>
      </c>
      <c r="AC573" s="37" t="s">
        <v>296</v>
      </c>
      <c r="AD573" s="37" t="s">
        <v>1231</v>
      </c>
      <c r="AE573" s="37"/>
      <c r="AF573" s="37" t="s">
        <v>1234</v>
      </c>
    </row>
    <row r="574" spans="1:32" customFormat="1" x14ac:dyDescent="0.2">
      <c r="A574" s="37"/>
      <c r="B574" s="37"/>
      <c r="C574" s="37" t="s">
        <v>310</v>
      </c>
      <c r="D574" s="37">
        <v>24</v>
      </c>
      <c r="E574" s="37">
        <v>1</v>
      </c>
      <c r="F574" s="37" t="s">
        <v>296</v>
      </c>
      <c r="G574" s="37">
        <v>6</v>
      </c>
      <c r="H574" s="37" t="s">
        <v>181</v>
      </c>
      <c r="I574" s="37" t="s">
        <v>23</v>
      </c>
      <c r="J574" s="37" t="s">
        <v>17</v>
      </c>
      <c r="K574" s="37">
        <v>8</v>
      </c>
      <c r="L574" s="37">
        <v>34</v>
      </c>
      <c r="M574" s="37">
        <v>6</v>
      </c>
      <c r="N574" s="37">
        <v>48</v>
      </c>
      <c r="O574" s="37">
        <v>48</v>
      </c>
      <c r="P574" s="37">
        <v>13</v>
      </c>
      <c r="Q574" s="37">
        <v>109</v>
      </c>
      <c r="R574" s="37">
        <v>4272</v>
      </c>
      <c r="S574" s="37"/>
      <c r="T574" s="37" t="s">
        <v>181</v>
      </c>
      <c r="U574" s="37" t="s">
        <v>189</v>
      </c>
      <c r="V574" s="37">
        <v>45</v>
      </c>
      <c r="W574" s="37" t="s">
        <v>18</v>
      </c>
      <c r="X574" s="37" t="s">
        <v>190</v>
      </c>
      <c r="Y574" s="37">
        <v>1560</v>
      </c>
      <c r="Z574" s="37" t="s">
        <v>310</v>
      </c>
      <c r="AA574" s="37">
        <v>24</v>
      </c>
      <c r="AB574" s="37">
        <v>1</v>
      </c>
      <c r="AC574" s="37" t="s">
        <v>296</v>
      </c>
      <c r="AD574" s="37" t="s">
        <v>1235</v>
      </c>
      <c r="AE574" s="37"/>
      <c r="AF574" s="37" t="s">
        <v>1236</v>
      </c>
    </row>
    <row r="575" spans="1:32" customFormat="1" x14ac:dyDescent="0.2">
      <c r="A575" s="37"/>
      <c r="B575" s="37"/>
      <c r="C575" s="37"/>
      <c r="D575" s="37"/>
      <c r="E575" s="37"/>
      <c r="F575" s="37"/>
      <c r="G575" s="37" t="s">
        <v>166</v>
      </c>
      <c r="H575" s="37" t="s">
        <v>166</v>
      </c>
      <c r="I575" s="37" t="s">
        <v>166</v>
      </c>
      <c r="J575" s="37" t="s">
        <v>18</v>
      </c>
      <c r="K575" s="37">
        <v>499</v>
      </c>
      <c r="L575" s="37">
        <v>186</v>
      </c>
      <c r="M575" s="37">
        <v>4</v>
      </c>
      <c r="N575" s="37">
        <v>689</v>
      </c>
      <c r="O575" s="37">
        <v>508</v>
      </c>
      <c r="P575" s="37">
        <v>199</v>
      </c>
      <c r="Q575" s="37">
        <v>1396</v>
      </c>
      <c r="R575" s="37">
        <v>14050</v>
      </c>
      <c r="S575" s="37"/>
      <c r="T575" s="37" t="s">
        <v>166</v>
      </c>
      <c r="U575" s="37" t="s">
        <v>166</v>
      </c>
      <c r="V575" s="37" t="s">
        <v>166</v>
      </c>
      <c r="W575" s="37" t="s">
        <v>18</v>
      </c>
      <c r="X575" s="37" t="s">
        <v>166</v>
      </c>
      <c r="Y575" s="37" t="s">
        <v>166</v>
      </c>
      <c r="Z575" s="37" t="s">
        <v>310</v>
      </c>
      <c r="AA575" s="37">
        <v>24</v>
      </c>
      <c r="AB575" s="37">
        <v>1</v>
      </c>
      <c r="AC575" s="37" t="s">
        <v>296</v>
      </c>
      <c r="AD575" s="37" t="s">
        <v>1235</v>
      </c>
      <c r="AE575" s="37"/>
      <c r="AF575" s="37" t="s">
        <v>1237</v>
      </c>
    </row>
    <row r="576" spans="1:32" customFormat="1" x14ac:dyDescent="0.2">
      <c r="A576" s="37"/>
      <c r="B576" s="37"/>
      <c r="C576" s="37" t="s">
        <v>310</v>
      </c>
      <c r="D576" s="37">
        <v>24</v>
      </c>
      <c r="E576" s="37">
        <v>4</v>
      </c>
      <c r="F576" s="37">
        <v>2</v>
      </c>
      <c r="G576" s="37">
        <v>5</v>
      </c>
      <c r="H576" s="37" t="s">
        <v>181</v>
      </c>
      <c r="I576" s="37" t="s">
        <v>23</v>
      </c>
      <c r="J576" s="37" t="s">
        <v>17</v>
      </c>
      <c r="K576" s="37">
        <v>0</v>
      </c>
      <c r="L576" s="37">
        <v>0</v>
      </c>
      <c r="M576" s="37">
        <v>0</v>
      </c>
      <c r="N576" s="37">
        <v>0</v>
      </c>
      <c r="O576" s="37">
        <v>0</v>
      </c>
      <c r="P576" s="37">
        <v>0</v>
      </c>
      <c r="Q576" s="37">
        <v>0</v>
      </c>
      <c r="R576" s="37">
        <v>0</v>
      </c>
      <c r="S576" s="37"/>
      <c r="T576" s="37" t="s">
        <v>181</v>
      </c>
      <c r="U576" s="37" t="s">
        <v>189</v>
      </c>
      <c r="V576" s="37">
        <v>55</v>
      </c>
      <c r="W576" s="37" t="s">
        <v>18</v>
      </c>
      <c r="X576" s="37" t="s">
        <v>190</v>
      </c>
      <c r="Y576" s="37">
        <v>1300</v>
      </c>
      <c r="Z576" s="37" t="s">
        <v>310</v>
      </c>
      <c r="AA576" s="37">
        <v>24</v>
      </c>
      <c r="AB576" s="37">
        <v>4</v>
      </c>
      <c r="AC576" s="37">
        <v>2</v>
      </c>
      <c r="AD576" s="37" t="s">
        <v>1238</v>
      </c>
      <c r="AE576" s="37"/>
      <c r="AF576" s="37" t="s">
        <v>1239</v>
      </c>
    </row>
    <row r="577" spans="1:32" customFormat="1" x14ac:dyDescent="0.2">
      <c r="A577" s="37"/>
      <c r="B577" s="37"/>
      <c r="C577" s="37"/>
      <c r="D577" s="37"/>
      <c r="E577" s="37"/>
      <c r="F577" s="37"/>
      <c r="G577" s="37" t="s">
        <v>166</v>
      </c>
      <c r="H577" s="37" t="s">
        <v>166</v>
      </c>
      <c r="I577" s="37" t="s">
        <v>166</v>
      </c>
      <c r="J577" s="37" t="s">
        <v>18</v>
      </c>
      <c r="K577" s="37">
        <v>418</v>
      </c>
      <c r="L577" s="37">
        <v>136</v>
      </c>
      <c r="M577" s="37">
        <v>5</v>
      </c>
      <c r="N577" s="37">
        <v>559</v>
      </c>
      <c r="O577" s="37">
        <v>373</v>
      </c>
      <c r="P577" s="37">
        <v>150</v>
      </c>
      <c r="Q577" s="37">
        <v>1082</v>
      </c>
      <c r="R577" s="37">
        <v>11436</v>
      </c>
      <c r="S577" s="37"/>
      <c r="T577" s="37" t="s">
        <v>166</v>
      </c>
      <c r="U577" s="37" t="s">
        <v>166</v>
      </c>
      <c r="V577" s="37" t="s">
        <v>166</v>
      </c>
      <c r="W577" s="37" t="s">
        <v>18</v>
      </c>
      <c r="X577" s="37" t="s">
        <v>166</v>
      </c>
      <c r="Y577" s="37" t="s">
        <v>166</v>
      </c>
      <c r="Z577" s="37" t="s">
        <v>310</v>
      </c>
      <c r="AA577" s="37">
        <v>24</v>
      </c>
      <c r="AB577" s="37">
        <v>4</v>
      </c>
      <c r="AC577" s="37">
        <v>2</v>
      </c>
      <c r="AD577" s="37" t="s">
        <v>1238</v>
      </c>
      <c r="AE577" s="37"/>
      <c r="AF577" s="37" t="s">
        <v>1240</v>
      </c>
    </row>
    <row r="578" spans="1:32" customFormat="1" x14ac:dyDescent="0.2">
      <c r="A578" s="37"/>
      <c r="B578" s="37"/>
      <c r="C578" s="37" t="s">
        <v>310</v>
      </c>
      <c r="D578" s="37">
        <v>25</v>
      </c>
      <c r="E578" s="37">
        <v>2</v>
      </c>
      <c r="F578" s="37" t="s">
        <v>296</v>
      </c>
      <c r="G578" s="37">
        <v>7.5</v>
      </c>
      <c r="H578" s="37" t="s">
        <v>209</v>
      </c>
      <c r="I578" s="37" t="s">
        <v>23</v>
      </c>
      <c r="J578" s="37" t="s">
        <v>17</v>
      </c>
      <c r="K578" s="37">
        <v>34</v>
      </c>
      <c r="L578" s="37">
        <v>98</v>
      </c>
      <c r="M578" s="37">
        <v>10</v>
      </c>
      <c r="N578" s="37">
        <v>142</v>
      </c>
      <c r="O578" s="37">
        <v>77</v>
      </c>
      <c r="P578" s="37">
        <v>31</v>
      </c>
      <c r="Q578" s="37">
        <v>250</v>
      </c>
      <c r="R578" s="37">
        <v>12632</v>
      </c>
      <c r="S578" s="37"/>
      <c r="T578" s="37" t="s">
        <v>181</v>
      </c>
      <c r="U578" s="37" t="s">
        <v>189</v>
      </c>
      <c r="V578" s="37">
        <v>55</v>
      </c>
      <c r="W578" s="37" t="s">
        <v>18</v>
      </c>
      <c r="X578" s="37" t="s">
        <v>190</v>
      </c>
      <c r="Y578" s="37">
        <v>1800</v>
      </c>
      <c r="Z578" s="37" t="s">
        <v>310</v>
      </c>
      <c r="AA578" s="37">
        <v>25</v>
      </c>
      <c r="AB578" s="37">
        <v>2</v>
      </c>
      <c r="AC578" s="37" t="s">
        <v>296</v>
      </c>
      <c r="AD578" s="37" t="s">
        <v>1241</v>
      </c>
      <c r="AE578" s="37"/>
      <c r="AF578" s="37" t="s">
        <v>1242</v>
      </c>
    </row>
    <row r="579" spans="1:32" customFormat="1" x14ac:dyDescent="0.2">
      <c r="A579" s="37"/>
      <c r="B579" s="37"/>
      <c r="C579" s="37"/>
      <c r="D579" s="37"/>
      <c r="E579" s="37"/>
      <c r="F579" s="37"/>
      <c r="G579" s="37" t="s">
        <v>166</v>
      </c>
      <c r="H579" s="37" t="s">
        <v>166</v>
      </c>
      <c r="I579" s="37" t="s">
        <v>166</v>
      </c>
      <c r="J579" s="37" t="s">
        <v>18</v>
      </c>
      <c r="K579" s="37">
        <v>432</v>
      </c>
      <c r="L579" s="37">
        <v>210</v>
      </c>
      <c r="M579" s="37">
        <v>10</v>
      </c>
      <c r="N579" s="37">
        <v>652</v>
      </c>
      <c r="O579" s="37">
        <v>627</v>
      </c>
      <c r="P579" s="37">
        <v>229</v>
      </c>
      <c r="Q579" s="37">
        <v>1508</v>
      </c>
      <c r="R579" s="37">
        <v>13126</v>
      </c>
      <c r="S579" s="37"/>
      <c r="T579" s="37" t="s">
        <v>166</v>
      </c>
      <c r="U579" s="37" t="s">
        <v>166</v>
      </c>
      <c r="V579" s="37" t="s">
        <v>166</v>
      </c>
      <c r="W579" s="37" t="s">
        <v>18</v>
      </c>
      <c r="X579" s="37" t="s">
        <v>166</v>
      </c>
      <c r="Y579" s="37" t="s">
        <v>166</v>
      </c>
      <c r="Z579" s="37" t="s">
        <v>310</v>
      </c>
      <c r="AA579" s="37">
        <v>25</v>
      </c>
      <c r="AB579" s="37">
        <v>2</v>
      </c>
      <c r="AC579" s="37" t="s">
        <v>296</v>
      </c>
      <c r="AD579" s="37" t="s">
        <v>1241</v>
      </c>
      <c r="AE579" s="37"/>
      <c r="AF579" s="37" t="s">
        <v>1243</v>
      </c>
    </row>
    <row r="580" spans="1:32" customFormat="1" x14ac:dyDescent="0.2">
      <c r="A580" s="37"/>
      <c r="B580" s="37"/>
      <c r="C580" s="37" t="s">
        <v>310</v>
      </c>
      <c r="D580" s="37">
        <v>25</v>
      </c>
      <c r="E580" s="37">
        <v>4</v>
      </c>
      <c r="F580" s="37">
        <v>2</v>
      </c>
      <c r="G580" s="37">
        <v>10</v>
      </c>
      <c r="H580" s="37" t="s">
        <v>209</v>
      </c>
      <c r="I580" s="37" t="s">
        <v>23</v>
      </c>
      <c r="J580" s="37" t="s">
        <v>17</v>
      </c>
      <c r="K580" s="37">
        <v>43</v>
      </c>
      <c r="L580" s="37">
        <v>140</v>
      </c>
      <c r="M580" s="37">
        <v>18</v>
      </c>
      <c r="N580" s="37">
        <v>201</v>
      </c>
      <c r="O580" s="37">
        <v>93</v>
      </c>
      <c r="P580" s="37">
        <v>41</v>
      </c>
      <c r="Q580" s="37">
        <v>335</v>
      </c>
      <c r="R580" s="37">
        <v>17454</v>
      </c>
      <c r="S580" s="37"/>
      <c r="T580" s="37" t="s">
        <v>181</v>
      </c>
      <c r="U580" s="37" t="s">
        <v>226</v>
      </c>
      <c r="V580" s="37">
        <v>45</v>
      </c>
      <c r="W580" s="37" t="s">
        <v>18</v>
      </c>
      <c r="X580" s="37" t="s">
        <v>190</v>
      </c>
      <c r="Y580" s="37">
        <v>2300</v>
      </c>
      <c r="Z580" s="37" t="s">
        <v>310</v>
      </c>
      <c r="AA580" s="37">
        <v>25</v>
      </c>
      <c r="AB580" s="37">
        <v>4</v>
      </c>
      <c r="AC580" s="37">
        <v>2</v>
      </c>
      <c r="AD580" s="37" t="s">
        <v>1244</v>
      </c>
      <c r="AE580" s="37"/>
      <c r="AF580" s="37" t="s">
        <v>1245</v>
      </c>
    </row>
    <row r="581" spans="1:32" customFormat="1" x14ac:dyDescent="0.2">
      <c r="A581" s="37"/>
      <c r="B581" s="37"/>
      <c r="C581" s="37"/>
      <c r="D581" s="37"/>
      <c r="E581" s="37"/>
      <c r="F581" s="37"/>
      <c r="G581" s="37" t="s">
        <v>166</v>
      </c>
      <c r="H581" s="37" t="s">
        <v>166</v>
      </c>
      <c r="I581" s="37" t="s">
        <v>166</v>
      </c>
      <c r="J581" s="37" t="s">
        <v>18</v>
      </c>
      <c r="K581" s="37">
        <v>568</v>
      </c>
      <c r="L581" s="37">
        <v>283</v>
      </c>
      <c r="M581" s="37">
        <v>15</v>
      </c>
      <c r="N581" s="37">
        <v>866</v>
      </c>
      <c r="O581" s="37">
        <v>722</v>
      </c>
      <c r="P581" s="37">
        <v>272</v>
      </c>
      <c r="Q581" s="37">
        <v>1860</v>
      </c>
      <c r="R581" s="37">
        <v>17335</v>
      </c>
      <c r="S581" s="37"/>
      <c r="T581" s="37" t="s">
        <v>166</v>
      </c>
      <c r="U581" s="37" t="s">
        <v>166</v>
      </c>
      <c r="V581" s="37" t="s">
        <v>166</v>
      </c>
      <c r="W581" s="37" t="s">
        <v>18</v>
      </c>
      <c r="X581" s="37" t="s">
        <v>166</v>
      </c>
      <c r="Y581" s="37" t="s">
        <v>166</v>
      </c>
      <c r="Z581" s="37" t="s">
        <v>310</v>
      </c>
      <c r="AA581" s="37">
        <v>25</v>
      </c>
      <c r="AB581" s="37">
        <v>4</v>
      </c>
      <c r="AC581" s="37">
        <v>2</v>
      </c>
      <c r="AD581" s="37" t="s">
        <v>1244</v>
      </c>
      <c r="AE581" s="37"/>
      <c r="AF581" s="37" t="s">
        <v>1246</v>
      </c>
    </row>
    <row r="582" spans="1:32" customFormat="1" x14ac:dyDescent="0.2">
      <c r="A582" s="37"/>
      <c r="B582" s="37"/>
      <c r="C582" s="37" t="s">
        <v>310</v>
      </c>
      <c r="D582" s="37">
        <v>26</v>
      </c>
      <c r="E582" s="37">
        <v>6</v>
      </c>
      <c r="F582" s="37" t="s">
        <v>296</v>
      </c>
      <c r="G582" s="37">
        <v>10</v>
      </c>
      <c r="H582" s="37" t="s">
        <v>209</v>
      </c>
      <c r="I582" s="37" t="s">
        <v>23</v>
      </c>
      <c r="J582" s="37" t="s">
        <v>17</v>
      </c>
      <c r="K582" s="37">
        <v>23</v>
      </c>
      <c r="L582" s="37">
        <v>67</v>
      </c>
      <c r="M582" s="37">
        <v>12</v>
      </c>
      <c r="N582" s="37">
        <v>102</v>
      </c>
      <c r="O582" s="37">
        <v>73</v>
      </c>
      <c r="P582" s="37">
        <v>24</v>
      </c>
      <c r="Q582" s="37">
        <v>199</v>
      </c>
      <c r="R582" s="37">
        <v>8880</v>
      </c>
      <c r="S582" s="37"/>
      <c r="T582" s="37" t="s">
        <v>181</v>
      </c>
      <c r="U582" s="37" t="s">
        <v>189</v>
      </c>
      <c r="V582" s="37">
        <v>50</v>
      </c>
      <c r="W582" s="37" t="s">
        <v>18</v>
      </c>
      <c r="X582" s="37" t="s">
        <v>190</v>
      </c>
      <c r="Y582" s="37">
        <v>2300</v>
      </c>
      <c r="Z582" s="37" t="s">
        <v>310</v>
      </c>
      <c r="AA582" s="37">
        <v>26</v>
      </c>
      <c r="AB582" s="37">
        <v>6</v>
      </c>
      <c r="AC582" s="37" t="s">
        <v>296</v>
      </c>
      <c r="AD582" s="37" t="s">
        <v>1247</v>
      </c>
      <c r="AE582" s="37"/>
      <c r="AF582" s="37" t="s">
        <v>1248</v>
      </c>
    </row>
    <row r="583" spans="1:32" customFormat="1" x14ac:dyDescent="0.2">
      <c r="A583" s="37"/>
      <c r="B583" s="37"/>
      <c r="C583" s="37"/>
      <c r="D583" s="37"/>
      <c r="E583" s="37"/>
      <c r="F583" s="37"/>
      <c r="G583" s="37" t="s">
        <v>166</v>
      </c>
      <c r="H583" s="37" t="s">
        <v>166</v>
      </c>
      <c r="I583" s="37" t="s">
        <v>166</v>
      </c>
      <c r="J583" s="37" t="s">
        <v>18</v>
      </c>
      <c r="K583" s="37">
        <v>689</v>
      </c>
      <c r="L583" s="37">
        <v>256</v>
      </c>
      <c r="M583" s="37">
        <v>7</v>
      </c>
      <c r="N583" s="37">
        <v>952</v>
      </c>
      <c r="O583" s="37">
        <v>807</v>
      </c>
      <c r="P583" s="37">
        <v>303</v>
      </c>
      <c r="Q583" s="37">
        <v>2062</v>
      </c>
      <c r="R583" s="37">
        <v>19454</v>
      </c>
      <c r="S583" s="37"/>
      <c r="T583" s="37" t="s">
        <v>166</v>
      </c>
      <c r="U583" s="37" t="s">
        <v>166</v>
      </c>
      <c r="V583" s="37" t="s">
        <v>166</v>
      </c>
      <c r="W583" s="37" t="s">
        <v>18</v>
      </c>
      <c r="X583" s="37" t="s">
        <v>166</v>
      </c>
      <c r="Y583" s="37" t="s">
        <v>166</v>
      </c>
      <c r="Z583" s="37" t="s">
        <v>310</v>
      </c>
      <c r="AA583" s="37">
        <v>26</v>
      </c>
      <c r="AB583" s="37">
        <v>6</v>
      </c>
      <c r="AC583" s="37" t="s">
        <v>296</v>
      </c>
      <c r="AD583" s="37" t="s">
        <v>1247</v>
      </c>
      <c r="AE583" s="37"/>
      <c r="AF583" s="37" t="s">
        <v>1249</v>
      </c>
    </row>
    <row r="584" spans="1:32" customFormat="1" x14ac:dyDescent="0.2">
      <c r="A584" s="37"/>
      <c r="B584" s="37"/>
      <c r="C584" s="37" t="s">
        <v>310</v>
      </c>
      <c r="D584" s="37">
        <v>27</v>
      </c>
      <c r="E584" s="37">
        <v>9</v>
      </c>
      <c r="F584" s="37" t="s">
        <v>296</v>
      </c>
      <c r="G584" s="37">
        <v>5</v>
      </c>
      <c r="H584" s="37" t="s">
        <v>181</v>
      </c>
      <c r="I584" s="37" t="s">
        <v>23</v>
      </c>
      <c r="J584" s="37" t="s">
        <v>17</v>
      </c>
      <c r="K584" s="37">
        <v>11</v>
      </c>
      <c r="L584" s="37">
        <v>32</v>
      </c>
      <c r="M584" s="37">
        <v>8</v>
      </c>
      <c r="N584" s="37">
        <v>51</v>
      </c>
      <c r="O584" s="37">
        <v>54</v>
      </c>
      <c r="P584" s="37">
        <v>14</v>
      </c>
      <c r="Q584" s="37">
        <v>119</v>
      </c>
      <c r="R584" s="37">
        <v>4505</v>
      </c>
      <c r="S584" s="37"/>
      <c r="T584" s="37" t="s">
        <v>181</v>
      </c>
      <c r="U584" s="37" t="s">
        <v>195</v>
      </c>
      <c r="V584" s="37">
        <v>50</v>
      </c>
      <c r="W584" s="37" t="s">
        <v>18</v>
      </c>
      <c r="X584" s="37" t="s">
        <v>190</v>
      </c>
      <c r="Y584" s="37">
        <v>1100</v>
      </c>
      <c r="Z584" s="37" t="s">
        <v>310</v>
      </c>
      <c r="AA584" s="37">
        <v>27</v>
      </c>
      <c r="AB584" s="37">
        <v>9</v>
      </c>
      <c r="AC584" s="37" t="s">
        <v>296</v>
      </c>
      <c r="AD584" s="37" t="s">
        <v>1250</v>
      </c>
      <c r="AE584" s="37"/>
      <c r="AF584" s="37" t="s">
        <v>1251</v>
      </c>
    </row>
    <row r="585" spans="1:32" customFormat="1" x14ac:dyDescent="0.2">
      <c r="A585" s="37"/>
      <c r="B585" s="37"/>
      <c r="C585" s="37"/>
      <c r="D585" s="37"/>
      <c r="E585" s="37"/>
      <c r="F585" s="37"/>
      <c r="G585" s="37" t="s">
        <v>166</v>
      </c>
      <c r="H585" s="37" t="s">
        <v>166</v>
      </c>
      <c r="I585" s="37" t="s">
        <v>166</v>
      </c>
      <c r="J585" s="37" t="s">
        <v>19</v>
      </c>
      <c r="K585" s="37">
        <v>0</v>
      </c>
      <c r="L585" s="37">
        <v>5</v>
      </c>
      <c r="M585" s="37">
        <v>11</v>
      </c>
      <c r="N585" s="37">
        <v>16</v>
      </c>
      <c r="O585" s="37">
        <v>32</v>
      </c>
      <c r="P585" s="37">
        <v>4</v>
      </c>
      <c r="Q585" s="37">
        <v>52</v>
      </c>
      <c r="R585" s="37">
        <v>568</v>
      </c>
      <c r="S585" s="37"/>
      <c r="T585" s="37" t="s">
        <v>166</v>
      </c>
      <c r="U585" s="37" t="s">
        <v>166</v>
      </c>
      <c r="V585" s="37" t="s">
        <v>166</v>
      </c>
      <c r="W585" s="37" t="s">
        <v>18</v>
      </c>
      <c r="X585" s="37" t="s">
        <v>166</v>
      </c>
      <c r="Y585" s="37" t="s">
        <v>166</v>
      </c>
      <c r="Z585" s="37" t="s">
        <v>310</v>
      </c>
      <c r="AA585" s="37">
        <v>27</v>
      </c>
      <c r="AB585" s="37">
        <v>9</v>
      </c>
      <c r="AC585" s="37" t="s">
        <v>296</v>
      </c>
      <c r="AD585" s="37" t="s">
        <v>1250</v>
      </c>
      <c r="AE585" s="37"/>
      <c r="AF585" s="37" t="s">
        <v>1252</v>
      </c>
    </row>
    <row r="586" spans="1:32" customFormat="1" x14ac:dyDescent="0.2">
      <c r="A586" s="37"/>
      <c r="B586" s="37"/>
      <c r="C586" s="37"/>
      <c r="D586" s="37"/>
      <c r="E586" s="37"/>
      <c r="F586" s="37"/>
      <c r="G586" s="37" t="s">
        <v>166</v>
      </c>
      <c r="H586" s="37" t="s">
        <v>166</v>
      </c>
      <c r="I586" s="37" t="s">
        <v>166</v>
      </c>
      <c r="J586" s="37" t="s">
        <v>18</v>
      </c>
      <c r="K586" s="37">
        <v>249</v>
      </c>
      <c r="L586" s="37">
        <v>124</v>
      </c>
      <c r="M586" s="37">
        <v>7</v>
      </c>
      <c r="N586" s="37">
        <v>380</v>
      </c>
      <c r="O586" s="37">
        <v>308</v>
      </c>
      <c r="P586" s="37">
        <v>118</v>
      </c>
      <c r="Q586" s="37">
        <v>806</v>
      </c>
      <c r="R586" s="37">
        <v>7589</v>
      </c>
      <c r="S586" s="37"/>
      <c r="T586" s="37" t="s">
        <v>166</v>
      </c>
      <c r="U586" s="37" t="s">
        <v>166</v>
      </c>
      <c r="V586" s="37" t="s">
        <v>166</v>
      </c>
      <c r="W586" s="37" t="s">
        <v>18</v>
      </c>
      <c r="X586" s="37" t="s">
        <v>166</v>
      </c>
      <c r="Y586" s="37" t="s">
        <v>166</v>
      </c>
      <c r="Z586" s="37" t="s">
        <v>310</v>
      </c>
      <c r="AA586" s="37">
        <v>27</v>
      </c>
      <c r="AB586" s="37">
        <v>9</v>
      </c>
      <c r="AC586" s="37" t="s">
        <v>296</v>
      </c>
      <c r="AD586" s="37" t="s">
        <v>1250</v>
      </c>
      <c r="AE586" s="37"/>
      <c r="AF586" s="37" t="s">
        <v>1253</v>
      </c>
    </row>
    <row r="587" spans="1:32" customFormat="1" x14ac:dyDescent="0.2">
      <c r="A587" s="37"/>
      <c r="B587" s="37"/>
      <c r="C587" s="37" t="s">
        <v>310</v>
      </c>
      <c r="D587" s="37">
        <v>34</v>
      </c>
      <c r="E587" s="37">
        <v>6</v>
      </c>
      <c r="F587" s="37" t="s">
        <v>296</v>
      </c>
      <c r="G587" s="37">
        <v>6.4</v>
      </c>
      <c r="H587" s="37" t="s">
        <v>181</v>
      </c>
      <c r="I587" s="37" t="s">
        <v>23</v>
      </c>
      <c r="J587" s="37" t="s">
        <v>17</v>
      </c>
      <c r="K587" s="37">
        <v>14</v>
      </c>
      <c r="L587" s="37">
        <v>45</v>
      </c>
      <c r="M587" s="37">
        <v>4</v>
      </c>
      <c r="N587" s="37">
        <v>63</v>
      </c>
      <c r="O587" s="37">
        <v>24</v>
      </c>
      <c r="P587" s="37">
        <v>12</v>
      </c>
      <c r="Q587" s="37">
        <v>99</v>
      </c>
      <c r="R587" s="37">
        <v>5535</v>
      </c>
      <c r="S587" s="37"/>
      <c r="T587" s="37" t="s">
        <v>181</v>
      </c>
      <c r="U587" s="37" t="s">
        <v>189</v>
      </c>
      <c r="V587" s="37">
        <v>60</v>
      </c>
      <c r="W587" s="37" t="s">
        <v>18</v>
      </c>
      <c r="X587" s="37" t="s">
        <v>190</v>
      </c>
      <c r="Y587" s="37">
        <v>1664</v>
      </c>
      <c r="Z587" s="37" t="s">
        <v>310</v>
      </c>
      <c r="AA587" s="37">
        <v>34</v>
      </c>
      <c r="AB587" s="37">
        <v>6</v>
      </c>
      <c r="AC587" s="37" t="s">
        <v>296</v>
      </c>
      <c r="AD587" s="37" t="s">
        <v>1254</v>
      </c>
      <c r="AE587" s="37"/>
      <c r="AF587" s="37" t="s">
        <v>1255</v>
      </c>
    </row>
    <row r="588" spans="1:32" customFormat="1" x14ac:dyDescent="0.2">
      <c r="A588" s="37"/>
      <c r="B588" s="37"/>
      <c r="C588" s="37"/>
      <c r="D588" s="37"/>
      <c r="E588" s="37"/>
      <c r="F588" s="37"/>
      <c r="G588" s="37" t="s">
        <v>166</v>
      </c>
      <c r="H588" s="37" t="s">
        <v>166</v>
      </c>
      <c r="I588" s="37" t="s">
        <v>166</v>
      </c>
      <c r="J588" s="37" t="s">
        <v>18</v>
      </c>
      <c r="K588" s="37">
        <v>550</v>
      </c>
      <c r="L588" s="37">
        <v>124</v>
      </c>
      <c r="M588" s="37">
        <v>1</v>
      </c>
      <c r="N588" s="37">
        <v>675</v>
      </c>
      <c r="O588" s="37">
        <v>488</v>
      </c>
      <c r="P588" s="37">
        <v>192</v>
      </c>
      <c r="Q588" s="37">
        <v>1355</v>
      </c>
      <c r="R588" s="37">
        <v>14103</v>
      </c>
      <c r="S588" s="37"/>
      <c r="T588" s="37" t="s">
        <v>166</v>
      </c>
      <c r="U588" s="37" t="s">
        <v>166</v>
      </c>
      <c r="V588" s="37" t="s">
        <v>166</v>
      </c>
      <c r="W588" s="37" t="s">
        <v>18</v>
      </c>
      <c r="X588" s="37" t="s">
        <v>166</v>
      </c>
      <c r="Y588" s="37" t="s">
        <v>166</v>
      </c>
      <c r="Z588" s="37" t="s">
        <v>310</v>
      </c>
      <c r="AA588" s="37">
        <v>34</v>
      </c>
      <c r="AB588" s="37">
        <v>6</v>
      </c>
      <c r="AC588" s="37" t="s">
        <v>296</v>
      </c>
      <c r="AD588" s="37" t="s">
        <v>1254</v>
      </c>
      <c r="AE588" s="37"/>
      <c r="AF588" s="37" t="s">
        <v>1256</v>
      </c>
    </row>
    <row r="589" spans="1:32" customFormat="1" x14ac:dyDescent="0.2">
      <c r="A589" s="37"/>
      <c r="B589" s="37"/>
      <c r="C589" s="37" t="s">
        <v>310</v>
      </c>
      <c r="D589" s="37">
        <v>34</v>
      </c>
      <c r="E589" s="37">
        <v>8</v>
      </c>
      <c r="F589" s="37">
        <v>2</v>
      </c>
      <c r="G589" s="37">
        <v>4</v>
      </c>
      <c r="H589" s="37" t="s">
        <v>181</v>
      </c>
      <c r="I589" s="37" t="s">
        <v>23</v>
      </c>
      <c r="J589" s="37" t="s">
        <v>17</v>
      </c>
      <c r="K589" s="37">
        <v>10</v>
      </c>
      <c r="L589" s="37">
        <v>34</v>
      </c>
      <c r="M589" s="37">
        <v>4</v>
      </c>
      <c r="N589" s="37">
        <v>48</v>
      </c>
      <c r="O589" s="37">
        <v>19</v>
      </c>
      <c r="P589" s="37">
        <v>9</v>
      </c>
      <c r="Q589" s="37">
        <v>76</v>
      </c>
      <c r="R589" s="37">
        <v>4153</v>
      </c>
      <c r="S589" s="37"/>
      <c r="T589" s="37" t="s">
        <v>181</v>
      </c>
      <c r="U589" s="37" t="s">
        <v>226</v>
      </c>
      <c r="V589" s="37">
        <v>45</v>
      </c>
      <c r="W589" s="37" t="s">
        <v>18</v>
      </c>
      <c r="X589" s="37" t="s">
        <v>190</v>
      </c>
      <c r="Y589" s="37">
        <v>960</v>
      </c>
      <c r="Z589" s="37" t="s">
        <v>310</v>
      </c>
      <c r="AA589" s="37">
        <v>34</v>
      </c>
      <c r="AB589" s="37">
        <v>8</v>
      </c>
      <c r="AC589" s="37">
        <v>2</v>
      </c>
      <c r="AD589" s="37" t="s">
        <v>1257</v>
      </c>
      <c r="AE589" s="37"/>
      <c r="AF589" s="37" t="s">
        <v>1258</v>
      </c>
    </row>
    <row r="590" spans="1:32" customFormat="1" x14ac:dyDescent="0.2">
      <c r="A590" s="37"/>
      <c r="B590" s="37"/>
      <c r="C590" s="37"/>
      <c r="D590" s="37"/>
      <c r="E590" s="37"/>
      <c r="F590" s="37"/>
      <c r="G590" s="37" t="s">
        <v>166</v>
      </c>
      <c r="H590" s="37" t="s">
        <v>166</v>
      </c>
      <c r="I590" s="37" t="s">
        <v>166</v>
      </c>
      <c r="J590" s="37" t="s">
        <v>18</v>
      </c>
      <c r="K590" s="37">
        <v>226</v>
      </c>
      <c r="L590" s="37">
        <v>99</v>
      </c>
      <c r="M590" s="37">
        <v>1</v>
      </c>
      <c r="N590" s="37">
        <v>326</v>
      </c>
      <c r="O590" s="37">
        <v>312</v>
      </c>
      <c r="P590" s="37">
        <v>115</v>
      </c>
      <c r="Q590" s="37">
        <v>753</v>
      </c>
      <c r="R590" s="37">
        <v>6640</v>
      </c>
      <c r="S590" s="37"/>
      <c r="T590" s="37" t="s">
        <v>166</v>
      </c>
      <c r="U590" s="37" t="s">
        <v>166</v>
      </c>
      <c r="V590" s="37" t="s">
        <v>166</v>
      </c>
      <c r="W590" s="37" t="s">
        <v>18</v>
      </c>
      <c r="X590" s="37" t="s">
        <v>166</v>
      </c>
      <c r="Y590" s="37" t="s">
        <v>166</v>
      </c>
      <c r="Z590" s="37" t="s">
        <v>310</v>
      </c>
      <c r="AA590" s="37">
        <v>34</v>
      </c>
      <c r="AB590" s="37">
        <v>8</v>
      </c>
      <c r="AC590" s="37">
        <v>2</v>
      </c>
      <c r="AD590" s="37" t="s">
        <v>1257</v>
      </c>
      <c r="AE590" s="37"/>
      <c r="AF590" s="37" t="s">
        <v>1259</v>
      </c>
    </row>
    <row r="591" spans="1:32" customFormat="1" x14ac:dyDescent="0.2">
      <c r="A591" s="37"/>
      <c r="B591" s="37"/>
      <c r="C591" s="37" t="s">
        <v>310</v>
      </c>
      <c r="D591" s="37">
        <v>35</v>
      </c>
      <c r="E591" s="37">
        <v>12</v>
      </c>
      <c r="F591" s="37" t="s">
        <v>296</v>
      </c>
      <c r="G591" s="37">
        <v>3</v>
      </c>
      <c r="H591" s="37" t="s">
        <v>181</v>
      </c>
      <c r="I591" s="37" t="s">
        <v>23</v>
      </c>
      <c r="J591" s="37" t="s">
        <v>17</v>
      </c>
      <c r="K591" s="37">
        <v>27</v>
      </c>
      <c r="L591" s="37">
        <v>27</v>
      </c>
      <c r="M591" s="37">
        <v>1</v>
      </c>
      <c r="N591" s="37">
        <v>55</v>
      </c>
      <c r="O591" s="37">
        <v>23</v>
      </c>
      <c r="P591" s="37">
        <v>10</v>
      </c>
      <c r="Q591" s="37">
        <v>88</v>
      </c>
      <c r="R591" s="37">
        <v>5352</v>
      </c>
      <c r="S591" s="37"/>
      <c r="T591" s="37" t="s">
        <v>181</v>
      </c>
      <c r="U591" s="37" t="s">
        <v>226</v>
      </c>
      <c r="V591" s="37">
        <v>55</v>
      </c>
      <c r="W591" s="37" t="s">
        <v>18</v>
      </c>
      <c r="X591" s="37" t="s">
        <v>190</v>
      </c>
      <c r="Y591" s="37">
        <v>780</v>
      </c>
      <c r="Z591" s="37" t="s">
        <v>310</v>
      </c>
      <c r="AA591" s="37">
        <v>35</v>
      </c>
      <c r="AB591" s="37">
        <v>12</v>
      </c>
      <c r="AC591" s="37" t="s">
        <v>296</v>
      </c>
      <c r="AD591" s="37" t="s">
        <v>1260</v>
      </c>
      <c r="AE591" s="37"/>
      <c r="AF591" s="37" t="s">
        <v>1261</v>
      </c>
    </row>
    <row r="592" spans="1:32" customFormat="1" x14ac:dyDescent="0.2">
      <c r="A592" s="37"/>
      <c r="B592" s="37"/>
      <c r="C592" s="37"/>
      <c r="D592" s="37"/>
      <c r="E592" s="37"/>
      <c r="F592" s="37"/>
      <c r="G592" s="37" t="s">
        <v>166</v>
      </c>
      <c r="H592" s="37" t="s">
        <v>166</v>
      </c>
      <c r="I592" s="37" t="s">
        <v>166</v>
      </c>
      <c r="J592" s="37" t="s">
        <v>18</v>
      </c>
      <c r="K592" s="37">
        <v>191</v>
      </c>
      <c r="L592" s="37">
        <v>64</v>
      </c>
      <c r="M592" s="37">
        <v>2</v>
      </c>
      <c r="N592" s="37">
        <v>257</v>
      </c>
      <c r="O592" s="37">
        <v>167</v>
      </c>
      <c r="P592" s="37">
        <v>68</v>
      </c>
      <c r="Q592" s="37">
        <v>492</v>
      </c>
      <c r="R592" s="37">
        <v>5254</v>
      </c>
      <c r="S592" s="37"/>
      <c r="T592" s="37" t="s">
        <v>166</v>
      </c>
      <c r="U592" s="37" t="s">
        <v>166</v>
      </c>
      <c r="V592" s="37" t="s">
        <v>166</v>
      </c>
      <c r="W592" s="37" t="s">
        <v>18</v>
      </c>
      <c r="X592" s="37" t="s">
        <v>166</v>
      </c>
      <c r="Y592" s="37" t="s">
        <v>166</v>
      </c>
      <c r="Z592" s="37" t="s">
        <v>310</v>
      </c>
      <c r="AA592" s="37">
        <v>35</v>
      </c>
      <c r="AB592" s="37">
        <v>12</v>
      </c>
      <c r="AC592" s="37" t="s">
        <v>296</v>
      </c>
      <c r="AD592" s="37" t="s">
        <v>1260</v>
      </c>
      <c r="AE592" s="37"/>
      <c r="AF592" s="37" t="s">
        <v>1262</v>
      </c>
    </row>
    <row r="593" spans="1:32" customFormat="1" x14ac:dyDescent="0.2">
      <c r="A593" s="37"/>
      <c r="B593" s="37"/>
      <c r="C593" s="37" t="s">
        <v>310</v>
      </c>
      <c r="D593" s="37">
        <v>36</v>
      </c>
      <c r="E593" s="37">
        <v>10</v>
      </c>
      <c r="F593" s="37" t="s">
        <v>296</v>
      </c>
      <c r="G593" s="37">
        <v>8.5</v>
      </c>
      <c r="H593" s="37" t="s">
        <v>209</v>
      </c>
      <c r="I593" s="37" t="s">
        <v>23</v>
      </c>
      <c r="J593" s="37" t="s">
        <v>17</v>
      </c>
      <c r="K593" s="37">
        <v>15</v>
      </c>
      <c r="L593" s="37">
        <v>60</v>
      </c>
      <c r="M593" s="37">
        <v>14</v>
      </c>
      <c r="N593" s="37">
        <v>89</v>
      </c>
      <c r="O593" s="37">
        <v>73</v>
      </c>
      <c r="P593" s="37">
        <v>21</v>
      </c>
      <c r="Q593" s="37">
        <v>183</v>
      </c>
      <c r="R593" s="37">
        <v>7491</v>
      </c>
      <c r="S593" s="37"/>
      <c r="T593" s="37" t="s">
        <v>181</v>
      </c>
      <c r="U593" s="37" t="s">
        <v>207</v>
      </c>
      <c r="V593" s="37">
        <v>55</v>
      </c>
      <c r="W593" s="37" t="s">
        <v>18</v>
      </c>
      <c r="X593" s="37" t="s">
        <v>190</v>
      </c>
      <c r="Y593" s="37">
        <v>2210</v>
      </c>
      <c r="Z593" s="37" t="s">
        <v>310</v>
      </c>
      <c r="AA593" s="37">
        <v>36</v>
      </c>
      <c r="AB593" s="37">
        <v>10</v>
      </c>
      <c r="AC593" s="37" t="s">
        <v>296</v>
      </c>
      <c r="AD593" s="37" t="s">
        <v>1263</v>
      </c>
      <c r="AE593" s="37"/>
      <c r="AF593" s="37" t="s">
        <v>1264</v>
      </c>
    </row>
    <row r="594" spans="1:32" customFormat="1" x14ac:dyDescent="0.2">
      <c r="A594" s="37"/>
      <c r="B594" s="37"/>
      <c r="C594" s="37"/>
      <c r="D594" s="37"/>
      <c r="E594" s="37"/>
      <c r="F594" s="37"/>
      <c r="G594" s="37" t="s">
        <v>166</v>
      </c>
      <c r="H594" s="37" t="s">
        <v>166</v>
      </c>
      <c r="I594" s="37" t="s">
        <v>166</v>
      </c>
      <c r="J594" s="37" t="s">
        <v>19</v>
      </c>
      <c r="K594" s="37">
        <v>0</v>
      </c>
      <c r="L594" s="37">
        <v>4</v>
      </c>
      <c r="M594" s="37">
        <v>12</v>
      </c>
      <c r="N594" s="37">
        <v>16</v>
      </c>
      <c r="O594" s="37">
        <v>31</v>
      </c>
      <c r="P594" s="37">
        <v>4</v>
      </c>
      <c r="Q594" s="37">
        <v>51</v>
      </c>
      <c r="R594" s="37">
        <v>528</v>
      </c>
      <c r="S594" s="37"/>
      <c r="T594" s="37" t="s">
        <v>166</v>
      </c>
      <c r="U594" s="37" t="s">
        <v>166</v>
      </c>
      <c r="V594" s="37" t="s">
        <v>166</v>
      </c>
      <c r="W594" s="37" t="s">
        <v>18</v>
      </c>
      <c r="X594" s="37" t="s">
        <v>166</v>
      </c>
      <c r="Y594" s="37" t="s">
        <v>166</v>
      </c>
      <c r="Z594" s="37" t="s">
        <v>310</v>
      </c>
      <c r="AA594" s="37">
        <v>36</v>
      </c>
      <c r="AB594" s="37">
        <v>10</v>
      </c>
      <c r="AC594" s="37" t="s">
        <v>296</v>
      </c>
      <c r="AD594" s="37" t="s">
        <v>1263</v>
      </c>
      <c r="AE594" s="37"/>
      <c r="AF594" s="37" t="s">
        <v>1265</v>
      </c>
    </row>
    <row r="595" spans="1:32" customFormat="1" x14ac:dyDescent="0.2">
      <c r="A595" s="37"/>
      <c r="B595" s="37"/>
      <c r="C595" s="37"/>
      <c r="D595" s="37"/>
      <c r="E595" s="37"/>
      <c r="F595" s="37"/>
      <c r="G595" s="37" t="s">
        <v>166</v>
      </c>
      <c r="H595" s="37" t="s">
        <v>166</v>
      </c>
      <c r="I595" s="37" t="s">
        <v>166</v>
      </c>
      <c r="J595" s="37" t="s">
        <v>18</v>
      </c>
      <c r="K595" s="37">
        <v>616</v>
      </c>
      <c r="L595" s="37">
        <v>335</v>
      </c>
      <c r="M595" s="37">
        <v>10</v>
      </c>
      <c r="N595" s="37">
        <v>961</v>
      </c>
      <c r="O595" s="37">
        <v>678</v>
      </c>
      <c r="P595" s="37">
        <v>268</v>
      </c>
      <c r="Q595" s="37">
        <v>1907</v>
      </c>
      <c r="R595" s="37">
        <v>19147</v>
      </c>
      <c r="S595" s="37"/>
      <c r="T595" s="37" t="s">
        <v>166</v>
      </c>
      <c r="U595" s="37" t="s">
        <v>166</v>
      </c>
      <c r="V595" s="37" t="s">
        <v>166</v>
      </c>
      <c r="W595" s="37" t="s">
        <v>18</v>
      </c>
      <c r="X595" s="37" t="s">
        <v>166</v>
      </c>
      <c r="Y595" s="37" t="s">
        <v>166</v>
      </c>
      <c r="Z595" s="37" t="s">
        <v>310</v>
      </c>
      <c r="AA595" s="37">
        <v>36</v>
      </c>
      <c r="AB595" s="37">
        <v>10</v>
      </c>
      <c r="AC595" s="37" t="s">
        <v>296</v>
      </c>
      <c r="AD595" s="37" t="s">
        <v>1263</v>
      </c>
      <c r="AE595" s="37"/>
      <c r="AF595" s="37" t="s">
        <v>1266</v>
      </c>
    </row>
    <row r="596" spans="1:32" customFormat="1" x14ac:dyDescent="0.2">
      <c r="A596" s="37"/>
      <c r="B596" s="37"/>
      <c r="C596" s="37" t="s">
        <v>310</v>
      </c>
      <c r="D596" s="37">
        <v>36</v>
      </c>
      <c r="E596" s="37">
        <v>10</v>
      </c>
      <c r="F596" s="37">
        <v>2</v>
      </c>
      <c r="G596" s="37">
        <v>10</v>
      </c>
      <c r="H596" s="37" t="s">
        <v>209</v>
      </c>
      <c r="I596" s="37" t="s">
        <v>23</v>
      </c>
      <c r="J596" s="37" t="s">
        <v>17</v>
      </c>
      <c r="K596" s="37">
        <v>17</v>
      </c>
      <c r="L596" s="37">
        <v>80</v>
      </c>
      <c r="M596" s="37">
        <v>16</v>
      </c>
      <c r="N596" s="37">
        <v>113</v>
      </c>
      <c r="O596" s="37">
        <v>82</v>
      </c>
      <c r="P596" s="37">
        <v>27</v>
      </c>
      <c r="Q596" s="37">
        <v>222</v>
      </c>
      <c r="R596" s="37">
        <v>9547</v>
      </c>
      <c r="S596" s="37"/>
      <c r="T596" s="37" t="s">
        <v>181</v>
      </c>
      <c r="U596" s="37" t="s">
        <v>207</v>
      </c>
      <c r="V596" s="37">
        <v>55</v>
      </c>
      <c r="W596" s="37" t="s">
        <v>18</v>
      </c>
      <c r="X596" s="37" t="s">
        <v>190</v>
      </c>
      <c r="Y596" s="37">
        <v>2600</v>
      </c>
      <c r="Z596" s="37" t="s">
        <v>310</v>
      </c>
      <c r="AA596" s="37">
        <v>36</v>
      </c>
      <c r="AB596" s="37">
        <v>10</v>
      </c>
      <c r="AC596" s="37">
        <v>2</v>
      </c>
      <c r="AD596" s="37" t="s">
        <v>1267</v>
      </c>
      <c r="AE596" s="37"/>
      <c r="AF596" s="37" t="s">
        <v>1268</v>
      </c>
    </row>
    <row r="597" spans="1:32" customFormat="1" x14ac:dyDescent="0.2">
      <c r="A597" s="37"/>
      <c r="B597" s="37"/>
      <c r="C597" s="37"/>
      <c r="D597" s="37"/>
      <c r="E597" s="37"/>
      <c r="F597" s="37"/>
      <c r="G597" s="37" t="s">
        <v>166</v>
      </c>
      <c r="H597" s="37" t="s">
        <v>166</v>
      </c>
      <c r="I597" s="37" t="s">
        <v>166</v>
      </c>
      <c r="J597" s="37" t="s">
        <v>19</v>
      </c>
      <c r="K597" s="37">
        <v>0</v>
      </c>
      <c r="L597" s="37">
        <v>5</v>
      </c>
      <c r="M597" s="37">
        <v>12</v>
      </c>
      <c r="N597" s="37">
        <v>17</v>
      </c>
      <c r="O597" s="37">
        <v>35</v>
      </c>
      <c r="P597" s="37">
        <v>5</v>
      </c>
      <c r="Q597" s="37">
        <v>57</v>
      </c>
      <c r="R597" s="37">
        <v>601</v>
      </c>
      <c r="S597" s="37"/>
      <c r="T597" s="37" t="s">
        <v>166</v>
      </c>
      <c r="U597" s="37" t="s">
        <v>166</v>
      </c>
      <c r="V597" s="37" t="s">
        <v>166</v>
      </c>
      <c r="W597" s="37" t="s">
        <v>18</v>
      </c>
      <c r="X597" s="37" t="s">
        <v>166</v>
      </c>
      <c r="Y597" s="37" t="s">
        <v>166</v>
      </c>
      <c r="Z597" s="37" t="s">
        <v>310</v>
      </c>
      <c r="AA597" s="37">
        <v>36</v>
      </c>
      <c r="AB597" s="37">
        <v>10</v>
      </c>
      <c r="AC597" s="37">
        <v>2</v>
      </c>
      <c r="AD597" s="37" t="s">
        <v>1267</v>
      </c>
      <c r="AE597" s="37"/>
      <c r="AF597" s="37" t="s">
        <v>1269</v>
      </c>
    </row>
    <row r="598" spans="1:32" customFormat="1" x14ac:dyDescent="0.2">
      <c r="A598" s="37"/>
      <c r="B598" s="37"/>
      <c r="C598" s="37"/>
      <c r="D598" s="37"/>
      <c r="E598" s="37"/>
      <c r="F598" s="37"/>
      <c r="G598" s="37" t="s">
        <v>166</v>
      </c>
      <c r="H598" s="37" t="s">
        <v>166</v>
      </c>
      <c r="I598" s="37" t="s">
        <v>166</v>
      </c>
      <c r="J598" s="37" t="s">
        <v>18</v>
      </c>
      <c r="K598" s="37">
        <v>737</v>
      </c>
      <c r="L598" s="37">
        <v>385</v>
      </c>
      <c r="M598" s="37">
        <v>11</v>
      </c>
      <c r="N598" s="37">
        <v>1133</v>
      </c>
      <c r="O598" s="37">
        <v>756</v>
      </c>
      <c r="P598" s="37">
        <v>303</v>
      </c>
      <c r="Q598" s="37">
        <v>2192</v>
      </c>
      <c r="R598" s="37">
        <v>22617</v>
      </c>
      <c r="S598" s="37"/>
      <c r="T598" s="37" t="s">
        <v>166</v>
      </c>
      <c r="U598" s="37" t="s">
        <v>166</v>
      </c>
      <c r="V598" s="37" t="s">
        <v>166</v>
      </c>
      <c r="W598" s="37" t="s">
        <v>18</v>
      </c>
      <c r="X598" s="37" t="s">
        <v>166</v>
      </c>
      <c r="Y598" s="37" t="s">
        <v>166</v>
      </c>
      <c r="Z598" s="37" t="s">
        <v>310</v>
      </c>
      <c r="AA598" s="37">
        <v>36</v>
      </c>
      <c r="AB598" s="37">
        <v>10</v>
      </c>
      <c r="AC598" s="37">
        <v>2</v>
      </c>
      <c r="AD598" s="37" t="s">
        <v>1267</v>
      </c>
      <c r="AE598" s="37"/>
      <c r="AF598" s="37" t="s">
        <v>1270</v>
      </c>
    </row>
    <row r="599" spans="1:32" customFormat="1" x14ac:dyDescent="0.2">
      <c r="A599" s="37"/>
      <c r="B599" s="37"/>
      <c r="C599" s="37" t="s">
        <v>310</v>
      </c>
      <c r="D599" s="37">
        <v>40</v>
      </c>
      <c r="E599" s="37">
        <v>7</v>
      </c>
      <c r="F599" s="37" t="s">
        <v>296</v>
      </c>
      <c r="G599" s="37">
        <v>3.8</v>
      </c>
      <c r="H599" s="37" t="s">
        <v>181</v>
      </c>
      <c r="I599" s="37" t="s">
        <v>23</v>
      </c>
      <c r="J599" s="37" t="s">
        <v>17</v>
      </c>
      <c r="K599" s="37">
        <v>33</v>
      </c>
      <c r="L599" s="37">
        <v>46</v>
      </c>
      <c r="M599" s="37">
        <v>3</v>
      </c>
      <c r="N599" s="37">
        <v>82</v>
      </c>
      <c r="O599" s="37">
        <v>61</v>
      </c>
      <c r="P599" s="37">
        <v>19</v>
      </c>
      <c r="Q599" s="37">
        <v>162</v>
      </c>
      <c r="R599" s="37">
        <v>7933</v>
      </c>
      <c r="S599" s="37"/>
      <c r="T599" s="37" t="s">
        <v>181</v>
      </c>
      <c r="U599" s="37" t="s">
        <v>226</v>
      </c>
      <c r="V599" s="37">
        <v>55</v>
      </c>
      <c r="W599" s="37" t="s">
        <v>18</v>
      </c>
      <c r="X599" s="37" t="s">
        <v>190</v>
      </c>
      <c r="Y599" s="37">
        <v>988</v>
      </c>
      <c r="Z599" s="37" t="s">
        <v>310</v>
      </c>
      <c r="AA599" s="37">
        <v>40</v>
      </c>
      <c r="AB599" s="37">
        <v>7</v>
      </c>
      <c r="AC599" s="37" t="s">
        <v>296</v>
      </c>
      <c r="AD599" s="37" t="s">
        <v>1271</v>
      </c>
      <c r="AE599" s="37"/>
      <c r="AF599" s="37" t="s">
        <v>1272</v>
      </c>
    </row>
    <row r="600" spans="1:32" customFormat="1" x14ac:dyDescent="0.2">
      <c r="A600" s="37"/>
      <c r="B600" s="37"/>
      <c r="C600" s="37"/>
      <c r="D600" s="37"/>
      <c r="E600" s="37"/>
      <c r="F600" s="37"/>
      <c r="G600" s="37" t="s">
        <v>166</v>
      </c>
      <c r="H600" s="37" t="s">
        <v>166</v>
      </c>
      <c r="I600" s="37" t="s">
        <v>166</v>
      </c>
      <c r="J600" s="37" t="s">
        <v>19</v>
      </c>
      <c r="K600" s="37">
        <v>0</v>
      </c>
      <c r="L600" s="37">
        <v>1</v>
      </c>
      <c r="M600" s="37">
        <v>3</v>
      </c>
      <c r="N600" s="37">
        <v>4</v>
      </c>
      <c r="O600" s="37">
        <v>8</v>
      </c>
      <c r="P600" s="37">
        <v>1</v>
      </c>
      <c r="Q600" s="37">
        <v>13</v>
      </c>
      <c r="R600" s="37">
        <v>137</v>
      </c>
      <c r="S600" s="37"/>
      <c r="T600" s="37" t="s">
        <v>166</v>
      </c>
      <c r="U600" s="37" t="s">
        <v>166</v>
      </c>
      <c r="V600" s="37" t="s">
        <v>166</v>
      </c>
      <c r="W600" s="37" t="s">
        <v>18</v>
      </c>
      <c r="X600" s="37" t="s">
        <v>166</v>
      </c>
      <c r="Y600" s="37" t="s">
        <v>166</v>
      </c>
      <c r="Z600" s="37" t="s">
        <v>310</v>
      </c>
      <c r="AA600" s="37">
        <v>40</v>
      </c>
      <c r="AB600" s="37">
        <v>7</v>
      </c>
      <c r="AC600" s="37" t="s">
        <v>296</v>
      </c>
      <c r="AD600" s="37" t="s">
        <v>1271</v>
      </c>
      <c r="AE600" s="37"/>
      <c r="AF600" s="37" t="s">
        <v>1273</v>
      </c>
    </row>
    <row r="601" spans="1:32" customFormat="1" x14ac:dyDescent="0.2">
      <c r="A601" s="37"/>
      <c r="B601" s="37"/>
      <c r="C601" s="37"/>
      <c r="D601" s="37"/>
      <c r="E601" s="37"/>
      <c r="F601" s="37"/>
      <c r="G601" s="37" t="s">
        <v>166</v>
      </c>
      <c r="H601" s="37" t="s">
        <v>166</v>
      </c>
      <c r="I601" s="37" t="s">
        <v>166</v>
      </c>
      <c r="J601" s="37" t="s">
        <v>18</v>
      </c>
      <c r="K601" s="37">
        <v>175</v>
      </c>
      <c r="L601" s="37">
        <v>150</v>
      </c>
      <c r="M601" s="37">
        <v>4</v>
      </c>
      <c r="N601" s="37">
        <v>329</v>
      </c>
      <c r="O601" s="37">
        <v>277</v>
      </c>
      <c r="P601" s="37">
        <v>105</v>
      </c>
      <c r="Q601" s="37">
        <v>711</v>
      </c>
      <c r="R601" s="37">
        <v>6388</v>
      </c>
      <c r="S601" s="37"/>
      <c r="T601" s="37" t="s">
        <v>166</v>
      </c>
      <c r="U601" s="37" t="s">
        <v>166</v>
      </c>
      <c r="V601" s="37" t="s">
        <v>166</v>
      </c>
      <c r="W601" s="37" t="s">
        <v>18</v>
      </c>
      <c r="X601" s="37" t="s">
        <v>166</v>
      </c>
      <c r="Y601" s="37" t="s">
        <v>166</v>
      </c>
      <c r="Z601" s="37" t="s">
        <v>310</v>
      </c>
      <c r="AA601" s="37">
        <v>40</v>
      </c>
      <c r="AB601" s="37">
        <v>7</v>
      </c>
      <c r="AC601" s="37" t="s">
        <v>296</v>
      </c>
      <c r="AD601" s="37" t="s">
        <v>1271</v>
      </c>
      <c r="AE601" s="37"/>
      <c r="AF601" s="37" t="s">
        <v>1274</v>
      </c>
    </row>
    <row r="602" spans="1:32" customFormat="1" x14ac:dyDescent="0.2">
      <c r="A602" s="37"/>
      <c r="B602" s="37"/>
      <c r="C602" s="37" t="s">
        <v>310</v>
      </c>
      <c r="D602" s="37">
        <v>40</v>
      </c>
      <c r="E602" s="37">
        <v>24</v>
      </c>
      <c r="F602" s="37">
        <v>2</v>
      </c>
      <c r="G602" s="37">
        <v>2</v>
      </c>
      <c r="H602" s="37" t="s">
        <v>181</v>
      </c>
      <c r="I602" s="37" t="s">
        <v>23</v>
      </c>
      <c r="J602" s="37" t="s">
        <v>17</v>
      </c>
      <c r="K602" s="37">
        <v>9</v>
      </c>
      <c r="L602" s="37">
        <v>24</v>
      </c>
      <c r="M602" s="37">
        <v>3</v>
      </c>
      <c r="N602" s="37">
        <v>36</v>
      </c>
      <c r="O602" s="37">
        <v>15</v>
      </c>
      <c r="P602" s="37">
        <v>7</v>
      </c>
      <c r="Q602" s="37">
        <v>58</v>
      </c>
      <c r="R602" s="37">
        <v>5249</v>
      </c>
      <c r="S602" s="37"/>
      <c r="T602" s="37" t="s">
        <v>181</v>
      </c>
      <c r="U602" s="37" t="s">
        <v>195</v>
      </c>
      <c r="V602" s="37">
        <v>45</v>
      </c>
      <c r="W602" s="37" t="s">
        <v>18</v>
      </c>
      <c r="X602" s="37" t="s">
        <v>190</v>
      </c>
      <c r="Y602" s="37">
        <v>440</v>
      </c>
      <c r="Z602" s="37" t="s">
        <v>310</v>
      </c>
      <c r="AA602" s="37">
        <v>40</v>
      </c>
      <c r="AB602" s="37">
        <v>24</v>
      </c>
      <c r="AC602" s="37">
        <v>2</v>
      </c>
      <c r="AD602" s="37" t="s">
        <v>1275</v>
      </c>
      <c r="AE602" s="37"/>
      <c r="AF602" s="37" t="s">
        <v>1276</v>
      </c>
    </row>
    <row r="603" spans="1:32" customFormat="1" x14ac:dyDescent="0.2">
      <c r="A603" s="37"/>
      <c r="B603" s="37"/>
      <c r="C603" s="37"/>
      <c r="D603" s="37"/>
      <c r="E603" s="37"/>
      <c r="F603" s="37"/>
      <c r="G603" s="37" t="s">
        <v>166</v>
      </c>
      <c r="H603" s="37" t="s">
        <v>166</v>
      </c>
      <c r="I603" s="37" t="s">
        <v>166</v>
      </c>
      <c r="J603" s="37" t="s">
        <v>19</v>
      </c>
      <c r="K603" s="37">
        <v>0</v>
      </c>
      <c r="L603" s="37">
        <v>5</v>
      </c>
      <c r="M603" s="37">
        <v>4</v>
      </c>
      <c r="N603" s="37">
        <v>9</v>
      </c>
      <c r="O603" s="37">
        <v>16</v>
      </c>
      <c r="P603" s="37">
        <v>2</v>
      </c>
      <c r="Q603" s="37">
        <v>27</v>
      </c>
      <c r="R603" s="37">
        <v>377</v>
      </c>
      <c r="S603" s="37"/>
      <c r="T603" s="37" t="s">
        <v>166</v>
      </c>
      <c r="U603" s="37" t="s">
        <v>166</v>
      </c>
      <c r="V603" s="37" t="s">
        <v>166</v>
      </c>
      <c r="W603" s="37" t="s">
        <v>18</v>
      </c>
      <c r="X603" s="37" t="s">
        <v>166</v>
      </c>
      <c r="Y603" s="37" t="s">
        <v>166</v>
      </c>
      <c r="Z603" s="37" t="s">
        <v>310</v>
      </c>
      <c r="AA603" s="37">
        <v>40</v>
      </c>
      <c r="AB603" s="37">
        <v>24</v>
      </c>
      <c r="AC603" s="37">
        <v>2</v>
      </c>
      <c r="AD603" s="37" t="s">
        <v>1275</v>
      </c>
      <c r="AE603" s="37"/>
      <c r="AF603" s="37" t="s">
        <v>1277</v>
      </c>
    </row>
    <row r="604" spans="1:32" customFormat="1" x14ac:dyDescent="0.2">
      <c r="A604" s="37"/>
      <c r="B604" s="37"/>
      <c r="C604" s="37"/>
      <c r="D604" s="37"/>
      <c r="E604" s="37"/>
      <c r="F604" s="37"/>
      <c r="G604" s="37" t="s">
        <v>166</v>
      </c>
      <c r="H604" s="37" t="s">
        <v>166</v>
      </c>
      <c r="I604" s="37" t="s">
        <v>166</v>
      </c>
      <c r="J604" s="37" t="s">
        <v>18</v>
      </c>
      <c r="K604" s="37">
        <v>96</v>
      </c>
      <c r="L604" s="37">
        <v>57</v>
      </c>
      <c r="M604" s="37">
        <v>1</v>
      </c>
      <c r="N604" s="37">
        <v>154</v>
      </c>
      <c r="O604" s="37">
        <v>96</v>
      </c>
      <c r="P604" s="37">
        <v>40</v>
      </c>
      <c r="Q604" s="37">
        <v>290</v>
      </c>
      <c r="R604" s="37">
        <v>3039</v>
      </c>
      <c r="S604" s="37"/>
      <c r="T604" s="37" t="s">
        <v>166</v>
      </c>
      <c r="U604" s="37" t="s">
        <v>166</v>
      </c>
      <c r="V604" s="37" t="s">
        <v>166</v>
      </c>
      <c r="W604" s="37" t="s">
        <v>18</v>
      </c>
      <c r="X604" s="37" t="s">
        <v>166</v>
      </c>
      <c r="Y604" s="37" t="s">
        <v>166</v>
      </c>
      <c r="Z604" s="37" t="s">
        <v>310</v>
      </c>
      <c r="AA604" s="37">
        <v>40</v>
      </c>
      <c r="AB604" s="37">
        <v>24</v>
      </c>
      <c r="AC604" s="37">
        <v>2</v>
      </c>
      <c r="AD604" s="37" t="s">
        <v>1275</v>
      </c>
      <c r="AE604" s="37"/>
      <c r="AF604" s="37" t="s">
        <v>1278</v>
      </c>
    </row>
    <row r="605" spans="1:32" customFormat="1" x14ac:dyDescent="0.2">
      <c r="A605" s="37"/>
      <c r="B605" s="37"/>
      <c r="C605" s="37" t="s">
        <v>310</v>
      </c>
      <c r="D605" s="37">
        <v>41</v>
      </c>
      <c r="E605" s="37">
        <v>7</v>
      </c>
      <c r="F605" s="37" t="s">
        <v>296</v>
      </c>
      <c r="G605" s="37">
        <v>7.2</v>
      </c>
      <c r="H605" s="37" t="s">
        <v>209</v>
      </c>
      <c r="I605" s="37" t="s">
        <v>23</v>
      </c>
      <c r="J605" s="37" t="s">
        <v>17</v>
      </c>
      <c r="K605" s="37">
        <v>17</v>
      </c>
      <c r="L605" s="37">
        <v>35</v>
      </c>
      <c r="M605" s="37">
        <v>7</v>
      </c>
      <c r="N605" s="37">
        <v>59</v>
      </c>
      <c r="O605" s="37">
        <v>43</v>
      </c>
      <c r="P605" s="37">
        <v>14</v>
      </c>
      <c r="Q605" s="37">
        <v>116</v>
      </c>
      <c r="R605" s="37">
        <v>5249</v>
      </c>
      <c r="S605" s="37"/>
      <c r="T605" s="37" t="s">
        <v>181</v>
      </c>
      <c r="U605" s="37" t="s">
        <v>221</v>
      </c>
      <c r="V605" s="37">
        <v>50</v>
      </c>
      <c r="W605" s="37" t="s">
        <v>18</v>
      </c>
      <c r="X605" s="37" t="s">
        <v>190</v>
      </c>
      <c r="Y605" s="37">
        <v>1656</v>
      </c>
      <c r="Z605" s="37" t="s">
        <v>310</v>
      </c>
      <c r="AA605" s="37">
        <v>41</v>
      </c>
      <c r="AB605" s="37">
        <v>7</v>
      </c>
      <c r="AC605" s="37" t="s">
        <v>296</v>
      </c>
      <c r="AD605" s="37" t="s">
        <v>1279</v>
      </c>
      <c r="AE605" s="37"/>
      <c r="AF605" s="37" t="s">
        <v>1280</v>
      </c>
    </row>
    <row r="606" spans="1:32" customFormat="1" x14ac:dyDescent="0.2">
      <c r="A606" s="37"/>
      <c r="B606" s="37"/>
      <c r="C606" s="37"/>
      <c r="D606" s="37"/>
      <c r="E606" s="37"/>
      <c r="F606" s="37"/>
      <c r="G606" s="37" t="s">
        <v>166</v>
      </c>
      <c r="H606" s="37" t="s">
        <v>166</v>
      </c>
      <c r="I606" s="37" t="s">
        <v>166</v>
      </c>
      <c r="J606" s="37" t="s">
        <v>19</v>
      </c>
      <c r="K606" s="37">
        <v>0</v>
      </c>
      <c r="L606" s="37">
        <v>10</v>
      </c>
      <c r="M606" s="37">
        <v>8</v>
      </c>
      <c r="N606" s="37">
        <v>18</v>
      </c>
      <c r="O606" s="37">
        <v>19</v>
      </c>
      <c r="P606" s="37">
        <v>3</v>
      </c>
      <c r="Q606" s="37">
        <v>40</v>
      </c>
      <c r="R606" s="37">
        <v>695</v>
      </c>
      <c r="S606" s="37"/>
      <c r="T606" s="37" t="s">
        <v>166</v>
      </c>
      <c r="U606" s="37" t="s">
        <v>166</v>
      </c>
      <c r="V606" s="37" t="s">
        <v>166</v>
      </c>
      <c r="W606" s="37" t="s">
        <v>18</v>
      </c>
      <c r="X606" s="37" t="s">
        <v>166</v>
      </c>
      <c r="Y606" s="37" t="s">
        <v>166</v>
      </c>
      <c r="Z606" s="37" t="s">
        <v>310</v>
      </c>
      <c r="AA606" s="37">
        <v>41</v>
      </c>
      <c r="AB606" s="37">
        <v>7</v>
      </c>
      <c r="AC606" s="37" t="s">
        <v>296</v>
      </c>
      <c r="AD606" s="37" t="s">
        <v>1279</v>
      </c>
      <c r="AE606" s="37"/>
      <c r="AF606" s="37" t="s">
        <v>1281</v>
      </c>
    </row>
    <row r="607" spans="1:32" customFormat="1" x14ac:dyDescent="0.2">
      <c r="A607" s="37"/>
      <c r="B607" s="37"/>
      <c r="C607" s="37"/>
      <c r="D607" s="37"/>
      <c r="E607" s="37"/>
      <c r="F607" s="37"/>
      <c r="G607" s="37" t="s">
        <v>166</v>
      </c>
      <c r="H607" s="37" t="s">
        <v>166</v>
      </c>
      <c r="I607" s="37" t="s">
        <v>166</v>
      </c>
      <c r="J607" s="37" t="s">
        <v>18</v>
      </c>
      <c r="K607" s="37">
        <v>483</v>
      </c>
      <c r="L607" s="37">
        <v>161</v>
      </c>
      <c r="M607" s="37">
        <v>6</v>
      </c>
      <c r="N607" s="37">
        <v>650</v>
      </c>
      <c r="O607" s="37">
        <v>484</v>
      </c>
      <c r="P607" s="37">
        <v>189</v>
      </c>
      <c r="Q607" s="37">
        <v>1323</v>
      </c>
      <c r="R607" s="37">
        <v>13293</v>
      </c>
      <c r="S607" s="37"/>
      <c r="T607" s="37" t="s">
        <v>166</v>
      </c>
      <c r="U607" s="37" t="s">
        <v>166</v>
      </c>
      <c r="V607" s="37" t="s">
        <v>166</v>
      </c>
      <c r="W607" s="37" t="s">
        <v>18</v>
      </c>
      <c r="X607" s="37" t="s">
        <v>166</v>
      </c>
      <c r="Y607" s="37" t="s">
        <v>166</v>
      </c>
      <c r="Z607" s="37" t="s">
        <v>310</v>
      </c>
      <c r="AA607" s="37">
        <v>41</v>
      </c>
      <c r="AB607" s="37">
        <v>7</v>
      </c>
      <c r="AC607" s="37" t="s">
        <v>296</v>
      </c>
      <c r="AD607" s="37" t="s">
        <v>1279</v>
      </c>
      <c r="AE607" s="37"/>
      <c r="AF607" s="37" t="s">
        <v>1282</v>
      </c>
    </row>
    <row r="608" spans="1:32" customFormat="1" x14ac:dyDescent="0.2">
      <c r="A608" s="37"/>
      <c r="B608" s="37"/>
      <c r="C608" s="37" t="s">
        <v>310</v>
      </c>
      <c r="D608" s="37">
        <v>42</v>
      </c>
      <c r="E608" s="37">
        <v>10</v>
      </c>
      <c r="F608" s="37" t="s">
        <v>296</v>
      </c>
      <c r="G608" s="37">
        <v>4.2</v>
      </c>
      <c r="H608" s="37" t="s">
        <v>209</v>
      </c>
      <c r="I608" s="37" t="s">
        <v>23</v>
      </c>
      <c r="J608" s="37" t="s">
        <v>17</v>
      </c>
      <c r="K608" s="37">
        <v>15</v>
      </c>
      <c r="L608" s="37">
        <v>30</v>
      </c>
      <c r="M608" s="37">
        <v>4</v>
      </c>
      <c r="N608" s="37">
        <v>49</v>
      </c>
      <c r="O608" s="37">
        <v>49</v>
      </c>
      <c r="P608" s="37">
        <v>13</v>
      </c>
      <c r="Q608" s="37">
        <v>111</v>
      </c>
      <c r="R608" s="37">
        <v>4647</v>
      </c>
      <c r="S608" s="37"/>
      <c r="T608" s="37" t="s">
        <v>181</v>
      </c>
      <c r="U608" s="37" t="s">
        <v>221</v>
      </c>
      <c r="V608" s="37">
        <v>50</v>
      </c>
      <c r="W608" s="37" t="s">
        <v>18</v>
      </c>
      <c r="X608" s="37" t="s">
        <v>190</v>
      </c>
      <c r="Y608" s="37">
        <v>966</v>
      </c>
      <c r="Z608" s="37" t="s">
        <v>310</v>
      </c>
      <c r="AA608" s="37">
        <v>42</v>
      </c>
      <c r="AB608" s="37">
        <v>10</v>
      </c>
      <c r="AC608" s="37" t="s">
        <v>296</v>
      </c>
      <c r="AD608" s="37" t="s">
        <v>1283</v>
      </c>
      <c r="AE608" s="37"/>
      <c r="AF608" s="37" t="s">
        <v>1284</v>
      </c>
    </row>
    <row r="609" spans="1:32" customFormat="1" x14ac:dyDescent="0.2">
      <c r="A609" s="37"/>
      <c r="B609" s="37"/>
      <c r="C609" s="37"/>
      <c r="D609" s="37"/>
      <c r="E609" s="37"/>
      <c r="F609" s="37"/>
      <c r="G609" s="37" t="s">
        <v>166</v>
      </c>
      <c r="H609" s="37" t="s">
        <v>166</v>
      </c>
      <c r="I609" s="37" t="s">
        <v>166</v>
      </c>
      <c r="J609" s="37" t="s">
        <v>19</v>
      </c>
      <c r="K609" s="37">
        <v>0</v>
      </c>
      <c r="L609" s="37">
        <v>2</v>
      </c>
      <c r="M609" s="37">
        <v>3</v>
      </c>
      <c r="N609" s="37">
        <v>5</v>
      </c>
      <c r="O609" s="37">
        <v>10</v>
      </c>
      <c r="P609" s="37">
        <v>1</v>
      </c>
      <c r="Q609" s="37">
        <v>16</v>
      </c>
      <c r="R609" s="37">
        <v>197</v>
      </c>
      <c r="S609" s="37"/>
      <c r="T609" s="37" t="s">
        <v>166</v>
      </c>
      <c r="U609" s="37" t="s">
        <v>166</v>
      </c>
      <c r="V609" s="37" t="s">
        <v>166</v>
      </c>
      <c r="W609" s="37" t="s">
        <v>18</v>
      </c>
      <c r="X609" s="37" t="s">
        <v>166</v>
      </c>
      <c r="Y609" s="37" t="s">
        <v>166</v>
      </c>
      <c r="Z609" s="37" t="s">
        <v>310</v>
      </c>
      <c r="AA609" s="37">
        <v>42</v>
      </c>
      <c r="AB609" s="37">
        <v>10</v>
      </c>
      <c r="AC609" s="37" t="s">
        <v>296</v>
      </c>
      <c r="AD609" s="37" t="s">
        <v>1283</v>
      </c>
      <c r="AE609" s="37"/>
      <c r="AF609" s="37" t="s">
        <v>1285</v>
      </c>
    </row>
    <row r="610" spans="1:32" customFormat="1" x14ac:dyDescent="0.2">
      <c r="A610" s="37"/>
      <c r="B610" s="37"/>
      <c r="C610" s="37"/>
      <c r="D610" s="37"/>
      <c r="E610" s="37"/>
      <c r="F610" s="37"/>
      <c r="G610" s="37" t="s">
        <v>166</v>
      </c>
      <c r="H610" s="37" t="s">
        <v>166</v>
      </c>
      <c r="I610" s="37" t="s">
        <v>166</v>
      </c>
      <c r="J610" s="37" t="s">
        <v>18</v>
      </c>
      <c r="K610" s="37">
        <v>262</v>
      </c>
      <c r="L610" s="37">
        <v>120</v>
      </c>
      <c r="M610" s="37">
        <v>3</v>
      </c>
      <c r="N610" s="37">
        <v>385</v>
      </c>
      <c r="O610" s="37">
        <v>282</v>
      </c>
      <c r="P610" s="37">
        <v>111</v>
      </c>
      <c r="Q610" s="37">
        <v>778</v>
      </c>
      <c r="R610" s="37">
        <v>7771</v>
      </c>
      <c r="S610" s="37"/>
      <c r="T610" s="37" t="s">
        <v>166</v>
      </c>
      <c r="U610" s="37" t="s">
        <v>166</v>
      </c>
      <c r="V610" s="37" t="s">
        <v>166</v>
      </c>
      <c r="W610" s="37" t="s">
        <v>18</v>
      </c>
      <c r="X610" s="37" t="s">
        <v>166</v>
      </c>
      <c r="Y610" s="37" t="s">
        <v>166</v>
      </c>
      <c r="Z610" s="37" t="s">
        <v>310</v>
      </c>
      <c r="AA610" s="37">
        <v>42</v>
      </c>
      <c r="AB610" s="37">
        <v>10</v>
      </c>
      <c r="AC610" s="37" t="s">
        <v>296</v>
      </c>
      <c r="AD610" s="37" t="s">
        <v>1283</v>
      </c>
      <c r="AE610" s="37"/>
      <c r="AF610" s="37" t="s">
        <v>1286</v>
      </c>
    </row>
    <row r="611" spans="1:32" customFormat="1" x14ac:dyDescent="0.2">
      <c r="A611" s="37"/>
      <c r="B611" s="37"/>
      <c r="C611" s="37" t="s">
        <v>310</v>
      </c>
      <c r="D611" s="37">
        <v>42</v>
      </c>
      <c r="E611" s="37">
        <v>12</v>
      </c>
      <c r="F611" s="37">
        <v>2</v>
      </c>
      <c r="G611" s="37">
        <v>4</v>
      </c>
      <c r="H611" s="37" t="s">
        <v>181</v>
      </c>
      <c r="I611" s="37" t="s">
        <v>23</v>
      </c>
      <c r="J611" s="37" t="s">
        <v>17</v>
      </c>
      <c r="K611" s="37">
        <v>24</v>
      </c>
      <c r="L611" s="37">
        <v>46</v>
      </c>
      <c r="M611" s="37">
        <v>3</v>
      </c>
      <c r="N611" s="37">
        <v>73</v>
      </c>
      <c r="O611" s="37">
        <v>71</v>
      </c>
      <c r="P611" s="37">
        <v>19</v>
      </c>
      <c r="Q611" s="37">
        <v>163</v>
      </c>
      <c r="R611" s="37">
        <v>6927</v>
      </c>
      <c r="S611" s="37"/>
      <c r="T611" s="37" t="s">
        <v>181</v>
      </c>
      <c r="U611" s="37" t="s">
        <v>207</v>
      </c>
      <c r="V611" s="37">
        <v>55</v>
      </c>
      <c r="W611" s="37" t="s">
        <v>18</v>
      </c>
      <c r="X611" s="37" t="s">
        <v>190</v>
      </c>
      <c r="Y611" s="37">
        <v>1040</v>
      </c>
      <c r="Z611" s="37" t="s">
        <v>310</v>
      </c>
      <c r="AA611" s="37">
        <v>42</v>
      </c>
      <c r="AB611" s="37">
        <v>12</v>
      </c>
      <c r="AC611" s="37">
        <v>2</v>
      </c>
      <c r="AD611" s="37" t="s">
        <v>1287</v>
      </c>
      <c r="AE611" s="37"/>
      <c r="AF611" s="37" t="s">
        <v>1288</v>
      </c>
    </row>
    <row r="612" spans="1:32" customFormat="1" x14ac:dyDescent="0.2">
      <c r="A612" s="37"/>
      <c r="B612" s="37"/>
      <c r="C612" s="37"/>
      <c r="D612" s="37"/>
      <c r="E612" s="37"/>
      <c r="F612" s="37"/>
      <c r="G612" s="37" t="s">
        <v>166</v>
      </c>
      <c r="H612" s="37" t="s">
        <v>166</v>
      </c>
      <c r="I612" s="37" t="s">
        <v>166</v>
      </c>
      <c r="J612" s="37" t="s">
        <v>19</v>
      </c>
      <c r="K612" s="37">
        <v>0</v>
      </c>
      <c r="L612" s="37">
        <v>7</v>
      </c>
      <c r="M612" s="37">
        <v>10</v>
      </c>
      <c r="N612" s="37">
        <v>17</v>
      </c>
      <c r="O612" s="37">
        <v>34</v>
      </c>
      <c r="P612" s="37">
        <v>5</v>
      </c>
      <c r="Q612" s="37">
        <v>56</v>
      </c>
      <c r="R612" s="37">
        <v>613</v>
      </c>
      <c r="S612" s="37"/>
      <c r="T612" s="37" t="s">
        <v>166</v>
      </c>
      <c r="U612" s="37" t="s">
        <v>166</v>
      </c>
      <c r="V612" s="37" t="s">
        <v>166</v>
      </c>
      <c r="W612" s="37" t="s">
        <v>18</v>
      </c>
      <c r="X612" s="37" t="s">
        <v>166</v>
      </c>
      <c r="Y612" s="37" t="s">
        <v>166</v>
      </c>
      <c r="Z612" s="37" t="s">
        <v>310</v>
      </c>
      <c r="AA612" s="37">
        <v>42</v>
      </c>
      <c r="AB612" s="37">
        <v>12</v>
      </c>
      <c r="AC612" s="37">
        <v>2</v>
      </c>
      <c r="AD612" s="37" t="s">
        <v>1287</v>
      </c>
      <c r="AE612" s="37"/>
      <c r="AF612" s="37" t="s">
        <v>1289</v>
      </c>
    </row>
    <row r="613" spans="1:32" customFormat="1" x14ac:dyDescent="0.2">
      <c r="A613" s="37"/>
      <c r="B613" s="37"/>
      <c r="C613" s="37"/>
      <c r="D613" s="37"/>
      <c r="E613" s="37"/>
      <c r="F613" s="37"/>
      <c r="G613" s="37" t="s">
        <v>166</v>
      </c>
      <c r="H613" s="37" t="s">
        <v>166</v>
      </c>
      <c r="I613" s="37" t="s">
        <v>166</v>
      </c>
      <c r="J613" s="37" t="s">
        <v>18</v>
      </c>
      <c r="K613" s="37">
        <v>132</v>
      </c>
      <c r="L613" s="37">
        <v>186</v>
      </c>
      <c r="M613" s="37">
        <v>6</v>
      </c>
      <c r="N613" s="37">
        <v>324</v>
      </c>
      <c r="O613" s="37">
        <v>320</v>
      </c>
      <c r="P613" s="37">
        <v>116</v>
      </c>
      <c r="Q613" s="37">
        <v>760</v>
      </c>
      <c r="R613" s="37">
        <v>6086</v>
      </c>
      <c r="S613" s="37"/>
      <c r="T613" s="37" t="s">
        <v>166</v>
      </c>
      <c r="U613" s="37" t="s">
        <v>166</v>
      </c>
      <c r="V613" s="37" t="s">
        <v>166</v>
      </c>
      <c r="W613" s="37" t="s">
        <v>18</v>
      </c>
      <c r="X613" s="37" t="s">
        <v>166</v>
      </c>
      <c r="Y613" s="37" t="s">
        <v>166</v>
      </c>
      <c r="Z613" s="37" t="s">
        <v>310</v>
      </c>
      <c r="AA613" s="37">
        <v>42</v>
      </c>
      <c r="AB613" s="37">
        <v>12</v>
      </c>
      <c r="AC613" s="37">
        <v>2</v>
      </c>
      <c r="AD613" s="37" t="s">
        <v>1287</v>
      </c>
      <c r="AE613" s="37"/>
      <c r="AF613" s="37" t="s">
        <v>1290</v>
      </c>
    </row>
    <row r="614" spans="1:32" customFormat="1" x14ac:dyDescent="0.2">
      <c r="A614" s="37"/>
      <c r="B614" s="37"/>
      <c r="C614" s="37" t="s">
        <v>310</v>
      </c>
      <c r="D614" s="37">
        <v>44</v>
      </c>
      <c r="E614" s="37">
        <v>2</v>
      </c>
      <c r="F614" s="37" t="s">
        <v>296</v>
      </c>
      <c r="G614" s="37">
        <v>5</v>
      </c>
      <c r="H614" s="37" t="s">
        <v>181</v>
      </c>
      <c r="I614" s="37" t="s">
        <v>23</v>
      </c>
      <c r="J614" s="37" t="s">
        <v>17</v>
      </c>
      <c r="K614" s="37">
        <v>29</v>
      </c>
      <c r="L614" s="37">
        <v>59</v>
      </c>
      <c r="M614" s="37">
        <v>5</v>
      </c>
      <c r="N614" s="37">
        <v>93</v>
      </c>
      <c r="O614" s="37">
        <v>73</v>
      </c>
      <c r="P614" s="37">
        <v>22</v>
      </c>
      <c r="Q614" s="37">
        <v>188</v>
      </c>
      <c r="R614" s="37">
        <v>8710</v>
      </c>
      <c r="S614" s="37"/>
      <c r="T614" s="37" t="s">
        <v>181</v>
      </c>
      <c r="U614" s="37" t="s">
        <v>207</v>
      </c>
      <c r="V614" s="37">
        <v>60</v>
      </c>
      <c r="W614" s="37" t="s">
        <v>18</v>
      </c>
      <c r="X614" s="37" t="s">
        <v>190</v>
      </c>
      <c r="Y614" s="37">
        <v>1300</v>
      </c>
      <c r="Z614" s="37" t="s">
        <v>310</v>
      </c>
      <c r="AA614" s="37">
        <v>44</v>
      </c>
      <c r="AB614" s="37">
        <v>2</v>
      </c>
      <c r="AC614" s="37" t="s">
        <v>296</v>
      </c>
      <c r="AD614" s="37" t="s">
        <v>1291</v>
      </c>
      <c r="AE614" s="37"/>
      <c r="AF614" s="37" t="s">
        <v>1292</v>
      </c>
    </row>
    <row r="615" spans="1:32" customFormat="1" x14ac:dyDescent="0.2">
      <c r="A615" s="37"/>
      <c r="B615" s="37"/>
      <c r="C615" s="37"/>
      <c r="D615" s="37"/>
      <c r="E615" s="37"/>
      <c r="F615" s="37"/>
      <c r="G615" s="37" t="s">
        <v>166</v>
      </c>
      <c r="H615" s="37" t="s">
        <v>166</v>
      </c>
      <c r="I615" s="37" t="s">
        <v>166</v>
      </c>
      <c r="J615" s="37" t="s">
        <v>19</v>
      </c>
      <c r="K615" s="37">
        <v>0</v>
      </c>
      <c r="L615" s="37">
        <v>3</v>
      </c>
      <c r="M615" s="37">
        <v>8</v>
      </c>
      <c r="N615" s="37">
        <v>11</v>
      </c>
      <c r="O615" s="37">
        <v>23</v>
      </c>
      <c r="P615" s="37">
        <v>3</v>
      </c>
      <c r="Q615" s="37">
        <v>37</v>
      </c>
      <c r="R615" s="37">
        <v>378</v>
      </c>
      <c r="S615" s="37"/>
      <c r="T615" s="37" t="s">
        <v>166</v>
      </c>
      <c r="U615" s="37" t="s">
        <v>166</v>
      </c>
      <c r="V615" s="37" t="s">
        <v>166</v>
      </c>
      <c r="W615" s="37" t="s">
        <v>18</v>
      </c>
      <c r="X615" s="37" t="s">
        <v>166</v>
      </c>
      <c r="Y615" s="37" t="s">
        <v>166</v>
      </c>
      <c r="Z615" s="37" t="s">
        <v>310</v>
      </c>
      <c r="AA615" s="37">
        <v>44</v>
      </c>
      <c r="AB615" s="37">
        <v>2</v>
      </c>
      <c r="AC615" s="37" t="s">
        <v>296</v>
      </c>
      <c r="AD615" s="37" t="s">
        <v>1291</v>
      </c>
      <c r="AE615" s="37"/>
      <c r="AF615" s="37" t="s">
        <v>1293</v>
      </c>
    </row>
    <row r="616" spans="1:32" customFormat="1" x14ac:dyDescent="0.2">
      <c r="A616" s="37"/>
      <c r="B616" s="37"/>
      <c r="C616" s="37"/>
      <c r="D616" s="37"/>
      <c r="E616" s="37"/>
      <c r="F616" s="37"/>
      <c r="G616" s="37" t="s">
        <v>166</v>
      </c>
      <c r="H616" s="37" t="s">
        <v>166</v>
      </c>
      <c r="I616" s="37" t="s">
        <v>166</v>
      </c>
      <c r="J616" s="37" t="s">
        <v>18</v>
      </c>
      <c r="K616" s="37">
        <v>304</v>
      </c>
      <c r="L616" s="37">
        <v>153</v>
      </c>
      <c r="M616" s="37">
        <v>3</v>
      </c>
      <c r="N616" s="37">
        <v>460</v>
      </c>
      <c r="O616" s="37">
        <v>346</v>
      </c>
      <c r="P616" s="37">
        <v>134</v>
      </c>
      <c r="Q616" s="37">
        <v>940</v>
      </c>
      <c r="R616" s="37">
        <v>9248</v>
      </c>
      <c r="S616" s="37"/>
      <c r="T616" s="37" t="s">
        <v>166</v>
      </c>
      <c r="U616" s="37" t="s">
        <v>166</v>
      </c>
      <c r="V616" s="37" t="s">
        <v>166</v>
      </c>
      <c r="W616" s="37" t="s">
        <v>18</v>
      </c>
      <c r="X616" s="37" t="s">
        <v>166</v>
      </c>
      <c r="Y616" s="37" t="s">
        <v>166</v>
      </c>
      <c r="Z616" s="37" t="s">
        <v>310</v>
      </c>
      <c r="AA616" s="37">
        <v>44</v>
      </c>
      <c r="AB616" s="37">
        <v>2</v>
      </c>
      <c r="AC616" s="37" t="s">
        <v>296</v>
      </c>
      <c r="AD616" s="37" t="s">
        <v>1291</v>
      </c>
      <c r="AE616" s="37"/>
      <c r="AF616" s="37" t="s">
        <v>1294</v>
      </c>
    </row>
    <row r="617" spans="1:32" customFormat="1" x14ac:dyDescent="0.2">
      <c r="A617" s="37"/>
      <c r="B617" s="37"/>
      <c r="C617" s="37" t="s">
        <v>310</v>
      </c>
      <c r="D617" s="37">
        <v>45</v>
      </c>
      <c r="E617" s="37">
        <v>8</v>
      </c>
      <c r="F617" s="37" t="s">
        <v>296</v>
      </c>
      <c r="G617" s="37">
        <v>7</v>
      </c>
      <c r="H617" s="37" t="s">
        <v>209</v>
      </c>
      <c r="I617" s="37" t="s">
        <v>23</v>
      </c>
      <c r="J617" s="37" t="s">
        <v>17</v>
      </c>
      <c r="K617" s="37">
        <v>25</v>
      </c>
      <c r="L617" s="37">
        <v>56</v>
      </c>
      <c r="M617" s="37">
        <v>5</v>
      </c>
      <c r="N617" s="37">
        <v>86</v>
      </c>
      <c r="O617" s="37">
        <v>68</v>
      </c>
      <c r="P617" s="37">
        <v>21</v>
      </c>
      <c r="Q617" s="37">
        <v>175</v>
      </c>
      <c r="R617" s="37">
        <v>7997</v>
      </c>
      <c r="S617" s="37"/>
      <c r="T617" s="37" t="s">
        <v>181</v>
      </c>
      <c r="U617" s="37" t="s">
        <v>198</v>
      </c>
      <c r="V617" s="37">
        <v>55</v>
      </c>
      <c r="W617" s="37" t="s">
        <v>18</v>
      </c>
      <c r="X617" s="37" t="s">
        <v>190</v>
      </c>
      <c r="Y617" s="37">
        <v>1890</v>
      </c>
      <c r="Z617" s="37" t="s">
        <v>310</v>
      </c>
      <c r="AA617" s="37">
        <v>45</v>
      </c>
      <c r="AB617" s="37">
        <v>8</v>
      </c>
      <c r="AC617" s="37" t="s">
        <v>296</v>
      </c>
      <c r="AD617" s="37" t="s">
        <v>1295</v>
      </c>
      <c r="AE617" s="37"/>
      <c r="AF617" s="37" t="s">
        <v>1296</v>
      </c>
    </row>
    <row r="618" spans="1:32" customFormat="1" x14ac:dyDescent="0.2">
      <c r="A618" s="37"/>
      <c r="B618" s="37"/>
      <c r="C618" s="37"/>
      <c r="D618" s="37"/>
      <c r="E618" s="37"/>
      <c r="F618" s="37"/>
      <c r="G618" s="37" t="s">
        <v>166</v>
      </c>
      <c r="H618" s="37" t="s">
        <v>166</v>
      </c>
      <c r="I618" s="37" t="s">
        <v>166</v>
      </c>
      <c r="J618" s="37" t="s">
        <v>19</v>
      </c>
      <c r="K618" s="37">
        <v>0</v>
      </c>
      <c r="L618" s="37">
        <v>3</v>
      </c>
      <c r="M618" s="37">
        <v>9</v>
      </c>
      <c r="N618" s="37">
        <v>12</v>
      </c>
      <c r="O618" s="37">
        <v>26</v>
      </c>
      <c r="P618" s="37">
        <v>4</v>
      </c>
      <c r="Q618" s="37">
        <v>42</v>
      </c>
      <c r="R618" s="37">
        <v>426</v>
      </c>
      <c r="S618" s="37"/>
      <c r="T618" s="37" t="s">
        <v>166</v>
      </c>
      <c r="U618" s="37" t="s">
        <v>166</v>
      </c>
      <c r="V618" s="37" t="s">
        <v>166</v>
      </c>
      <c r="W618" s="37" t="s">
        <v>18</v>
      </c>
      <c r="X618" s="37" t="s">
        <v>166</v>
      </c>
      <c r="Y618" s="37" t="s">
        <v>166</v>
      </c>
      <c r="Z618" s="37" t="s">
        <v>310</v>
      </c>
      <c r="AA618" s="37">
        <v>45</v>
      </c>
      <c r="AB618" s="37">
        <v>8</v>
      </c>
      <c r="AC618" s="37" t="s">
        <v>296</v>
      </c>
      <c r="AD618" s="37" t="s">
        <v>1295</v>
      </c>
      <c r="AE618" s="37"/>
      <c r="AF618" s="37" t="s">
        <v>1297</v>
      </c>
    </row>
    <row r="619" spans="1:32" customFormat="1" x14ac:dyDescent="0.2">
      <c r="A619" s="37"/>
      <c r="B619" s="37"/>
      <c r="C619" s="37"/>
      <c r="D619" s="37"/>
      <c r="E619" s="37"/>
      <c r="F619" s="37"/>
      <c r="G619" s="37" t="s">
        <v>166</v>
      </c>
      <c r="H619" s="37" t="s">
        <v>166</v>
      </c>
      <c r="I619" s="37" t="s">
        <v>166</v>
      </c>
      <c r="J619" s="37" t="s">
        <v>18</v>
      </c>
      <c r="K619" s="37">
        <v>554</v>
      </c>
      <c r="L619" s="37">
        <v>238</v>
      </c>
      <c r="M619" s="37">
        <v>3</v>
      </c>
      <c r="N619" s="37">
        <v>795</v>
      </c>
      <c r="O619" s="37">
        <v>498</v>
      </c>
      <c r="P619" s="37">
        <v>204</v>
      </c>
      <c r="Q619" s="37">
        <v>1497</v>
      </c>
      <c r="R619" s="37">
        <v>16087</v>
      </c>
      <c r="S619" s="37"/>
      <c r="T619" s="37" t="s">
        <v>166</v>
      </c>
      <c r="U619" s="37" t="s">
        <v>166</v>
      </c>
      <c r="V619" s="37" t="s">
        <v>166</v>
      </c>
      <c r="W619" s="37" t="s">
        <v>18</v>
      </c>
      <c r="X619" s="37" t="s">
        <v>166</v>
      </c>
      <c r="Y619" s="37" t="s">
        <v>166</v>
      </c>
      <c r="Z619" s="37" t="s">
        <v>310</v>
      </c>
      <c r="AA619" s="37">
        <v>45</v>
      </c>
      <c r="AB619" s="37">
        <v>8</v>
      </c>
      <c r="AC619" s="37" t="s">
        <v>296</v>
      </c>
      <c r="AD619" s="37" t="s">
        <v>1295</v>
      </c>
      <c r="AE619" s="37"/>
      <c r="AF619" s="37" t="s">
        <v>1298</v>
      </c>
    </row>
    <row r="620" spans="1:32" customFormat="1" x14ac:dyDescent="0.2">
      <c r="A620" s="37"/>
      <c r="B620" s="37"/>
      <c r="C620" s="37" t="s">
        <v>310</v>
      </c>
      <c r="D620" s="37">
        <v>46</v>
      </c>
      <c r="E620" s="37">
        <v>3</v>
      </c>
      <c r="F620" s="37" t="s">
        <v>296</v>
      </c>
      <c r="G620" s="37">
        <v>5</v>
      </c>
      <c r="H620" s="37" t="s">
        <v>181</v>
      </c>
      <c r="I620" s="37" t="s">
        <v>23</v>
      </c>
      <c r="J620" s="37" t="s">
        <v>17</v>
      </c>
      <c r="K620" s="37">
        <v>38</v>
      </c>
      <c r="L620" s="37">
        <v>69</v>
      </c>
      <c r="M620" s="37">
        <v>4</v>
      </c>
      <c r="N620" s="37">
        <v>111</v>
      </c>
      <c r="O620" s="37">
        <v>77</v>
      </c>
      <c r="P620" s="37">
        <v>25</v>
      </c>
      <c r="Q620" s="37">
        <v>213</v>
      </c>
      <c r="R620" s="37">
        <v>10418</v>
      </c>
      <c r="S620" s="37"/>
      <c r="T620" s="37" t="s">
        <v>181</v>
      </c>
      <c r="U620" s="37" t="s">
        <v>207</v>
      </c>
      <c r="V620" s="37">
        <v>55</v>
      </c>
      <c r="W620" s="37" t="s">
        <v>18</v>
      </c>
      <c r="X620" s="37" t="s">
        <v>190</v>
      </c>
      <c r="Y620" s="37">
        <v>1300</v>
      </c>
      <c r="Z620" s="37" t="s">
        <v>310</v>
      </c>
      <c r="AA620" s="37">
        <v>46</v>
      </c>
      <c r="AB620" s="37">
        <v>3</v>
      </c>
      <c r="AC620" s="37" t="s">
        <v>296</v>
      </c>
      <c r="AD620" s="37" t="s">
        <v>689</v>
      </c>
      <c r="AE620" s="37"/>
      <c r="AF620" s="37" t="s">
        <v>691</v>
      </c>
    </row>
    <row r="621" spans="1:32" customFormat="1" x14ac:dyDescent="0.2">
      <c r="A621" s="37"/>
      <c r="B621" s="37"/>
      <c r="C621" s="37"/>
      <c r="D621" s="37"/>
      <c r="E621" s="37"/>
      <c r="F621" s="37"/>
      <c r="G621" s="37" t="s">
        <v>166</v>
      </c>
      <c r="H621" s="37" t="s">
        <v>166</v>
      </c>
      <c r="I621" s="37" t="s">
        <v>166</v>
      </c>
      <c r="J621" s="37" t="s">
        <v>19</v>
      </c>
      <c r="K621" s="37">
        <v>0</v>
      </c>
      <c r="L621" s="37">
        <v>3</v>
      </c>
      <c r="M621" s="37">
        <v>8</v>
      </c>
      <c r="N621" s="37">
        <v>11</v>
      </c>
      <c r="O621" s="37">
        <v>26</v>
      </c>
      <c r="P621" s="37">
        <v>3</v>
      </c>
      <c r="Q621" s="37">
        <v>40</v>
      </c>
      <c r="R621" s="37">
        <v>355</v>
      </c>
      <c r="S621" s="37"/>
      <c r="T621" s="37" t="s">
        <v>166</v>
      </c>
      <c r="U621" s="37" t="s">
        <v>166</v>
      </c>
      <c r="V621" s="37" t="s">
        <v>166</v>
      </c>
      <c r="W621" s="37" t="s">
        <v>18</v>
      </c>
      <c r="X621" s="37" t="s">
        <v>166</v>
      </c>
      <c r="Y621" s="37" t="s">
        <v>166</v>
      </c>
      <c r="Z621" s="37" t="s">
        <v>310</v>
      </c>
      <c r="AA621" s="37">
        <v>46</v>
      </c>
      <c r="AB621" s="37">
        <v>3</v>
      </c>
      <c r="AC621" s="37" t="s">
        <v>296</v>
      </c>
      <c r="AD621" s="37" t="s">
        <v>689</v>
      </c>
      <c r="AE621" s="37"/>
      <c r="AF621" s="37" t="s">
        <v>692</v>
      </c>
    </row>
    <row r="622" spans="1:32" customFormat="1" x14ac:dyDescent="0.2">
      <c r="A622" s="37"/>
      <c r="B622" s="37"/>
      <c r="C622" s="37"/>
      <c r="D622" s="37"/>
      <c r="E622" s="37"/>
      <c r="F622" s="37"/>
      <c r="G622" s="37" t="s">
        <v>166</v>
      </c>
      <c r="H622" s="37" t="s">
        <v>166</v>
      </c>
      <c r="I622" s="37" t="s">
        <v>166</v>
      </c>
      <c r="J622" s="37" t="s">
        <v>18</v>
      </c>
      <c r="K622" s="37">
        <v>286</v>
      </c>
      <c r="L622" s="37">
        <v>223</v>
      </c>
      <c r="M622" s="37">
        <v>3</v>
      </c>
      <c r="N622" s="37">
        <v>512</v>
      </c>
      <c r="O622" s="37">
        <v>340</v>
      </c>
      <c r="P622" s="37">
        <v>137</v>
      </c>
      <c r="Q622" s="37">
        <v>989</v>
      </c>
      <c r="R622" s="37">
        <v>9996</v>
      </c>
      <c r="S622" s="37"/>
      <c r="T622" s="37" t="s">
        <v>166</v>
      </c>
      <c r="U622" s="37" t="s">
        <v>166</v>
      </c>
      <c r="V622" s="37" t="s">
        <v>166</v>
      </c>
      <c r="W622" s="37" t="s">
        <v>18</v>
      </c>
      <c r="X622" s="37" t="s">
        <v>166</v>
      </c>
      <c r="Y622" s="37" t="s">
        <v>166</v>
      </c>
      <c r="Z622" s="37" t="s">
        <v>310</v>
      </c>
      <c r="AA622" s="37">
        <v>46</v>
      </c>
      <c r="AB622" s="37">
        <v>3</v>
      </c>
      <c r="AC622" s="37" t="s">
        <v>296</v>
      </c>
      <c r="AD622" s="37" t="s">
        <v>689</v>
      </c>
      <c r="AE622" s="37"/>
      <c r="AF622" s="37" t="s">
        <v>690</v>
      </c>
    </row>
    <row r="623" spans="1:32" customFormat="1" x14ac:dyDescent="0.2">
      <c r="A623" s="37"/>
      <c r="B623" s="37"/>
      <c r="C623" s="37" t="s">
        <v>310</v>
      </c>
      <c r="D623" s="37">
        <v>53</v>
      </c>
      <c r="E623" s="37">
        <v>3</v>
      </c>
      <c r="F623" s="37" t="s">
        <v>296</v>
      </c>
      <c r="G623" s="37">
        <v>2</v>
      </c>
      <c r="H623" s="37" t="s">
        <v>209</v>
      </c>
      <c r="I623" s="37" t="s">
        <v>23</v>
      </c>
      <c r="J623" s="37" t="s">
        <v>17</v>
      </c>
      <c r="K623" s="37">
        <v>0</v>
      </c>
      <c r="L623" s="37">
        <v>0</v>
      </c>
      <c r="M623" s="37">
        <v>0</v>
      </c>
      <c r="N623" s="37">
        <v>0</v>
      </c>
      <c r="O623" s="37">
        <v>0</v>
      </c>
      <c r="P623" s="37">
        <v>0</v>
      </c>
      <c r="Q623" s="37">
        <v>0</v>
      </c>
      <c r="R623" s="37">
        <v>0</v>
      </c>
      <c r="S623" s="37"/>
      <c r="T623" s="37" t="s">
        <v>181</v>
      </c>
      <c r="U623" s="37" t="s">
        <v>203</v>
      </c>
      <c r="V623" s="37">
        <v>45</v>
      </c>
      <c r="W623" s="37" t="s">
        <v>18</v>
      </c>
      <c r="X623" s="37" t="s">
        <v>190</v>
      </c>
      <c r="Y623" s="37">
        <v>440</v>
      </c>
      <c r="Z623" s="37" t="s">
        <v>310</v>
      </c>
      <c r="AA623" s="37">
        <v>53</v>
      </c>
      <c r="AB623" s="37">
        <v>3</v>
      </c>
      <c r="AC623" s="37" t="s">
        <v>296</v>
      </c>
      <c r="AD623" s="37" t="s">
        <v>1299</v>
      </c>
      <c r="AE623" s="37"/>
      <c r="AF623" s="37" t="s">
        <v>1300</v>
      </c>
    </row>
    <row r="624" spans="1:32" customFormat="1" x14ac:dyDescent="0.2">
      <c r="A624" s="37"/>
      <c r="B624" s="37"/>
      <c r="C624" s="37"/>
      <c r="D624" s="37"/>
      <c r="E624" s="37"/>
      <c r="F624" s="37"/>
      <c r="G624" s="37" t="s">
        <v>166</v>
      </c>
      <c r="H624" s="37" t="s">
        <v>166</v>
      </c>
      <c r="I624" s="37" t="s">
        <v>166</v>
      </c>
      <c r="J624" s="37" t="s">
        <v>19</v>
      </c>
      <c r="K624" s="37">
        <v>0</v>
      </c>
      <c r="L624" s="37">
        <v>6</v>
      </c>
      <c r="M624" s="37">
        <v>4</v>
      </c>
      <c r="N624" s="37">
        <v>10</v>
      </c>
      <c r="O624" s="37">
        <v>14</v>
      </c>
      <c r="P624" s="37">
        <v>2</v>
      </c>
      <c r="Q624" s="37">
        <v>26</v>
      </c>
      <c r="R624" s="37">
        <v>412</v>
      </c>
      <c r="S624" s="37"/>
      <c r="T624" s="37" t="s">
        <v>166</v>
      </c>
      <c r="U624" s="37" t="s">
        <v>166</v>
      </c>
      <c r="V624" s="37" t="s">
        <v>166</v>
      </c>
      <c r="W624" s="37" t="s">
        <v>18</v>
      </c>
      <c r="X624" s="37" t="s">
        <v>166</v>
      </c>
      <c r="Y624" s="37" t="s">
        <v>166</v>
      </c>
      <c r="Z624" s="37" t="s">
        <v>310</v>
      </c>
      <c r="AA624" s="37">
        <v>53</v>
      </c>
      <c r="AB624" s="37">
        <v>3</v>
      </c>
      <c r="AC624" s="37" t="s">
        <v>296</v>
      </c>
      <c r="AD624" s="37" t="s">
        <v>1299</v>
      </c>
      <c r="AE624" s="37"/>
      <c r="AF624" s="37" t="s">
        <v>1301</v>
      </c>
    </row>
    <row r="625" spans="1:32" customFormat="1" x14ac:dyDescent="0.2">
      <c r="A625" s="37"/>
      <c r="B625" s="37"/>
      <c r="C625" s="37"/>
      <c r="D625" s="37"/>
      <c r="E625" s="37"/>
      <c r="F625" s="37"/>
      <c r="G625" s="37" t="s">
        <v>166</v>
      </c>
      <c r="H625" s="37" t="s">
        <v>166</v>
      </c>
      <c r="I625" s="37" t="s">
        <v>166</v>
      </c>
      <c r="J625" s="37" t="s">
        <v>18</v>
      </c>
      <c r="K625" s="37">
        <v>118</v>
      </c>
      <c r="L625" s="37">
        <v>48</v>
      </c>
      <c r="M625" s="37">
        <v>1</v>
      </c>
      <c r="N625" s="37">
        <v>167</v>
      </c>
      <c r="O625" s="37">
        <v>98</v>
      </c>
      <c r="P625" s="37">
        <v>42</v>
      </c>
      <c r="Q625" s="37">
        <v>307</v>
      </c>
      <c r="R625" s="37">
        <v>3364</v>
      </c>
      <c r="S625" s="37"/>
      <c r="T625" s="37" t="s">
        <v>166</v>
      </c>
      <c r="U625" s="37" t="s">
        <v>166</v>
      </c>
      <c r="V625" s="37" t="s">
        <v>166</v>
      </c>
      <c r="W625" s="37" t="s">
        <v>18</v>
      </c>
      <c r="X625" s="37" t="s">
        <v>166</v>
      </c>
      <c r="Y625" s="37" t="s">
        <v>166</v>
      </c>
      <c r="Z625" s="37" t="s">
        <v>310</v>
      </c>
      <c r="AA625" s="37">
        <v>53</v>
      </c>
      <c r="AB625" s="37">
        <v>3</v>
      </c>
      <c r="AC625" s="37" t="s">
        <v>296</v>
      </c>
      <c r="AD625" s="37" t="s">
        <v>1299</v>
      </c>
      <c r="AE625" s="37"/>
      <c r="AF625" s="37" t="s">
        <v>1302</v>
      </c>
    </row>
    <row r="626" spans="1:32" customFormat="1" x14ac:dyDescent="0.2">
      <c r="A626" s="37"/>
      <c r="B626" s="37"/>
      <c r="C626" s="37" t="s">
        <v>310</v>
      </c>
      <c r="D626" s="37">
        <v>54</v>
      </c>
      <c r="E626" s="37">
        <v>12</v>
      </c>
      <c r="F626" s="37" t="s">
        <v>296</v>
      </c>
      <c r="G626" s="37">
        <v>6.3</v>
      </c>
      <c r="H626" s="37" t="s">
        <v>209</v>
      </c>
      <c r="I626" s="37" t="s">
        <v>23</v>
      </c>
      <c r="J626" s="37" t="s">
        <v>17</v>
      </c>
      <c r="K626" s="37">
        <v>2</v>
      </c>
      <c r="L626" s="37">
        <v>31</v>
      </c>
      <c r="M626" s="37">
        <v>13</v>
      </c>
      <c r="N626" s="37">
        <v>46</v>
      </c>
      <c r="O626" s="37">
        <v>15</v>
      </c>
      <c r="P626" s="37">
        <v>9</v>
      </c>
      <c r="Q626" s="37">
        <v>70</v>
      </c>
      <c r="R626" s="37">
        <v>3310</v>
      </c>
      <c r="S626" s="37"/>
      <c r="T626" s="37" t="s">
        <v>181</v>
      </c>
      <c r="U626" s="37" t="s">
        <v>225</v>
      </c>
      <c r="V626" s="37">
        <v>45</v>
      </c>
      <c r="W626" s="37" t="s">
        <v>18</v>
      </c>
      <c r="X626" s="37" t="s">
        <v>190</v>
      </c>
      <c r="Y626" s="37">
        <v>1638</v>
      </c>
      <c r="Z626" s="37" t="s">
        <v>310</v>
      </c>
      <c r="AA626" s="37">
        <v>54</v>
      </c>
      <c r="AB626" s="37">
        <v>12</v>
      </c>
      <c r="AC626" s="37" t="s">
        <v>296</v>
      </c>
      <c r="AD626" s="37" t="s">
        <v>699</v>
      </c>
      <c r="AE626" s="37"/>
      <c r="AF626" s="37" t="s">
        <v>701</v>
      </c>
    </row>
    <row r="627" spans="1:32" customFormat="1" x14ac:dyDescent="0.2">
      <c r="A627" s="37"/>
      <c r="B627" s="37"/>
      <c r="C627" s="37"/>
      <c r="D627" s="37"/>
      <c r="E627" s="37"/>
      <c r="F627" s="37"/>
      <c r="G627" s="37" t="s">
        <v>166</v>
      </c>
      <c r="H627" s="37" t="s">
        <v>166</v>
      </c>
      <c r="I627" s="37" t="s">
        <v>166</v>
      </c>
      <c r="J627" s="37" t="s">
        <v>19</v>
      </c>
      <c r="K627" s="37">
        <v>0</v>
      </c>
      <c r="L627" s="37">
        <v>7</v>
      </c>
      <c r="M627" s="37">
        <v>7</v>
      </c>
      <c r="N627" s="37">
        <v>14</v>
      </c>
      <c r="O627" s="37">
        <v>30</v>
      </c>
      <c r="P627" s="37">
        <v>4</v>
      </c>
      <c r="Q627" s="37">
        <v>48</v>
      </c>
      <c r="R627" s="37">
        <v>546</v>
      </c>
      <c r="S627" s="37"/>
      <c r="T627" s="37" t="s">
        <v>166</v>
      </c>
      <c r="U627" s="37" t="s">
        <v>166</v>
      </c>
      <c r="V627" s="37" t="s">
        <v>166</v>
      </c>
      <c r="W627" s="37" t="s">
        <v>18</v>
      </c>
      <c r="X627" s="37" t="s">
        <v>166</v>
      </c>
      <c r="Y627" s="37" t="s">
        <v>166</v>
      </c>
      <c r="Z627" s="37" t="s">
        <v>310</v>
      </c>
      <c r="AA627" s="37">
        <v>54</v>
      </c>
      <c r="AB627" s="37">
        <v>12</v>
      </c>
      <c r="AC627" s="37" t="s">
        <v>296</v>
      </c>
      <c r="AD627" s="37" t="s">
        <v>699</v>
      </c>
      <c r="AE627" s="37"/>
      <c r="AF627" s="37" t="s">
        <v>1303</v>
      </c>
    </row>
    <row r="628" spans="1:32" customFormat="1" x14ac:dyDescent="0.2">
      <c r="A628" s="37"/>
      <c r="B628" s="37"/>
      <c r="C628" s="37"/>
      <c r="D628" s="37"/>
      <c r="E628" s="37"/>
      <c r="F628" s="37"/>
      <c r="G628" s="37" t="s">
        <v>166</v>
      </c>
      <c r="H628" s="37" t="s">
        <v>166</v>
      </c>
      <c r="I628" s="37" t="s">
        <v>166</v>
      </c>
      <c r="J628" s="37" t="s">
        <v>18</v>
      </c>
      <c r="K628" s="37">
        <v>451</v>
      </c>
      <c r="L628" s="37">
        <v>326</v>
      </c>
      <c r="M628" s="37">
        <v>8</v>
      </c>
      <c r="N628" s="37">
        <v>785</v>
      </c>
      <c r="O628" s="37">
        <v>457</v>
      </c>
      <c r="P628" s="37">
        <v>193</v>
      </c>
      <c r="Q628" s="37">
        <v>1435</v>
      </c>
      <c r="R628" s="37">
        <v>15327</v>
      </c>
      <c r="S628" s="37"/>
      <c r="T628" s="37" t="s">
        <v>166</v>
      </c>
      <c r="U628" s="37" t="s">
        <v>166</v>
      </c>
      <c r="V628" s="37" t="s">
        <v>166</v>
      </c>
      <c r="W628" s="37" t="s">
        <v>18</v>
      </c>
      <c r="X628" s="37" t="s">
        <v>166</v>
      </c>
      <c r="Y628" s="37" t="s">
        <v>166</v>
      </c>
      <c r="Z628" s="37" t="s">
        <v>310</v>
      </c>
      <c r="AA628" s="37">
        <v>54</v>
      </c>
      <c r="AB628" s="37">
        <v>12</v>
      </c>
      <c r="AC628" s="37" t="s">
        <v>296</v>
      </c>
      <c r="AD628" s="37" t="s">
        <v>699</v>
      </c>
      <c r="AE628" s="37"/>
      <c r="AF628" s="37" t="s">
        <v>700</v>
      </c>
    </row>
    <row r="629" spans="1:32" customFormat="1" x14ac:dyDescent="0.2">
      <c r="A629" s="37"/>
      <c r="B629" s="37"/>
      <c r="C629" s="37" t="s">
        <v>310</v>
      </c>
      <c r="D629" s="37">
        <v>60</v>
      </c>
      <c r="E629" s="37">
        <v>31</v>
      </c>
      <c r="F629" s="37" t="s">
        <v>296</v>
      </c>
      <c r="G629" s="37">
        <v>0.9</v>
      </c>
      <c r="H629" s="37" t="s">
        <v>181</v>
      </c>
      <c r="I629" s="37" t="s">
        <v>23</v>
      </c>
      <c r="J629" s="37" t="s">
        <v>17</v>
      </c>
      <c r="K629" s="37">
        <v>13</v>
      </c>
      <c r="L629" s="37">
        <v>14</v>
      </c>
      <c r="M629" s="37">
        <v>1</v>
      </c>
      <c r="N629" s="37">
        <v>28</v>
      </c>
      <c r="O629" s="37">
        <v>27</v>
      </c>
      <c r="P629" s="37">
        <v>8</v>
      </c>
      <c r="Q629" s="37">
        <v>63</v>
      </c>
      <c r="R629" s="37">
        <v>2848</v>
      </c>
      <c r="S629" s="37"/>
      <c r="T629" s="37" t="s">
        <v>181</v>
      </c>
      <c r="U629" s="37" t="s">
        <v>320</v>
      </c>
      <c r="V629" s="37">
        <v>75</v>
      </c>
      <c r="W629" s="37" t="s">
        <v>17</v>
      </c>
      <c r="X629" s="37" t="s">
        <v>190</v>
      </c>
      <c r="Y629" s="37">
        <v>171</v>
      </c>
      <c r="Z629" s="37" t="s">
        <v>310</v>
      </c>
      <c r="AA629" s="37">
        <v>60</v>
      </c>
      <c r="AB629" s="37">
        <v>31</v>
      </c>
      <c r="AC629" s="37" t="s">
        <v>296</v>
      </c>
      <c r="AD629" s="37" t="s">
        <v>1304</v>
      </c>
      <c r="AE629" s="37"/>
      <c r="AF629" s="37" t="s">
        <v>1305</v>
      </c>
    </row>
    <row r="630" spans="1:32" customFormat="1" x14ac:dyDescent="0.2">
      <c r="A630" s="37"/>
      <c r="B630" s="37"/>
      <c r="C630" s="37"/>
      <c r="D630" s="37"/>
      <c r="E630" s="37"/>
      <c r="F630" s="37"/>
      <c r="G630" s="37" t="s">
        <v>166</v>
      </c>
      <c r="H630" s="37" t="s">
        <v>166</v>
      </c>
      <c r="I630" s="37" t="s">
        <v>166</v>
      </c>
      <c r="J630" s="37" t="s">
        <v>19</v>
      </c>
      <c r="K630" s="37">
        <v>0</v>
      </c>
      <c r="L630" s="37">
        <v>2</v>
      </c>
      <c r="M630" s="37">
        <v>2</v>
      </c>
      <c r="N630" s="37">
        <v>4</v>
      </c>
      <c r="O630" s="37">
        <v>13</v>
      </c>
      <c r="P630" s="37">
        <v>2</v>
      </c>
      <c r="Q630" s="37">
        <v>19</v>
      </c>
      <c r="R630" s="37">
        <v>183</v>
      </c>
      <c r="S630" s="37"/>
      <c r="T630" s="37" t="s">
        <v>166</v>
      </c>
      <c r="U630" s="37" t="s">
        <v>166</v>
      </c>
      <c r="V630" s="37" t="s">
        <v>166</v>
      </c>
      <c r="W630" s="37" t="s">
        <v>17</v>
      </c>
      <c r="X630" s="37" t="s">
        <v>166</v>
      </c>
      <c r="Y630" s="37" t="s">
        <v>166</v>
      </c>
      <c r="Z630" s="37" t="s">
        <v>310</v>
      </c>
      <c r="AA630" s="37">
        <v>60</v>
      </c>
      <c r="AB630" s="37">
        <v>31</v>
      </c>
      <c r="AC630" s="37" t="s">
        <v>296</v>
      </c>
      <c r="AD630" s="37" t="s">
        <v>1304</v>
      </c>
      <c r="AE630" s="37"/>
      <c r="AF630" s="37" t="s">
        <v>1306</v>
      </c>
    </row>
    <row r="631" spans="1:32" customFormat="1" x14ac:dyDescent="0.2">
      <c r="A631" s="37"/>
      <c r="B631" s="37"/>
      <c r="C631" s="37"/>
      <c r="D631" s="37"/>
      <c r="E631" s="37"/>
      <c r="F631" s="37"/>
      <c r="G631" s="37" t="s">
        <v>166</v>
      </c>
      <c r="H631" s="37" t="s">
        <v>166</v>
      </c>
      <c r="I631" s="37" t="s">
        <v>166</v>
      </c>
      <c r="J631" s="37" t="s">
        <v>18</v>
      </c>
      <c r="K631" s="37">
        <v>24</v>
      </c>
      <c r="L631" s="37">
        <v>4</v>
      </c>
      <c r="M631" s="37">
        <v>0</v>
      </c>
      <c r="N631" s="37">
        <v>28</v>
      </c>
      <c r="O631" s="37">
        <v>32</v>
      </c>
      <c r="P631" s="37">
        <v>11</v>
      </c>
      <c r="Q631" s="37">
        <v>71</v>
      </c>
      <c r="R631" s="37">
        <v>599</v>
      </c>
      <c r="S631" s="37"/>
      <c r="T631" s="37" t="s">
        <v>166</v>
      </c>
      <c r="U631" s="37" t="s">
        <v>166</v>
      </c>
      <c r="V631" s="37" t="s">
        <v>166</v>
      </c>
      <c r="W631" s="37" t="s">
        <v>17</v>
      </c>
      <c r="X631" s="37" t="s">
        <v>166</v>
      </c>
      <c r="Y631" s="37" t="s">
        <v>166</v>
      </c>
      <c r="Z631" s="37" t="s">
        <v>310</v>
      </c>
      <c r="AA631" s="37">
        <v>60</v>
      </c>
      <c r="AB631" s="37">
        <v>31</v>
      </c>
      <c r="AC631" s="37" t="s">
        <v>296</v>
      </c>
      <c r="AD631" s="37" t="s">
        <v>1304</v>
      </c>
      <c r="AE631" s="37"/>
      <c r="AF631" s="37" t="s">
        <v>1307</v>
      </c>
    </row>
    <row r="632" spans="1:32" customFormat="1" x14ac:dyDescent="0.2">
      <c r="A632" s="37"/>
      <c r="B632" s="37"/>
      <c r="C632" s="37" t="s">
        <v>310</v>
      </c>
      <c r="D632" s="37">
        <v>61</v>
      </c>
      <c r="E632" s="37">
        <v>9</v>
      </c>
      <c r="F632" s="37" t="s">
        <v>296</v>
      </c>
      <c r="G632" s="37">
        <v>2</v>
      </c>
      <c r="H632" s="37" t="s">
        <v>181</v>
      </c>
      <c r="I632" s="37" t="s">
        <v>23</v>
      </c>
      <c r="J632" s="37" t="s">
        <v>17</v>
      </c>
      <c r="K632" s="37">
        <v>3</v>
      </c>
      <c r="L632" s="37">
        <v>18</v>
      </c>
      <c r="M632" s="37">
        <v>4</v>
      </c>
      <c r="N632" s="37">
        <v>25</v>
      </c>
      <c r="O632" s="37">
        <v>10</v>
      </c>
      <c r="P632" s="37">
        <v>5</v>
      </c>
      <c r="Q632" s="37">
        <v>40</v>
      </c>
      <c r="R632" s="37">
        <v>1945</v>
      </c>
      <c r="S632" s="37"/>
      <c r="T632" s="37" t="s">
        <v>181</v>
      </c>
      <c r="U632" s="37" t="s">
        <v>210</v>
      </c>
      <c r="V632" s="37">
        <v>45</v>
      </c>
      <c r="W632" s="37" t="s">
        <v>18</v>
      </c>
      <c r="X632" s="37" t="s">
        <v>190</v>
      </c>
      <c r="Y632" s="37">
        <v>460</v>
      </c>
      <c r="Z632" s="37" t="s">
        <v>310</v>
      </c>
      <c r="AA632" s="37">
        <v>61</v>
      </c>
      <c r="AB632" s="37">
        <v>9</v>
      </c>
      <c r="AC632" s="37" t="s">
        <v>296</v>
      </c>
      <c r="AD632" s="37" t="s">
        <v>1308</v>
      </c>
      <c r="AE632" s="37"/>
      <c r="AF632" s="37" t="s">
        <v>1309</v>
      </c>
    </row>
    <row r="633" spans="1:32" customFormat="1" x14ac:dyDescent="0.2">
      <c r="A633" s="37"/>
      <c r="B633" s="37"/>
      <c r="C633" s="37"/>
      <c r="D633" s="37"/>
      <c r="E633" s="37"/>
      <c r="F633" s="37"/>
      <c r="G633" s="37" t="s">
        <v>166</v>
      </c>
      <c r="H633" s="37" t="s">
        <v>166</v>
      </c>
      <c r="I633" s="37" t="s">
        <v>166</v>
      </c>
      <c r="J633" s="37" t="s">
        <v>19</v>
      </c>
      <c r="K633" s="37">
        <v>0</v>
      </c>
      <c r="L633" s="37">
        <v>2</v>
      </c>
      <c r="M633" s="37">
        <v>4</v>
      </c>
      <c r="N633" s="37">
        <v>6</v>
      </c>
      <c r="O633" s="37">
        <v>8</v>
      </c>
      <c r="P633" s="37">
        <v>2</v>
      </c>
      <c r="Q633" s="37">
        <v>16</v>
      </c>
      <c r="R633" s="37">
        <v>192</v>
      </c>
      <c r="S633" s="37"/>
      <c r="T633" s="37" t="s">
        <v>166</v>
      </c>
      <c r="U633" s="37" t="s">
        <v>166</v>
      </c>
      <c r="V633" s="37" t="s">
        <v>166</v>
      </c>
      <c r="W633" s="37" t="s">
        <v>18</v>
      </c>
      <c r="X633" s="37" t="s">
        <v>166</v>
      </c>
      <c r="Y633" s="37" t="s">
        <v>166</v>
      </c>
      <c r="Z633" s="37" t="s">
        <v>310</v>
      </c>
      <c r="AA633" s="37">
        <v>61</v>
      </c>
      <c r="AB633" s="37">
        <v>9</v>
      </c>
      <c r="AC633" s="37" t="s">
        <v>296</v>
      </c>
      <c r="AD633" s="37" t="s">
        <v>1308</v>
      </c>
      <c r="AE633" s="37"/>
      <c r="AF633" s="37" t="s">
        <v>1310</v>
      </c>
    </row>
    <row r="634" spans="1:32" customFormat="1" x14ac:dyDescent="0.2">
      <c r="A634" s="37"/>
      <c r="B634" s="37"/>
      <c r="C634" s="37"/>
      <c r="D634" s="37"/>
      <c r="E634" s="37"/>
      <c r="F634" s="37"/>
      <c r="G634" s="37" t="s">
        <v>166</v>
      </c>
      <c r="H634" s="37" t="s">
        <v>166</v>
      </c>
      <c r="I634" s="37" t="s">
        <v>166</v>
      </c>
      <c r="J634" s="37" t="s">
        <v>18</v>
      </c>
      <c r="K634" s="37">
        <v>126</v>
      </c>
      <c r="L634" s="37">
        <v>42</v>
      </c>
      <c r="M634" s="37">
        <v>1</v>
      </c>
      <c r="N634" s="37">
        <v>169</v>
      </c>
      <c r="O634" s="37">
        <v>106</v>
      </c>
      <c r="P634" s="37">
        <v>44</v>
      </c>
      <c r="Q634" s="37">
        <v>319</v>
      </c>
      <c r="R634" s="37">
        <v>3465</v>
      </c>
      <c r="S634" s="37"/>
      <c r="T634" s="37" t="s">
        <v>166</v>
      </c>
      <c r="U634" s="37" t="s">
        <v>166</v>
      </c>
      <c r="V634" s="37" t="s">
        <v>166</v>
      </c>
      <c r="W634" s="37" t="s">
        <v>18</v>
      </c>
      <c r="X634" s="37" t="s">
        <v>166</v>
      </c>
      <c r="Y634" s="37" t="s">
        <v>166</v>
      </c>
      <c r="Z634" s="37" t="s">
        <v>310</v>
      </c>
      <c r="AA634" s="37">
        <v>61</v>
      </c>
      <c r="AB634" s="37">
        <v>9</v>
      </c>
      <c r="AC634" s="37" t="s">
        <v>296</v>
      </c>
      <c r="AD634" s="37" t="s">
        <v>1308</v>
      </c>
      <c r="AE634" s="37"/>
      <c r="AF634" s="37" t="s">
        <v>1311</v>
      </c>
    </row>
    <row r="635" spans="1:32" customFormat="1" x14ac:dyDescent="0.2">
      <c r="A635" s="37"/>
      <c r="B635" s="37"/>
      <c r="C635" s="37" t="s">
        <v>310</v>
      </c>
      <c r="D635" s="37">
        <v>62</v>
      </c>
      <c r="E635" s="37">
        <v>25</v>
      </c>
      <c r="F635" s="37" t="s">
        <v>296</v>
      </c>
      <c r="G635" s="37">
        <v>3.5</v>
      </c>
      <c r="H635" s="37" t="s">
        <v>181</v>
      </c>
      <c r="I635" s="37" t="s">
        <v>23</v>
      </c>
      <c r="J635" s="37" t="s">
        <v>17</v>
      </c>
      <c r="K635" s="37">
        <v>0</v>
      </c>
      <c r="L635" s="37">
        <v>0</v>
      </c>
      <c r="M635" s="37">
        <v>0</v>
      </c>
      <c r="N635" s="37">
        <v>0</v>
      </c>
      <c r="O635" s="37">
        <v>0</v>
      </c>
      <c r="P635" s="37">
        <v>0</v>
      </c>
      <c r="Q635" s="37">
        <v>0</v>
      </c>
      <c r="R635" s="37">
        <v>0</v>
      </c>
      <c r="S635" s="37"/>
      <c r="T635" s="37" t="s">
        <v>181</v>
      </c>
      <c r="U635" s="37" t="s">
        <v>202</v>
      </c>
      <c r="V635" s="37">
        <v>45</v>
      </c>
      <c r="W635" s="37" t="s">
        <v>18</v>
      </c>
      <c r="X635" s="37" t="s">
        <v>190</v>
      </c>
      <c r="Y635" s="37">
        <v>945</v>
      </c>
      <c r="Z635" s="37" t="s">
        <v>310</v>
      </c>
      <c r="AA635" s="37">
        <v>62</v>
      </c>
      <c r="AB635" s="37">
        <v>25</v>
      </c>
      <c r="AC635" s="37" t="s">
        <v>296</v>
      </c>
      <c r="AD635" s="37" t="s">
        <v>1312</v>
      </c>
      <c r="AE635" s="37"/>
      <c r="AF635" s="37" t="s">
        <v>1313</v>
      </c>
    </row>
    <row r="636" spans="1:32" customFormat="1" x14ac:dyDescent="0.2">
      <c r="A636" s="37"/>
      <c r="B636" s="37"/>
      <c r="C636" s="37"/>
      <c r="D636" s="37"/>
      <c r="E636" s="37"/>
      <c r="F636" s="37"/>
      <c r="G636" s="37" t="s">
        <v>166</v>
      </c>
      <c r="H636" s="37" t="s">
        <v>166</v>
      </c>
      <c r="I636" s="37" t="s">
        <v>166</v>
      </c>
      <c r="J636" s="37" t="s">
        <v>19</v>
      </c>
      <c r="K636" s="37">
        <v>0</v>
      </c>
      <c r="L636" s="37">
        <v>3</v>
      </c>
      <c r="M636" s="37">
        <v>8</v>
      </c>
      <c r="N636" s="37">
        <v>11</v>
      </c>
      <c r="O636" s="37">
        <v>36</v>
      </c>
      <c r="P636" s="37">
        <v>4</v>
      </c>
      <c r="Q636" s="37">
        <v>51</v>
      </c>
      <c r="R636" s="37">
        <v>409</v>
      </c>
      <c r="S636" s="37"/>
      <c r="T636" s="37" t="s">
        <v>166</v>
      </c>
      <c r="U636" s="37" t="s">
        <v>166</v>
      </c>
      <c r="V636" s="37" t="s">
        <v>166</v>
      </c>
      <c r="W636" s="37" t="s">
        <v>18</v>
      </c>
      <c r="X636" s="37" t="s">
        <v>166</v>
      </c>
      <c r="Y636" s="37" t="s">
        <v>166</v>
      </c>
      <c r="Z636" s="37" t="s">
        <v>310</v>
      </c>
      <c r="AA636" s="37">
        <v>62</v>
      </c>
      <c r="AB636" s="37">
        <v>25</v>
      </c>
      <c r="AC636" s="37" t="s">
        <v>296</v>
      </c>
      <c r="AD636" s="37" t="s">
        <v>1312</v>
      </c>
      <c r="AE636" s="37"/>
      <c r="AF636" s="37" t="s">
        <v>1314</v>
      </c>
    </row>
    <row r="637" spans="1:32" customFormat="1" x14ac:dyDescent="0.2">
      <c r="A637" s="37"/>
      <c r="B637" s="37"/>
      <c r="C637" s="37"/>
      <c r="D637" s="37"/>
      <c r="E637" s="37"/>
      <c r="F637" s="37"/>
      <c r="G637" s="37" t="s">
        <v>166</v>
      </c>
      <c r="H637" s="37" t="s">
        <v>166</v>
      </c>
      <c r="I637" s="37" t="s">
        <v>166</v>
      </c>
      <c r="J637" s="37" t="s">
        <v>18</v>
      </c>
      <c r="K637" s="37">
        <v>73</v>
      </c>
      <c r="L637" s="37">
        <v>293</v>
      </c>
      <c r="M637" s="37">
        <v>10</v>
      </c>
      <c r="N637" s="37">
        <v>376</v>
      </c>
      <c r="O637" s="37">
        <v>334</v>
      </c>
      <c r="P637" s="37">
        <v>125</v>
      </c>
      <c r="Q637" s="37">
        <v>835</v>
      </c>
      <c r="R637" s="37">
        <v>6623</v>
      </c>
      <c r="S637" s="37"/>
      <c r="T637" s="37" t="s">
        <v>166</v>
      </c>
      <c r="U637" s="37" t="s">
        <v>166</v>
      </c>
      <c r="V637" s="37" t="s">
        <v>166</v>
      </c>
      <c r="W637" s="37" t="s">
        <v>18</v>
      </c>
      <c r="X637" s="37" t="s">
        <v>166</v>
      </c>
      <c r="Y637" s="37" t="s">
        <v>166</v>
      </c>
      <c r="Z637" s="37" t="s">
        <v>310</v>
      </c>
      <c r="AA637" s="37">
        <v>62</v>
      </c>
      <c r="AB637" s="37">
        <v>25</v>
      </c>
      <c r="AC637" s="37" t="s">
        <v>296</v>
      </c>
      <c r="AD637" s="37" t="s">
        <v>1312</v>
      </c>
      <c r="AE637" s="37"/>
      <c r="AF637" s="37" t="s">
        <v>1315</v>
      </c>
    </row>
    <row r="638" spans="1:32" customFormat="1" x14ac:dyDescent="0.2">
      <c r="A638" s="37"/>
      <c r="B638" s="37"/>
      <c r="C638" s="37" t="s">
        <v>310</v>
      </c>
      <c r="D638" s="37">
        <v>64</v>
      </c>
      <c r="E638" s="37">
        <v>3</v>
      </c>
      <c r="F638" s="37" t="s">
        <v>296</v>
      </c>
      <c r="G638" s="37">
        <v>1.9</v>
      </c>
      <c r="H638" s="37" t="s">
        <v>181</v>
      </c>
      <c r="I638" s="37" t="s">
        <v>23</v>
      </c>
      <c r="J638" s="37" t="s">
        <v>17</v>
      </c>
      <c r="K638" s="37">
        <v>0</v>
      </c>
      <c r="L638" s="37">
        <v>0</v>
      </c>
      <c r="M638" s="37">
        <v>0</v>
      </c>
      <c r="N638" s="37">
        <v>0</v>
      </c>
      <c r="O638" s="37">
        <v>0</v>
      </c>
      <c r="P638" s="37">
        <v>0</v>
      </c>
      <c r="Q638" s="37">
        <v>0</v>
      </c>
      <c r="R638" s="37">
        <v>0</v>
      </c>
      <c r="S638" s="37"/>
      <c r="T638" s="37" t="s">
        <v>181</v>
      </c>
      <c r="U638" s="37" t="s">
        <v>203</v>
      </c>
      <c r="V638" s="37">
        <v>55</v>
      </c>
      <c r="W638" s="37" t="s">
        <v>18</v>
      </c>
      <c r="X638" s="37" t="s">
        <v>190</v>
      </c>
      <c r="Y638" s="37">
        <v>437</v>
      </c>
      <c r="Z638" s="37" t="s">
        <v>310</v>
      </c>
      <c r="AA638" s="37">
        <v>64</v>
      </c>
      <c r="AB638" s="37">
        <v>3</v>
      </c>
      <c r="AC638" s="37" t="s">
        <v>296</v>
      </c>
      <c r="AD638" s="37" t="s">
        <v>1316</v>
      </c>
      <c r="AE638" s="37"/>
      <c r="AF638" s="37" t="s">
        <v>1317</v>
      </c>
    </row>
    <row r="639" spans="1:32" customFormat="1" x14ac:dyDescent="0.2">
      <c r="A639" s="37"/>
      <c r="B639" s="37"/>
      <c r="C639" s="37"/>
      <c r="D639" s="37"/>
      <c r="E639" s="37"/>
      <c r="F639" s="37"/>
      <c r="G639" s="37" t="s">
        <v>166</v>
      </c>
      <c r="H639" s="37" t="s">
        <v>166</v>
      </c>
      <c r="I639" s="37" t="s">
        <v>166</v>
      </c>
      <c r="J639" s="37" t="s">
        <v>19</v>
      </c>
      <c r="K639" s="37">
        <v>0</v>
      </c>
      <c r="L639" s="37">
        <v>2</v>
      </c>
      <c r="M639" s="37">
        <v>4</v>
      </c>
      <c r="N639" s="37">
        <v>6</v>
      </c>
      <c r="O639" s="37">
        <v>8</v>
      </c>
      <c r="P639" s="37">
        <v>1</v>
      </c>
      <c r="Q639" s="37">
        <v>15</v>
      </c>
      <c r="R639" s="37">
        <v>191</v>
      </c>
      <c r="S639" s="37"/>
      <c r="T639" s="37" t="s">
        <v>166</v>
      </c>
      <c r="U639" s="37" t="s">
        <v>166</v>
      </c>
      <c r="V639" s="37" t="s">
        <v>166</v>
      </c>
      <c r="W639" s="37" t="s">
        <v>18</v>
      </c>
      <c r="X639" s="37" t="s">
        <v>166</v>
      </c>
      <c r="Y639" s="37" t="s">
        <v>166</v>
      </c>
      <c r="Z639" s="37" t="s">
        <v>310</v>
      </c>
      <c r="AA639" s="37">
        <v>64</v>
      </c>
      <c r="AB639" s="37">
        <v>3</v>
      </c>
      <c r="AC639" s="37" t="s">
        <v>296</v>
      </c>
      <c r="AD639" s="37" t="s">
        <v>1316</v>
      </c>
      <c r="AE639" s="37"/>
      <c r="AF639" s="37" t="s">
        <v>1318</v>
      </c>
    </row>
    <row r="640" spans="1:32" customFormat="1" x14ac:dyDescent="0.2">
      <c r="A640" s="37"/>
      <c r="B640" s="37"/>
      <c r="C640" s="37"/>
      <c r="D640" s="37"/>
      <c r="E640" s="37"/>
      <c r="F640" s="37"/>
      <c r="G640" s="37" t="s">
        <v>166</v>
      </c>
      <c r="H640" s="37" t="s">
        <v>166</v>
      </c>
      <c r="I640" s="37" t="s">
        <v>166</v>
      </c>
      <c r="J640" s="37" t="s">
        <v>18</v>
      </c>
      <c r="K640" s="37">
        <v>134</v>
      </c>
      <c r="L640" s="37">
        <v>41</v>
      </c>
      <c r="M640" s="37">
        <v>1</v>
      </c>
      <c r="N640" s="37">
        <v>176</v>
      </c>
      <c r="O640" s="37">
        <v>108</v>
      </c>
      <c r="P640" s="37">
        <v>44</v>
      </c>
      <c r="Q640" s="37">
        <v>328</v>
      </c>
      <c r="R640" s="37">
        <v>3619</v>
      </c>
      <c r="S640" s="37"/>
      <c r="T640" s="37" t="s">
        <v>166</v>
      </c>
      <c r="U640" s="37" t="s">
        <v>166</v>
      </c>
      <c r="V640" s="37" t="s">
        <v>166</v>
      </c>
      <c r="W640" s="37" t="s">
        <v>18</v>
      </c>
      <c r="X640" s="37" t="s">
        <v>166</v>
      </c>
      <c r="Y640" s="37" t="s">
        <v>166</v>
      </c>
      <c r="Z640" s="37" t="s">
        <v>310</v>
      </c>
      <c r="AA640" s="37">
        <v>64</v>
      </c>
      <c r="AB640" s="37">
        <v>3</v>
      </c>
      <c r="AC640" s="37" t="s">
        <v>296</v>
      </c>
      <c r="AD640" s="37" t="s">
        <v>1316</v>
      </c>
      <c r="AE640" s="37"/>
      <c r="AF640" s="37" t="s">
        <v>1319</v>
      </c>
    </row>
    <row r="641" spans="1:32" customFormat="1" x14ac:dyDescent="0.2">
      <c r="A641" s="37"/>
      <c r="B641" s="37"/>
      <c r="C641" s="37" t="s">
        <v>310</v>
      </c>
      <c r="D641" s="37">
        <v>76</v>
      </c>
      <c r="E641" s="37">
        <v>4</v>
      </c>
      <c r="F641" s="37" t="s">
        <v>296</v>
      </c>
      <c r="G641" s="37">
        <v>2</v>
      </c>
      <c r="H641" s="37" t="s">
        <v>181</v>
      </c>
      <c r="I641" s="37" t="s">
        <v>23</v>
      </c>
      <c r="J641" s="37" t="s">
        <v>17</v>
      </c>
      <c r="K641" s="37">
        <v>33</v>
      </c>
      <c r="L641" s="37">
        <v>49</v>
      </c>
      <c r="M641" s="37">
        <v>4</v>
      </c>
      <c r="N641" s="37">
        <v>86</v>
      </c>
      <c r="O641" s="37">
        <v>72</v>
      </c>
      <c r="P641" s="37">
        <v>21</v>
      </c>
      <c r="Q641" s="37">
        <v>179</v>
      </c>
      <c r="R641" s="37">
        <v>8313</v>
      </c>
      <c r="S641" s="37"/>
      <c r="T641" s="37" t="s">
        <v>181</v>
      </c>
      <c r="U641" s="37" t="s">
        <v>215</v>
      </c>
      <c r="V641" s="37">
        <v>65</v>
      </c>
      <c r="W641" s="37" t="s">
        <v>17</v>
      </c>
      <c r="X641" s="37" t="s">
        <v>190</v>
      </c>
      <c r="Y641" s="37">
        <v>420</v>
      </c>
      <c r="Z641" s="37" t="s">
        <v>310</v>
      </c>
      <c r="AA641" s="37">
        <v>76</v>
      </c>
      <c r="AB641" s="37">
        <v>4</v>
      </c>
      <c r="AC641" s="37" t="s">
        <v>296</v>
      </c>
      <c r="AD641" s="37" t="s">
        <v>1320</v>
      </c>
      <c r="AE641" s="37"/>
      <c r="AF641" s="37" t="s">
        <v>1321</v>
      </c>
    </row>
    <row r="642" spans="1:32" customFormat="1" x14ac:dyDescent="0.2">
      <c r="A642" s="37"/>
      <c r="B642" s="37"/>
      <c r="C642" s="37"/>
      <c r="D642" s="37"/>
      <c r="E642" s="37"/>
      <c r="F642" s="37"/>
      <c r="G642" s="37" t="s">
        <v>166</v>
      </c>
      <c r="H642" s="37" t="s">
        <v>166</v>
      </c>
      <c r="I642" s="37" t="s">
        <v>166</v>
      </c>
      <c r="J642" s="37" t="s">
        <v>19</v>
      </c>
      <c r="K642" s="37">
        <v>0</v>
      </c>
      <c r="L642" s="37">
        <v>1</v>
      </c>
      <c r="M642" s="37">
        <v>1</v>
      </c>
      <c r="N642" s="37">
        <v>2</v>
      </c>
      <c r="O642" s="37">
        <v>8</v>
      </c>
      <c r="P642" s="37">
        <v>2</v>
      </c>
      <c r="Q642" s="37">
        <v>12</v>
      </c>
      <c r="R642" s="37">
        <v>76</v>
      </c>
      <c r="S642" s="37"/>
      <c r="T642" s="37" t="s">
        <v>166</v>
      </c>
      <c r="U642" s="37" t="s">
        <v>166</v>
      </c>
      <c r="V642" s="37" t="s">
        <v>166</v>
      </c>
      <c r="W642" s="37" t="s">
        <v>17</v>
      </c>
      <c r="X642" s="37" t="s">
        <v>166</v>
      </c>
      <c r="Y642" s="37" t="s">
        <v>166</v>
      </c>
      <c r="Z642" s="37" t="s">
        <v>310</v>
      </c>
      <c r="AA642" s="37">
        <v>76</v>
      </c>
      <c r="AB642" s="37">
        <v>4</v>
      </c>
      <c r="AC642" s="37" t="s">
        <v>296</v>
      </c>
      <c r="AD642" s="37" t="s">
        <v>1320</v>
      </c>
      <c r="AE642" s="37"/>
      <c r="AF642" s="37" t="s">
        <v>1322</v>
      </c>
    </row>
    <row r="643" spans="1:32" customFormat="1" x14ac:dyDescent="0.2">
      <c r="A643" s="37"/>
      <c r="B643" s="37"/>
      <c r="C643" s="37"/>
      <c r="D643" s="37"/>
      <c r="E643" s="37"/>
      <c r="F643" s="37"/>
      <c r="G643" s="37" t="s">
        <v>166</v>
      </c>
      <c r="H643" s="37" t="s">
        <v>166</v>
      </c>
      <c r="I643" s="37" t="s">
        <v>166</v>
      </c>
      <c r="J643" s="37" t="s">
        <v>18</v>
      </c>
      <c r="K643" s="37">
        <v>63</v>
      </c>
      <c r="L643" s="37">
        <v>29</v>
      </c>
      <c r="M643" s="37">
        <v>0</v>
      </c>
      <c r="N643" s="37">
        <v>92</v>
      </c>
      <c r="O643" s="37">
        <v>88</v>
      </c>
      <c r="P643" s="37">
        <v>32</v>
      </c>
      <c r="Q643" s="37">
        <v>212</v>
      </c>
      <c r="R643" s="37">
        <v>1876</v>
      </c>
      <c r="S643" s="37"/>
      <c r="T643" s="37" t="s">
        <v>166</v>
      </c>
      <c r="U643" s="37" t="s">
        <v>166</v>
      </c>
      <c r="V643" s="37" t="s">
        <v>166</v>
      </c>
      <c r="W643" s="37" t="s">
        <v>17</v>
      </c>
      <c r="X643" s="37" t="s">
        <v>166</v>
      </c>
      <c r="Y643" s="37" t="s">
        <v>166</v>
      </c>
      <c r="Z643" s="37" t="s">
        <v>310</v>
      </c>
      <c r="AA643" s="37">
        <v>76</v>
      </c>
      <c r="AB643" s="37">
        <v>4</v>
      </c>
      <c r="AC643" s="37" t="s">
        <v>296</v>
      </c>
      <c r="AD643" s="37" t="s">
        <v>1320</v>
      </c>
      <c r="AE643" s="37"/>
      <c r="AF643" s="37" t="s">
        <v>1323</v>
      </c>
    </row>
    <row r="644" spans="1:32" customFormat="1" x14ac:dyDescent="0.2">
      <c r="A644" s="37"/>
      <c r="B644" s="37"/>
      <c r="C644" s="37" t="s">
        <v>310</v>
      </c>
      <c r="D644" s="37">
        <v>76</v>
      </c>
      <c r="E644" s="37">
        <v>10</v>
      </c>
      <c r="F644" s="37">
        <v>2</v>
      </c>
      <c r="G644" s="37">
        <v>2.5</v>
      </c>
      <c r="H644" s="37" t="s">
        <v>181</v>
      </c>
      <c r="I644" s="37" t="s">
        <v>23</v>
      </c>
      <c r="J644" s="37" t="s">
        <v>17</v>
      </c>
      <c r="K644" s="37">
        <v>3</v>
      </c>
      <c r="L644" s="37">
        <v>19</v>
      </c>
      <c r="M644" s="37">
        <v>5</v>
      </c>
      <c r="N644" s="37">
        <v>27</v>
      </c>
      <c r="O644" s="37">
        <v>12</v>
      </c>
      <c r="P644" s="37">
        <v>6</v>
      </c>
      <c r="Q644" s="37">
        <v>45</v>
      </c>
      <c r="R644" s="37">
        <v>2120</v>
      </c>
      <c r="S644" s="37"/>
      <c r="T644" s="37" t="s">
        <v>181</v>
      </c>
      <c r="U644" s="37" t="s">
        <v>207</v>
      </c>
      <c r="V644" s="37">
        <v>50</v>
      </c>
      <c r="W644" s="37" t="s">
        <v>18</v>
      </c>
      <c r="X644" s="37" t="s">
        <v>190</v>
      </c>
      <c r="Y644" s="37">
        <v>575</v>
      </c>
      <c r="Z644" s="37" t="s">
        <v>310</v>
      </c>
      <c r="AA644" s="37">
        <v>76</v>
      </c>
      <c r="AB644" s="37">
        <v>10</v>
      </c>
      <c r="AC644" s="37">
        <v>2</v>
      </c>
      <c r="AD644" s="37" t="s">
        <v>1324</v>
      </c>
      <c r="AE644" s="37"/>
      <c r="AF644" s="37" t="s">
        <v>1325</v>
      </c>
    </row>
    <row r="645" spans="1:32" customFormat="1" x14ac:dyDescent="0.2">
      <c r="A645" s="37"/>
      <c r="B645" s="37"/>
      <c r="C645" s="37"/>
      <c r="D645" s="37"/>
      <c r="E645" s="37"/>
      <c r="F645" s="37"/>
      <c r="G645" s="37" t="s">
        <v>166</v>
      </c>
      <c r="H645" s="37" t="s">
        <v>166</v>
      </c>
      <c r="I645" s="37" t="s">
        <v>166</v>
      </c>
      <c r="J645" s="37" t="s">
        <v>19</v>
      </c>
      <c r="K645" s="37">
        <v>0</v>
      </c>
      <c r="L645" s="37">
        <v>7</v>
      </c>
      <c r="M645" s="37">
        <v>5</v>
      </c>
      <c r="N645" s="37">
        <v>12</v>
      </c>
      <c r="O645" s="37">
        <v>22</v>
      </c>
      <c r="P645" s="37">
        <v>3</v>
      </c>
      <c r="Q645" s="37">
        <v>37</v>
      </c>
      <c r="R645" s="37">
        <v>509</v>
      </c>
      <c r="S645" s="37"/>
      <c r="T645" s="37" t="s">
        <v>166</v>
      </c>
      <c r="U645" s="37" t="s">
        <v>166</v>
      </c>
      <c r="V645" s="37" t="s">
        <v>166</v>
      </c>
      <c r="W645" s="37" t="s">
        <v>18</v>
      </c>
      <c r="X645" s="37" t="s">
        <v>166</v>
      </c>
      <c r="Y645" s="37" t="s">
        <v>166</v>
      </c>
      <c r="Z645" s="37" t="s">
        <v>310</v>
      </c>
      <c r="AA645" s="37">
        <v>76</v>
      </c>
      <c r="AB645" s="37">
        <v>10</v>
      </c>
      <c r="AC645" s="37">
        <v>2</v>
      </c>
      <c r="AD645" s="37" t="s">
        <v>1324</v>
      </c>
      <c r="AE645" s="37"/>
      <c r="AF645" s="37" t="s">
        <v>1326</v>
      </c>
    </row>
    <row r="646" spans="1:32" customFormat="1" x14ac:dyDescent="0.2">
      <c r="A646" s="37"/>
      <c r="B646" s="37"/>
      <c r="C646" s="37"/>
      <c r="D646" s="37"/>
      <c r="E646" s="37"/>
      <c r="F646" s="37"/>
      <c r="G646" s="37" t="s">
        <v>166</v>
      </c>
      <c r="H646" s="37" t="s">
        <v>166</v>
      </c>
      <c r="I646" s="37" t="s">
        <v>166</v>
      </c>
      <c r="J646" s="37" t="s">
        <v>18</v>
      </c>
      <c r="K646" s="37">
        <v>93</v>
      </c>
      <c r="L646" s="37">
        <v>94</v>
      </c>
      <c r="M646" s="37">
        <v>4</v>
      </c>
      <c r="N646" s="37">
        <v>191</v>
      </c>
      <c r="O646" s="37">
        <v>136</v>
      </c>
      <c r="P646" s="37">
        <v>53</v>
      </c>
      <c r="Q646" s="37">
        <v>380</v>
      </c>
      <c r="R646" s="37">
        <v>3651</v>
      </c>
      <c r="S646" s="37"/>
      <c r="T646" s="37" t="s">
        <v>166</v>
      </c>
      <c r="U646" s="37" t="s">
        <v>166</v>
      </c>
      <c r="V646" s="37" t="s">
        <v>166</v>
      </c>
      <c r="W646" s="37" t="s">
        <v>18</v>
      </c>
      <c r="X646" s="37" t="s">
        <v>166</v>
      </c>
      <c r="Y646" s="37" t="s">
        <v>166</v>
      </c>
      <c r="Z646" s="37" t="s">
        <v>310</v>
      </c>
      <c r="AA646" s="37">
        <v>76</v>
      </c>
      <c r="AB646" s="37">
        <v>10</v>
      </c>
      <c r="AC646" s="37">
        <v>2</v>
      </c>
      <c r="AD646" s="37" t="s">
        <v>1324</v>
      </c>
      <c r="AE646" s="37"/>
      <c r="AF646" s="37" t="s">
        <v>1327</v>
      </c>
    </row>
    <row r="647" spans="1:32" customFormat="1" x14ac:dyDescent="0.2">
      <c r="A647" s="37"/>
      <c r="B647" s="37"/>
      <c r="C647" s="37" t="s">
        <v>310</v>
      </c>
      <c r="D647" s="37">
        <v>83</v>
      </c>
      <c r="E647" s="37">
        <v>5</v>
      </c>
      <c r="F647" s="37" t="s">
        <v>296</v>
      </c>
      <c r="G647" s="37">
        <v>2.5</v>
      </c>
      <c r="H647" s="37" t="s">
        <v>181</v>
      </c>
      <c r="I647" s="37" t="s">
        <v>23</v>
      </c>
      <c r="J647" s="37" t="s">
        <v>17</v>
      </c>
      <c r="K647" s="37">
        <v>37</v>
      </c>
      <c r="L647" s="37">
        <v>23</v>
      </c>
      <c r="M647" s="37">
        <v>1</v>
      </c>
      <c r="N647" s="37">
        <v>61</v>
      </c>
      <c r="O647" s="37">
        <v>143</v>
      </c>
      <c r="P647" s="37">
        <v>25</v>
      </c>
      <c r="Q647" s="37">
        <v>229</v>
      </c>
      <c r="R647" s="37">
        <v>6967</v>
      </c>
      <c r="S647" s="37"/>
      <c r="T647" s="37" t="s">
        <v>181</v>
      </c>
      <c r="U647" s="37" t="s">
        <v>276</v>
      </c>
      <c r="V647" s="37">
        <v>70</v>
      </c>
      <c r="W647" s="37" t="s">
        <v>17</v>
      </c>
      <c r="X647" s="37" t="s">
        <v>190</v>
      </c>
      <c r="Y647" s="37">
        <v>500</v>
      </c>
      <c r="Z647" s="37" t="s">
        <v>310</v>
      </c>
      <c r="AA647" s="37">
        <v>83</v>
      </c>
      <c r="AB647" s="37">
        <v>5</v>
      </c>
      <c r="AC647" s="37" t="s">
        <v>296</v>
      </c>
      <c r="AD647" s="37" t="s">
        <v>1328</v>
      </c>
      <c r="AE647" s="37"/>
      <c r="AF647" s="37" t="s">
        <v>1329</v>
      </c>
    </row>
    <row r="648" spans="1:32" customFormat="1" x14ac:dyDescent="0.2">
      <c r="A648" s="37"/>
      <c r="B648" s="37"/>
      <c r="C648" s="37"/>
      <c r="D648" s="37"/>
      <c r="E648" s="37"/>
      <c r="F648" s="37"/>
      <c r="G648" s="37" t="s">
        <v>166</v>
      </c>
      <c r="H648" s="37" t="s">
        <v>166</v>
      </c>
      <c r="I648" s="37" t="s">
        <v>166</v>
      </c>
      <c r="J648" s="37" t="s">
        <v>268</v>
      </c>
      <c r="K648" s="37">
        <v>0</v>
      </c>
      <c r="L648" s="37">
        <v>0</v>
      </c>
      <c r="M648" s="37">
        <v>0</v>
      </c>
      <c r="N648" s="37">
        <v>0</v>
      </c>
      <c r="O648" s="37">
        <v>2</v>
      </c>
      <c r="P648" s="37">
        <v>0</v>
      </c>
      <c r="Q648" s="37">
        <v>2</v>
      </c>
      <c r="R648" s="37">
        <v>128</v>
      </c>
      <c r="S648" s="37"/>
      <c r="T648" s="37" t="s">
        <v>166</v>
      </c>
      <c r="U648" s="37" t="s">
        <v>166</v>
      </c>
      <c r="V648" s="37" t="s">
        <v>166</v>
      </c>
      <c r="W648" s="37" t="s">
        <v>17</v>
      </c>
      <c r="X648" s="37" t="s">
        <v>166</v>
      </c>
      <c r="Y648" s="37" t="s">
        <v>166</v>
      </c>
      <c r="Z648" s="37" t="s">
        <v>310</v>
      </c>
      <c r="AA648" s="37">
        <v>83</v>
      </c>
      <c r="AB648" s="37">
        <v>5</v>
      </c>
      <c r="AC648" s="37" t="s">
        <v>296</v>
      </c>
      <c r="AD648" s="37" t="s">
        <v>1328</v>
      </c>
      <c r="AE648" s="37"/>
      <c r="AF648" s="37" t="s">
        <v>1330</v>
      </c>
    </row>
    <row r="649" spans="1:32" customFormat="1" x14ac:dyDescent="0.2">
      <c r="A649" s="37"/>
      <c r="B649" s="37"/>
      <c r="C649" s="37"/>
      <c r="D649" s="37"/>
      <c r="E649" s="37"/>
      <c r="F649" s="37"/>
      <c r="G649" s="37" t="s">
        <v>166</v>
      </c>
      <c r="H649" s="37" t="s">
        <v>166</v>
      </c>
      <c r="I649" s="37" t="s">
        <v>166</v>
      </c>
      <c r="J649" s="37" t="s">
        <v>19</v>
      </c>
      <c r="K649" s="37">
        <v>0</v>
      </c>
      <c r="L649" s="37">
        <v>1</v>
      </c>
      <c r="M649" s="37">
        <v>1</v>
      </c>
      <c r="N649" s="37">
        <v>2</v>
      </c>
      <c r="O649" s="37">
        <v>15</v>
      </c>
      <c r="P649" s="37">
        <v>1</v>
      </c>
      <c r="Q649" s="37">
        <v>18</v>
      </c>
      <c r="R649" s="37">
        <v>102</v>
      </c>
      <c r="S649" s="37"/>
      <c r="T649" s="37" t="s">
        <v>166</v>
      </c>
      <c r="U649" s="37" t="s">
        <v>166</v>
      </c>
      <c r="V649" s="37" t="s">
        <v>166</v>
      </c>
      <c r="W649" s="37" t="s">
        <v>17</v>
      </c>
      <c r="X649" s="37" t="s">
        <v>166</v>
      </c>
      <c r="Y649" s="37" t="s">
        <v>166</v>
      </c>
      <c r="Z649" s="37" t="s">
        <v>310</v>
      </c>
      <c r="AA649" s="37">
        <v>83</v>
      </c>
      <c r="AB649" s="37">
        <v>5</v>
      </c>
      <c r="AC649" s="37" t="s">
        <v>296</v>
      </c>
      <c r="AD649" s="37" t="s">
        <v>1328</v>
      </c>
      <c r="AE649" s="37"/>
      <c r="AF649" s="37" t="s">
        <v>1331</v>
      </c>
    </row>
    <row r="650" spans="1:32" customFormat="1" x14ac:dyDescent="0.2">
      <c r="A650" s="37"/>
      <c r="B650" s="37"/>
      <c r="C650" s="37"/>
      <c r="D650" s="37"/>
      <c r="E650" s="37"/>
      <c r="F650" s="37"/>
      <c r="G650" s="37" t="s">
        <v>166</v>
      </c>
      <c r="H650" s="37" t="s">
        <v>166</v>
      </c>
      <c r="I650" s="37" t="s">
        <v>166</v>
      </c>
      <c r="J650" s="37" t="s">
        <v>18</v>
      </c>
      <c r="K650" s="37">
        <v>45</v>
      </c>
      <c r="L650" s="37">
        <v>11</v>
      </c>
      <c r="M650" s="37">
        <v>0</v>
      </c>
      <c r="N650" s="37">
        <v>56</v>
      </c>
      <c r="O650" s="37">
        <v>104</v>
      </c>
      <c r="P650" s="37">
        <v>34</v>
      </c>
      <c r="Q650" s="37">
        <v>194</v>
      </c>
      <c r="R650" s="37">
        <v>1195</v>
      </c>
      <c r="S650" s="37"/>
      <c r="T650" s="37" t="s">
        <v>166</v>
      </c>
      <c r="U650" s="37" t="s">
        <v>166</v>
      </c>
      <c r="V650" s="37" t="s">
        <v>166</v>
      </c>
      <c r="W650" s="37" t="s">
        <v>17</v>
      </c>
      <c r="X650" s="37" t="s">
        <v>166</v>
      </c>
      <c r="Y650" s="37" t="s">
        <v>166</v>
      </c>
      <c r="Z650" s="37" t="s">
        <v>310</v>
      </c>
      <c r="AA650" s="37">
        <v>83</v>
      </c>
      <c r="AB650" s="37">
        <v>5</v>
      </c>
      <c r="AC650" s="37" t="s">
        <v>296</v>
      </c>
      <c r="AD650" s="37" t="s">
        <v>1328</v>
      </c>
      <c r="AE650" s="37"/>
      <c r="AF650" s="37" t="s">
        <v>1332</v>
      </c>
    </row>
    <row r="651" spans="1:32" customFormat="1" x14ac:dyDescent="0.2">
      <c r="A651" s="37"/>
      <c r="B651" s="37"/>
      <c r="C651" s="37" t="s">
        <v>310</v>
      </c>
      <c r="D651" s="37">
        <v>83</v>
      </c>
      <c r="E651" s="37">
        <v>7</v>
      </c>
      <c r="F651" s="37">
        <v>2</v>
      </c>
      <c r="G651" s="37">
        <v>3.1</v>
      </c>
      <c r="H651" s="37" t="s">
        <v>181</v>
      </c>
      <c r="I651" s="37" t="s">
        <v>23</v>
      </c>
      <c r="J651" s="37" t="s">
        <v>17</v>
      </c>
      <c r="K651" s="37">
        <v>35</v>
      </c>
      <c r="L651" s="37">
        <v>71</v>
      </c>
      <c r="M651" s="37">
        <v>3</v>
      </c>
      <c r="N651" s="37">
        <v>109</v>
      </c>
      <c r="O651" s="37">
        <v>228</v>
      </c>
      <c r="P651" s="37">
        <v>43</v>
      </c>
      <c r="Q651" s="37">
        <v>380</v>
      </c>
      <c r="R651" s="37">
        <v>11217</v>
      </c>
      <c r="S651" s="37"/>
      <c r="T651" s="37" t="s">
        <v>181</v>
      </c>
      <c r="U651" s="37" t="s">
        <v>324</v>
      </c>
      <c r="V651" s="37">
        <v>65</v>
      </c>
      <c r="W651" s="37" t="s">
        <v>17</v>
      </c>
      <c r="X651" s="37" t="s">
        <v>190</v>
      </c>
      <c r="Y651" s="37">
        <v>620</v>
      </c>
      <c r="Z651" s="37" t="s">
        <v>310</v>
      </c>
      <c r="AA651" s="37">
        <v>83</v>
      </c>
      <c r="AB651" s="37">
        <v>7</v>
      </c>
      <c r="AC651" s="37">
        <v>2</v>
      </c>
      <c r="AD651" s="37" t="s">
        <v>1333</v>
      </c>
      <c r="AE651" s="37"/>
      <c r="AF651" s="37" t="s">
        <v>1334</v>
      </c>
    </row>
    <row r="652" spans="1:32" customFormat="1" x14ac:dyDescent="0.2">
      <c r="A652" s="37"/>
      <c r="B652" s="37"/>
      <c r="C652" s="37"/>
      <c r="D652" s="37"/>
      <c r="E652" s="37"/>
      <c r="F652" s="37"/>
      <c r="G652" s="37" t="s">
        <v>166</v>
      </c>
      <c r="H652" s="37" t="s">
        <v>166</v>
      </c>
      <c r="I652" s="37" t="s">
        <v>166</v>
      </c>
      <c r="J652" s="37" t="s">
        <v>268</v>
      </c>
      <c r="K652" s="37">
        <v>0</v>
      </c>
      <c r="L652" s="37">
        <v>3</v>
      </c>
      <c r="M652" s="37">
        <v>3</v>
      </c>
      <c r="N652" s="37">
        <v>6</v>
      </c>
      <c r="O652" s="37">
        <v>26</v>
      </c>
      <c r="P652" s="37">
        <v>5</v>
      </c>
      <c r="Q652" s="37">
        <v>37</v>
      </c>
      <c r="R652" s="37">
        <v>3287</v>
      </c>
      <c r="S652" s="37"/>
      <c r="T652" s="37" t="s">
        <v>166</v>
      </c>
      <c r="U652" s="37" t="s">
        <v>166</v>
      </c>
      <c r="V652" s="37" t="s">
        <v>166</v>
      </c>
      <c r="W652" s="37" t="s">
        <v>17</v>
      </c>
      <c r="X652" s="37" t="s">
        <v>166</v>
      </c>
      <c r="Y652" s="37" t="s">
        <v>166</v>
      </c>
      <c r="Z652" s="37" t="s">
        <v>310</v>
      </c>
      <c r="AA652" s="37">
        <v>83</v>
      </c>
      <c r="AB652" s="37">
        <v>7</v>
      </c>
      <c r="AC652" s="37">
        <v>2</v>
      </c>
      <c r="AD652" s="37" t="s">
        <v>1333</v>
      </c>
      <c r="AE652" s="37"/>
      <c r="AF652" s="37" t="s">
        <v>1335</v>
      </c>
    </row>
    <row r="653" spans="1:32" customFormat="1" x14ac:dyDescent="0.2">
      <c r="A653" s="37"/>
      <c r="B653" s="37"/>
      <c r="C653" s="37"/>
      <c r="D653" s="37"/>
      <c r="E653" s="37"/>
      <c r="F653" s="37"/>
      <c r="G653" s="37" t="s">
        <v>166</v>
      </c>
      <c r="H653" s="37" t="s">
        <v>166</v>
      </c>
      <c r="I653" s="37" t="s">
        <v>166</v>
      </c>
      <c r="J653" s="37" t="s">
        <v>18</v>
      </c>
      <c r="K653" s="37">
        <v>20</v>
      </c>
      <c r="L653" s="37">
        <v>34</v>
      </c>
      <c r="M653" s="37">
        <v>1</v>
      </c>
      <c r="N653" s="37">
        <v>55</v>
      </c>
      <c r="O653" s="37">
        <v>95</v>
      </c>
      <c r="P653" s="37">
        <v>32</v>
      </c>
      <c r="Q653" s="37">
        <v>182</v>
      </c>
      <c r="R653" s="37">
        <v>1061</v>
      </c>
      <c r="S653" s="37"/>
      <c r="T653" s="37" t="s">
        <v>166</v>
      </c>
      <c r="U653" s="37" t="s">
        <v>166</v>
      </c>
      <c r="V653" s="37" t="s">
        <v>166</v>
      </c>
      <c r="W653" s="37" t="s">
        <v>17</v>
      </c>
      <c r="X653" s="37" t="s">
        <v>166</v>
      </c>
      <c r="Y653" s="37" t="s">
        <v>166</v>
      </c>
      <c r="Z653" s="37" t="s">
        <v>310</v>
      </c>
      <c r="AA653" s="37">
        <v>83</v>
      </c>
      <c r="AB653" s="37">
        <v>7</v>
      </c>
      <c r="AC653" s="37">
        <v>2</v>
      </c>
      <c r="AD653" s="37" t="s">
        <v>1333</v>
      </c>
      <c r="AE653" s="37"/>
      <c r="AF653" s="37" t="s">
        <v>1336</v>
      </c>
    </row>
    <row r="654" spans="1:32" customFormat="1" x14ac:dyDescent="0.2">
      <c r="A654" s="37"/>
      <c r="B654" s="37"/>
      <c r="C654" s="37" t="s">
        <v>310</v>
      </c>
      <c r="D654" s="37">
        <v>83</v>
      </c>
      <c r="E654" s="37">
        <v>10</v>
      </c>
      <c r="F654" s="37">
        <v>3</v>
      </c>
      <c r="G654" s="37">
        <v>2.4</v>
      </c>
      <c r="H654" s="37" t="s">
        <v>181</v>
      </c>
      <c r="I654" s="37" t="s">
        <v>23</v>
      </c>
      <c r="J654" s="37" t="s">
        <v>17</v>
      </c>
      <c r="K654" s="37">
        <v>19</v>
      </c>
      <c r="L654" s="37">
        <v>23</v>
      </c>
      <c r="M654" s="37">
        <v>1</v>
      </c>
      <c r="N654" s="37">
        <v>43</v>
      </c>
      <c r="O654" s="37">
        <v>50</v>
      </c>
      <c r="P654" s="37">
        <v>13</v>
      </c>
      <c r="Q654" s="37">
        <v>106</v>
      </c>
      <c r="R654" s="37">
        <v>4346</v>
      </c>
      <c r="S654" s="37"/>
      <c r="T654" s="37" t="s">
        <v>181</v>
      </c>
      <c r="U654" s="37" t="s">
        <v>325</v>
      </c>
      <c r="V654" s="37">
        <v>65</v>
      </c>
      <c r="W654" s="37" t="s">
        <v>19</v>
      </c>
      <c r="X654" s="37" t="s">
        <v>190</v>
      </c>
      <c r="Y654" s="37">
        <v>480</v>
      </c>
      <c r="Z654" s="37" t="s">
        <v>310</v>
      </c>
      <c r="AA654" s="37">
        <v>83</v>
      </c>
      <c r="AB654" s="37">
        <v>10</v>
      </c>
      <c r="AC654" s="37">
        <v>3</v>
      </c>
      <c r="AD654" s="37" t="s">
        <v>1337</v>
      </c>
      <c r="AE654" s="37"/>
      <c r="AF654" s="37" t="s">
        <v>1338</v>
      </c>
    </row>
    <row r="655" spans="1:32" customFormat="1" x14ac:dyDescent="0.2">
      <c r="A655" s="37"/>
      <c r="B655" s="37"/>
      <c r="C655" s="37"/>
      <c r="D655" s="37"/>
      <c r="E655" s="37"/>
      <c r="F655" s="37"/>
      <c r="G655" s="37" t="s">
        <v>166</v>
      </c>
      <c r="H655" s="37" t="s">
        <v>166</v>
      </c>
      <c r="I655" s="37" t="s">
        <v>166</v>
      </c>
      <c r="J655" s="37" t="s">
        <v>178</v>
      </c>
      <c r="K655" s="37">
        <v>0</v>
      </c>
      <c r="L655" s="37">
        <v>1</v>
      </c>
      <c r="M655" s="37">
        <v>0</v>
      </c>
      <c r="N655" s="37">
        <v>1</v>
      </c>
      <c r="O655" s="37">
        <v>9</v>
      </c>
      <c r="P655" s="37">
        <v>1</v>
      </c>
      <c r="Q655" s="37">
        <v>11</v>
      </c>
      <c r="R655" s="37">
        <v>769</v>
      </c>
      <c r="S655" s="37"/>
      <c r="T655" s="37" t="s">
        <v>166</v>
      </c>
      <c r="U655" s="37" t="s">
        <v>166</v>
      </c>
      <c r="V655" s="37" t="s">
        <v>166</v>
      </c>
      <c r="W655" s="37" t="s">
        <v>19</v>
      </c>
      <c r="X655" s="37" t="s">
        <v>166</v>
      </c>
      <c r="Y655" s="37" t="s">
        <v>166</v>
      </c>
      <c r="Z655" s="37" t="s">
        <v>310</v>
      </c>
      <c r="AA655" s="37">
        <v>83</v>
      </c>
      <c r="AB655" s="37">
        <v>10</v>
      </c>
      <c r="AC655" s="37">
        <v>3</v>
      </c>
      <c r="AD655" s="37" t="s">
        <v>1337</v>
      </c>
      <c r="AE655" s="37"/>
      <c r="AF655" s="37" t="s">
        <v>1339</v>
      </c>
    </row>
    <row r="656" spans="1:32" customFormat="1" x14ac:dyDescent="0.2">
      <c r="A656" s="37"/>
      <c r="B656" s="37"/>
      <c r="C656" s="37"/>
      <c r="D656" s="37"/>
      <c r="E656" s="37"/>
      <c r="F656" s="37"/>
      <c r="G656" s="37" t="s">
        <v>166</v>
      </c>
      <c r="H656" s="37" t="s">
        <v>166</v>
      </c>
      <c r="I656" s="37" t="s">
        <v>166</v>
      </c>
      <c r="J656" s="37" t="s">
        <v>19</v>
      </c>
      <c r="K656" s="37">
        <v>9</v>
      </c>
      <c r="L656" s="37">
        <v>34</v>
      </c>
      <c r="M656" s="37">
        <v>4</v>
      </c>
      <c r="N656" s="37">
        <v>47</v>
      </c>
      <c r="O656" s="37">
        <v>71</v>
      </c>
      <c r="P656" s="37">
        <v>14</v>
      </c>
      <c r="Q656" s="37">
        <v>132</v>
      </c>
      <c r="R656" s="37">
        <v>2414</v>
      </c>
      <c r="S656" s="37"/>
      <c r="T656" s="37" t="s">
        <v>166</v>
      </c>
      <c r="U656" s="37" t="s">
        <v>166</v>
      </c>
      <c r="V656" s="37" t="s">
        <v>166</v>
      </c>
      <c r="W656" s="37" t="s">
        <v>19</v>
      </c>
      <c r="X656" s="37" t="s">
        <v>166</v>
      </c>
      <c r="Y656" s="37" t="s">
        <v>166</v>
      </c>
      <c r="Z656" s="37" t="s">
        <v>310</v>
      </c>
      <c r="AA656" s="37">
        <v>83</v>
      </c>
      <c r="AB656" s="37">
        <v>10</v>
      </c>
      <c r="AC656" s="37">
        <v>3</v>
      </c>
      <c r="AD656" s="37" t="s">
        <v>1337</v>
      </c>
      <c r="AE656" s="37"/>
      <c r="AF656" s="37" t="s">
        <v>1340</v>
      </c>
    </row>
    <row r="657" spans="1:32" customFormat="1" x14ac:dyDescent="0.2">
      <c r="A657" s="37"/>
      <c r="B657" s="37"/>
      <c r="C657" s="37"/>
      <c r="D657" s="37"/>
      <c r="E657" s="37"/>
      <c r="F657" s="37"/>
      <c r="G657" s="37" t="s">
        <v>166</v>
      </c>
      <c r="H657" s="37" t="s">
        <v>166</v>
      </c>
      <c r="I657" s="37" t="s">
        <v>166</v>
      </c>
      <c r="J657" s="37" t="s">
        <v>18</v>
      </c>
      <c r="K657" s="37">
        <v>47</v>
      </c>
      <c r="L657" s="37">
        <v>11</v>
      </c>
      <c r="M657" s="37">
        <v>0</v>
      </c>
      <c r="N657" s="37">
        <v>58</v>
      </c>
      <c r="O657" s="37">
        <v>81</v>
      </c>
      <c r="P657" s="37">
        <v>27</v>
      </c>
      <c r="Q657" s="37">
        <v>166</v>
      </c>
      <c r="R657" s="37">
        <v>1233</v>
      </c>
      <c r="S657" s="37"/>
      <c r="T657" s="37" t="s">
        <v>166</v>
      </c>
      <c r="U657" s="37" t="s">
        <v>166</v>
      </c>
      <c r="V657" s="37" t="s">
        <v>166</v>
      </c>
      <c r="W657" s="37" t="s">
        <v>19</v>
      </c>
      <c r="X657" s="37" t="s">
        <v>166</v>
      </c>
      <c r="Y657" s="37" t="s">
        <v>166</v>
      </c>
      <c r="Z657" s="37" t="s">
        <v>310</v>
      </c>
      <c r="AA657" s="37">
        <v>83</v>
      </c>
      <c r="AB657" s="37">
        <v>10</v>
      </c>
      <c r="AC657" s="37">
        <v>3</v>
      </c>
      <c r="AD657" s="37" t="s">
        <v>1337</v>
      </c>
      <c r="AE657" s="37"/>
      <c r="AF657" s="37" t="s">
        <v>1341</v>
      </c>
    </row>
    <row r="658" spans="1:32" customFormat="1" x14ac:dyDescent="0.2">
      <c r="A658" s="37"/>
      <c r="B658" s="37"/>
      <c r="C658" s="37" t="s">
        <v>310</v>
      </c>
      <c r="D658" s="37">
        <v>83</v>
      </c>
      <c r="E658" s="37">
        <v>22</v>
      </c>
      <c r="F658" s="37">
        <v>4</v>
      </c>
      <c r="G658" s="37">
        <v>6.5</v>
      </c>
      <c r="H658" s="37" t="s">
        <v>181</v>
      </c>
      <c r="I658" s="37" t="s">
        <v>23</v>
      </c>
      <c r="J658" s="37" t="s">
        <v>17</v>
      </c>
      <c r="K658" s="37">
        <v>25</v>
      </c>
      <c r="L658" s="37">
        <v>75</v>
      </c>
      <c r="M658" s="37">
        <v>5</v>
      </c>
      <c r="N658" s="37">
        <v>105</v>
      </c>
      <c r="O658" s="37">
        <v>284</v>
      </c>
      <c r="P658" s="37">
        <v>48</v>
      </c>
      <c r="Q658" s="37">
        <v>437</v>
      </c>
      <c r="R658" s="37">
        <v>10916</v>
      </c>
      <c r="S658" s="37"/>
      <c r="T658" s="37" t="s">
        <v>181</v>
      </c>
      <c r="U658" s="37" t="s">
        <v>326</v>
      </c>
      <c r="V658" s="37">
        <v>65</v>
      </c>
      <c r="W658" s="37" t="s">
        <v>17</v>
      </c>
      <c r="X658" s="37" t="s">
        <v>190</v>
      </c>
      <c r="Y658" s="37">
        <v>1105</v>
      </c>
      <c r="Z658" s="37" t="s">
        <v>310</v>
      </c>
      <c r="AA658" s="37">
        <v>83</v>
      </c>
      <c r="AB658" s="37">
        <v>22</v>
      </c>
      <c r="AC658" s="37">
        <v>4</v>
      </c>
      <c r="AD658" s="37" t="s">
        <v>1342</v>
      </c>
      <c r="AE658" s="37"/>
      <c r="AF658" s="37" t="s">
        <v>1343</v>
      </c>
    </row>
    <row r="659" spans="1:32" customFormat="1" x14ac:dyDescent="0.2">
      <c r="A659" s="37"/>
      <c r="B659" s="37"/>
      <c r="C659" s="37"/>
      <c r="D659" s="37"/>
      <c r="E659" s="37"/>
      <c r="F659" s="37"/>
      <c r="G659" s="37" t="s">
        <v>166</v>
      </c>
      <c r="H659" s="37" t="s">
        <v>166</v>
      </c>
      <c r="I659" s="37" t="s">
        <v>166</v>
      </c>
      <c r="J659" s="37" t="s">
        <v>268</v>
      </c>
      <c r="K659" s="37">
        <v>0</v>
      </c>
      <c r="L659" s="37">
        <v>1</v>
      </c>
      <c r="M659" s="37">
        <v>1</v>
      </c>
      <c r="N659" s="37">
        <v>2</v>
      </c>
      <c r="O659" s="37">
        <v>18</v>
      </c>
      <c r="P659" s="37">
        <v>3</v>
      </c>
      <c r="Q659" s="37">
        <v>23</v>
      </c>
      <c r="R659" s="37">
        <v>1231</v>
      </c>
      <c r="S659" s="37"/>
      <c r="T659" s="37" t="s">
        <v>166</v>
      </c>
      <c r="U659" s="37" t="s">
        <v>166</v>
      </c>
      <c r="V659" s="37" t="s">
        <v>166</v>
      </c>
      <c r="W659" s="37" t="s">
        <v>17</v>
      </c>
      <c r="X659" s="37" t="s">
        <v>166</v>
      </c>
      <c r="Y659" s="37" t="s">
        <v>166</v>
      </c>
      <c r="Z659" s="37" t="s">
        <v>310</v>
      </c>
      <c r="AA659" s="37">
        <v>83</v>
      </c>
      <c r="AB659" s="37">
        <v>22</v>
      </c>
      <c r="AC659" s="37">
        <v>4</v>
      </c>
      <c r="AD659" s="37" t="s">
        <v>1342</v>
      </c>
      <c r="AE659" s="37"/>
      <c r="AF659" s="37" t="s">
        <v>1344</v>
      </c>
    </row>
    <row r="660" spans="1:32" customFormat="1" x14ac:dyDescent="0.2">
      <c r="A660" s="37"/>
      <c r="B660" s="37"/>
      <c r="C660" s="37"/>
      <c r="D660" s="37"/>
      <c r="E660" s="37"/>
      <c r="F660" s="37"/>
      <c r="G660" s="37" t="s">
        <v>166</v>
      </c>
      <c r="H660" s="37" t="s">
        <v>166</v>
      </c>
      <c r="I660" s="37" t="s">
        <v>166</v>
      </c>
      <c r="J660" s="37" t="s">
        <v>19</v>
      </c>
      <c r="K660" s="37">
        <v>1</v>
      </c>
      <c r="L660" s="37">
        <v>41</v>
      </c>
      <c r="M660" s="37">
        <v>12</v>
      </c>
      <c r="N660" s="37">
        <v>54</v>
      </c>
      <c r="O660" s="37">
        <v>110</v>
      </c>
      <c r="P660" s="37">
        <v>18</v>
      </c>
      <c r="Q660" s="37">
        <v>182</v>
      </c>
      <c r="R660" s="37">
        <v>2486</v>
      </c>
      <c r="S660" s="37"/>
      <c r="T660" s="37" t="s">
        <v>166</v>
      </c>
      <c r="U660" s="37" t="s">
        <v>166</v>
      </c>
      <c r="V660" s="37" t="s">
        <v>166</v>
      </c>
      <c r="W660" s="37" t="s">
        <v>17</v>
      </c>
      <c r="X660" s="37" t="s">
        <v>166</v>
      </c>
      <c r="Y660" s="37" t="s">
        <v>166</v>
      </c>
      <c r="Z660" s="37" t="s">
        <v>310</v>
      </c>
      <c r="AA660" s="37">
        <v>83</v>
      </c>
      <c r="AB660" s="37">
        <v>22</v>
      </c>
      <c r="AC660" s="37">
        <v>4</v>
      </c>
      <c r="AD660" s="37" t="s">
        <v>1342</v>
      </c>
      <c r="AE660" s="37"/>
      <c r="AF660" s="37" t="s">
        <v>1345</v>
      </c>
    </row>
    <row r="661" spans="1:32" customFormat="1" x14ac:dyDescent="0.2">
      <c r="A661" s="37"/>
      <c r="B661" s="37"/>
      <c r="C661" s="37"/>
      <c r="D661" s="37"/>
      <c r="E661" s="37"/>
      <c r="F661" s="37"/>
      <c r="G661" s="37" t="s">
        <v>166</v>
      </c>
      <c r="H661" s="37" t="s">
        <v>166</v>
      </c>
      <c r="I661" s="37" t="s">
        <v>166</v>
      </c>
      <c r="J661" s="37" t="s">
        <v>18</v>
      </c>
      <c r="K661" s="37">
        <v>66</v>
      </c>
      <c r="L661" s="37">
        <v>39</v>
      </c>
      <c r="M661" s="37">
        <v>0</v>
      </c>
      <c r="N661" s="37">
        <v>105</v>
      </c>
      <c r="O661" s="37">
        <v>219</v>
      </c>
      <c r="P661" s="37">
        <v>70</v>
      </c>
      <c r="Q661" s="37">
        <v>394</v>
      </c>
      <c r="R661" s="37">
        <v>2156</v>
      </c>
      <c r="S661" s="37"/>
      <c r="T661" s="37" t="s">
        <v>166</v>
      </c>
      <c r="U661" s="37" t="s">
        <v>166</v>
      </c>
      <c r="V661" s="37" t="s">
        <v>166</v>
      </c>
      <c r="W661" s="37" t="s">
        <v>17</v>
      </c>
      <c r="X661" s="37" t="s">
        <v>166</v>
      </c>
      <c r="Y661" s="37" t="s">
        <v>166</v>
      </c>
      <c r="Z661" s="37" t="s">
        <v>310</v>
      </c>
      <c r="AA661" s="37">
        <v>83</v>
      </c>
      <c r="AB661" s="37">
        <v>22</v>
      </c>
      <c r="AC661" s="37">
        <v>4</v>
      </c>
      <c r="AD661" s="37" t="s">
        <v>1342</v>
      </c>
      <c r="AE661" s="37"/>
      <c r="AF661" s="37" t="s">
        <v>1346</v>
      </c>
    </row>
    <row r="662" spans="1:32" customFormat="1" x14ac:dyDescent="0.2">
      <c r="A662" s="37"/>
      <c r="B662" s="37"/>
      <c r="C662" s="37" t="s">
        <v>310</v>
      </c>
      <c r="D662" s="37">
        <v>84</v>
      </c>
      <c r="E662" s="37">
        <v>5</v>
      </c>
      <c r="F662" s="37" t="s">
        <v>296</v>
      </c>
      <c r="G662" s="37">
        <v>2</v>
      </c>
      <c r="H662" s="37" t="s">
        <v>181</v>
      </c>
      <c r="I662" s="37" t="s">
        <v>23</v>
      </c>
      <c r="J662" s="37" t="s">
        <v>17</v>
      </c>
      <c r="K662" s="37">
        <v>0</v>
      </c>
      <c r="L662" s="37">
        <v>4</v>
      </c>
      <c r="M662" s="37">
        <v>2</v>
      </c>
      <c r="N662" s="37">
        <v>6</v>
      </c>
      <c r="O662" s="37">
        <v>3</v>
      </c>
      <c r="P662" s="37">
        <v>2</v>
      </c>
      <c r="Q662" s="37">
        <v>11</v>
      </c>
      <c r="R662" s="37">
        <v>465</v>
      </c>
      <c r="S662" s="37"/>
      <c r="T662" s="37" t="s">
        <v>181</v>
      </c>
      <c r="U662" s="37" t="s">
        <v>217</v>
      </c>
      <c r="V662" s="37">
        <v>55</v>
      </c>
      <c r="W662" s="37" t="s">
        <v>18</v>
      </c>
      <c r="X662" s="37" t="s">
        <v>190</v>
      </c>
      <c r="Y662" s="37">
        <v>460</v>
      </c>
      <c r="Z662" s="37" t="s">
        <v>310</v>
      </c>
      <c r="AA662" s="37">
        <v>84</v>
      </c>
      <c r="AB662" s="37">
        <v>5</v>
      </c>
      <c r="AC662" s="37" t="s">
        <v>296</v>
      </c>
      <c r="AD662" s="37" t="s">
        <v>1347</v>
      </c>
      <c r="AE662" s="37"/>
      <c r="AF662" s="37" t="s">
        <v>1348</v>
      </c>
    </row>
    <row r="663" spans="1:32" customFormat="1" x14ac:dyDescent="0.2">
      <c r="A663" s="37"/>
      <c r="B663" s="37"/>
      <c r="C663" s="37"/>
      <c r="D663" s="37"/>
      <c r="E663" s="37"/>
      <c r="F663" s="37"/>
      <c r="G663" s="37" t="s">
        <v>166</v>
      </c>
      <c r="H663" s="37" t="s">
        <v>166</v>
      </c>
      <c r="I663" s="37" t="s">
        <v>166</v>
      </c>
      <c r="J663" s="37" t="s">
        <v>19</v>
      </c>
      <c r="K663" s="37">
        <v>0</v>
      </c>
      <c r="L663" s="37">
        <v>6</v>
      </c>
      <c r="M663" s="37">
        <v>5</v>
      </c>
      <c r="N663" s="37">
        <v>11</v>
      </c>
      <c r="O663" s="37">
        <v>22</v>
      </c>
      <c r="P663" s="37">
        <v>3</v>
      </c>
      <c r="Q663" s="37">
        <v>36</v>
      </c>
      <c r="R663" s="37">
        <v>462</v>
      </c>
      <c r="S663" s="37"/>
      <c r="T663" s="37" t="s">
        <v>166</v>
      </c>
      <c r="U663" s="37" t="s">
        <v>166</v>
      </c>
      <c r="V663" s="37" t="s">
        <v>166</v>
      </c>
      <c r="W663" s="37" t="s">
        <v>18</v>
      </c>
      <c r="X663" s="37" t="s">
        <v>166</v>
      </c>
      <c r="Y663" s="37" t="s">
        <v>166</v>
      </c>
      <c r="Z663" s="37" t="s">
        <v>310</v>
      </c>
      <c r="AA663" s="37">
        <v>84</v>
      </c>
      <c r="AB663" s="37">
        <v>5</v>
      </c>
      <c r="AC663" s="37" t="s">
        <v>296</v>
      </c>
      <c r="AD663" s="37" t="s">
        <v>1347</v>
      </c>
      <c r="AE663" s="37"/>
      <c r="AF663" s="37" t="s">
        <v>1349</v>
      </c>
    </row>
    <row r="664" spans="1:32" customFormat="1" x14ac:dyDescent="0.2">
      <c r="A664" s="37"/>
      <c r="B664" s="37"/>
      <c r="C664" s="37"/>
      <c r="D664" s="37"/>
      <c r="E664" s="37"/>
      <c r="F664" s="37"/>
      <c r="G664" s="37" t="s">
        <v>166</v>
      </c>
      <c r="H664" s="37" t="s">
        <v>166</v>
      </c>
      <c r="I664" s="37" t="s">
        <v>166</v>
      </c>
      <c r="J664" s="37" t="s">
        <v>18</v>
      </c>
      <c r="K664" s="37">
        <v>101</v>
      </c>
      <c r="L664" s="37">
        <v>83</v>
      </c>
      <c r="M664" s="37">
        <v>4</v>
      </c>
      <c r="N664" s="37">
        <v>188</v>
      </c>
      <c r="O664" s="37">
        <v>123</v>
      </c>
      <c r="P664" s="37">
        <v>49</v>
      </c>
      <c r="Q664" s="37">
        <v>360</v>
      </c>
      <c r="R664" s="37">
        <v>3630</v>
      </c>
      <c r="S664" s="37"/>
      <c r="T664" s="37" t="s">
        <v>166</v>
      </c>
      <c r="U664" s="37" t="s">
        <v>166</v>
      </c>
      <c r="V664" s="37" t="s">
        <v>166</v>
      </c>
      <c r="W664" s="37" t="s">
        <v>18</v>
      </c>
      <c r="X664" s="37" t="s">
        <v>166</v>
      </c>
      <c r="Y664" s="37" t="s">
        <v>166</v>
      </c>
      <c r="Z664" s="37" t="s">
        <v>310</v>
      </c>
      <c r="AA664" s="37">
        <v>84</v>
      </c>
      <c r="AB664" s="37">
        <v>5</v>
      </c>
      <c r="AC664" s="37" t="s">
        <v>296</v>
      </c>
      <c r="AD664" s="37" t="s">
        <v>1347</v>
      </c>
      <c r="AE664" s="37"/>
      <c r="AF664" s="37" t="s">
        <v>1350</v>
      </c>
    </row>
    <row r="665" spans="1:32" customFormat="1" x14ac:dyDescent="0.2">
      <c r="A665" s="37"/>
      <c r="B665" s="37"/>
      <c r="C665" s="37" t="s">
        <v>310</v>
      </c>
      <c r="D665" s="37">
        <v>84</v>
      </c>
      <c r="E665" s="37">
        <v>27</v>
      </c>
      <c r="F665" s="37">
        <v>2</v>
      </c>
      <c r="G665" s="37">
        <v>5</v>
      </c>
      <c r="H665" s="37" t="s">
        <v>181</v>
      </c>
      <c r="I665" s="37" t="s">
        <v>23</v>
      </c>
      <c r="J665" s="37" t="s">
        <v>17</v>
      </c>
      <c r="K665" s="37">
        <v>4</v>
      </c>
      <c r="L665" s="37">
        <v>16</v>
      </c>
      <c r="M665" s="37">
        <v>1</v>
      </c>
      <c r="N665" s="37">
        <v>21</v>
      </c>
      <c r="O665" s="37">
        <v>44</v>
      </c>
      <c r="P665" s="37">
        <v>9</v>
      </c>
      <c r="Q665" s="37">
        <v>74</v>
      </c>
      <c r="R665" s="37">
        <v>2016</v>
      </c>
      <c r="S665" s="37"/>
      <c r="T665" s="37" t="s">
        <v>181</v>
      </c>
      <c r="U665" s="37" t="s">
        <v>327</v>
      </c>
      <c r="V665" s="37">
        <v>70</v>
      </c>
      <c r="W665" s="37" t="s">
        <v>19</v>
      </c>
      <c r="X665" s="37" t="s">
        <v>190</v>
      </c>
      <c r="Y665" s="37">
        <v>1050</v>
      </c>
      <c r="Z665" s="37" t="s">
        <v>310</v>
      </c>
      <c r="AA665" s="37">
        <v>84</v>
      </c>
      <c r="AB665" s="37">
        <v>27</v>
      </c>
      <c r="AC665" s="37">
        <v>2</v>
      </c>
      <c r="AD665" s="37" t="s">
        <v>1351</v>
      </c>
      <c r="AE665" s="37"/>
      <c r="AF665" s="37" t="s">
        <v>1352</v>
      </c>
    </row>
    <row r="666" spans="1:32" customFormat="1" x14ac:dyDescent="0.2">
      <c r="A666" s="37"/>
      <c r="B666" s="37"/>
      <c r="C666" s="37"/>
      <c r="D666" s="37"/>
      <c r="E666" s="37"/>
      <c r="F666" s="37"/>
      <c r="G666" s="37" t="s">
        <v>166</v>
      </c>
      <c r="H666" s="37" t="s">
        <v>166</v>
      </c>
      <c r="I666" s="37" t="s">
        <v>166</v>
      </c>
      <c r="J666" s="37" t="s">
        <v>178</v>
      </c>
      <c r="K666" s="37">
        <v>0</v>
      </c>
      <c r="L666" s="37">
        <v>4</v>
      </c>
      <c r="M666" s="37">
        <v>0</v>
      </c>
      <c r="N666" s="37">
        <v>4</v>
      </c>
      <c r="O666" s="37">
        <v>242</v>
      </c>
      <c r="P666" s="37">
        <v>14</v>
      </c>
      <c r="Q666" s="37">
        <v>260</v>
      </c>
      <c r="R666" s="37">
        <v>9003</v>
      </c>
      <c r="S666" s="37"/>
      <c r="T666" s="37" t="s">
        <v>166</v>
      </c>
      <c r="U666" s="37" t="s">
        <v>166</v>
      </c>
      <c r="V666" s="37" t="s">
        <v>166</v>
      </c>
      <c r="W666" s="37" t="s">
        <v>19</v>
      </c>
      <c r="X666" s="37" t="s">
        <v>166</v>
      </c>
      <c r="Y666" s="37" t="s">
        <v>166</v>
      </c>
      <c r="Z666" s="37" t="s">
        <v>310</v>
      </c>
      <c r="AA666" s="37">
        <v>84</v>
      </c>
      <c r="AB666" s="37">
        <v>27</v>
      </c>
      <c r="AC666" s="37">
        <v>2</v>
      </c>
      <c r="AD666" s="37" t="s">
        <v>1351</v>
      </c>
      <c r="AE666" s="37"/>
      <c r="AF666" s="37" t="s">
        <v>1353</v>
      </c>
    </row>
    <row r="667" spans="1:32" customFormat="1" x14ac:dyDescent="0.2">
      <c r="A667" s="37"/>
      <c r="B667" s="37"/>
      <c r="C667" s="37"/>
      <c r="D667" s="37"/>
      <c r="E667" s="37"/>
      <c r="F667" s="37"/>
      <c r="G667" s="37" t="s">
        <v>166</v>
      </c>
      <c r="H667" s="37" t="s">
        <v>166</v>
      </c>
      <c r="I667" s="37" t="s">
        <v>166</v>
      </c>
      <c r="J667" s="37" t="s">
        <v>19</v>
      </c>
      <c r="K667" s="37">
        <v>45</v>
      </c>
      <c r="L667" s="37">
        <v>130</v>
      </c>
      <c r="M667" s="37">
        <v>13</v>
      </c>
      <c r="N667" s="37">
        <v>188</v>
      </c>
      <c r="O667" s="37">
        <v>475</v>
      </c>
      <c r="P667" s="37">
        <v>82</v>
      </c>
      <c r="Q667" s="37">
        <v>745</v>
      </c>
      <c r="R667" s="37">
        <v>10327</v>
      </c>
      <c r="S667" s="37"/>
      <c r="T667" s="37" t="s">
        <v>166</v>
      </c>
      <c r="U667" s="37" t="s">
        <v>166</v>
      </c>
      <c r="V667" s="37" t="s">
        <v>166</v>
      </c>
      <c r="W667" s="37" t="s">
        <v>19</v>
      </c>
      <c r="X667" s="37" t="s">
        <v>166</v>
      </c>
      <c r="Y667" s="37" t="s">
        <v>166</v>
      </c>
      <c r="Z667" s="37" t="s">
        <v>310</v>
      </c>
      <c r="AA667" s="37">
        <v>84</v>
      </c>
      <c r="AB667" s="37">
        <v>27</v>
      </c>
      <c r="AC667" s="37">
        <v>2</v>
      </c>
      <c r="AD667" s="37" t="s">
        <v>1351</v>
      </c>
      <c r="AE667" s="37"/>
      <c r="AF667" s="37" t="s">
        <v>1354</v>
      </c>
    </row>
    <row r="668" spans="1:32" customFormat="1" x14ac:dyDescent="0.2">
      <c r="A668" s="37"/>
      <c r="B668" s="37"/>
      <c r="C668" s="37" t="s">
        <v>310</v>
      </c>
      <c r="D668" s="37">
        <v>90</v>
      </c>
      <c r="E668" s="37">
        <v>26</v>
      </c>
      <c r="F668" s="37" t="s">
        <v>296</v>
      </c>
      <c r="G668" s="37">
        <v>5.4</v>
      </c>
      <c r="H668" s="37" t="s">
        <v>181</v>
      </c>
      <c r="I668" s="37" t="s">
        <v>23</v>
      </c>
      <c r="J668" s="37" t="s">
        <v>17</v>
      </c>
      <c r="K668" s="37">
        <v>6</v>
      </c>
      <c r="L668" s="37">
        <v>17</v>
      </c>
      <c r="M668" s="37">
        <v>2</v>
      </c>
      <c r="N668" s="37">
        <v>25</v>
      </c>
      <c r="O668" s="37">
        <v>43</v>
      </c>
      <c r="P668" s="37">
        <v>8</v>
      </c>
      <c r="Q668" s="37">
        <v>76</v>
      </c>
      <c r="R668" s="37">
        <v>2474</v>
      </c>
      <c r="S668" s="37"/>
      <c r="T668" s="37" t="s">
        <v>181</v>
      </c>
      <c r="U668" s="37" t="s">
        <v>258</v>
      </c>
      <c r="V668" s="37">
        <v>70</v>
      </c>
      <c r="W668" s="37" t="s">
        <v>19</v>
      </c>
      <c r="X668" s="37" t="s">
        <v>190</v>
      </c>
      <c r="Y668" s="37">
        <v>1134</v>
      </c>
      <c r="Z668" s="37" t="s">
        <v>310</v>
      </c>
      <c r="AA668" s="37">
        <v>90</v>
      </c>
      <c r="AB668" s="37">
        <v>26</v>
      </c>
      <c r="AC668" s="37" t="s">
        <v>296</v>
      </c>
      <c r="AD668" s="37" t="s">
        <v>1355</v>
      </c>
      <c r="AE668" s="37"/>
      <c r="AF668" s="37" t="s">
        <v>1356</v>
      </c>
    </row>
    <row r="669" spans="1:32" customFormat="1" x14ac:dyDescent="0.2">
      <c r="A669" s="37"/>
      <c r="B669" s="37"/>
      <c r="C669" s="37"/>
      <c r="D669" s="37"/>
      <c r="E669" s="37"/>
      <c r="F669" s="37"/>
      <c r="G669" s="37" t="s">
        <v>166</v>
      </c>
      <c r="H669" s="37" t="s">
        <v>166</v>
      </c>
      <c r="I669" s="37" t="s">
        <v>166</v>
      </c>
      <c r="J669" s="37" t="s">
        <v>178</v>
      </c>
      <c r="K669" s="37">
        <v>0</v>
      </c>
      <c r="L669" s="37">
        <v>15</v>
      </c>
      <c r="M669" s="37">
        <v>0</v>
      </c>
      <c r="N669" s="37">
        <v>15</v>
      </c>
      <c r="O669" s="37">
        <v>143</v>
      </c>
      <c r="P669" s="37">
        <v>10</v>
      </c>
      <c r="Q669" s="37">
        <v>168</v>
      </c>
      <c r="R669" s="37">
        <v>12804</v>
      </c>
      <c r="S669" s="37"/>
      <c r="T669" s="37" t="s">
        <v>166</v>
      </c>
      <c r="U669" s="37" t="s">
        <v>166</v>
      </c>
      <c r="V669" s="37" t="s">
        <v>166</v>
      </c>
      <c r="W669" s="37" t="s">
        <v>19</v>
      </c>
      <c r="X669" s="37" t="s">
        <v>166</v>
      </c>
      <c r="Y669" s="37" t="s">
        <v>166</v>
      </c>
      <c r="Z669" s="37" t="s">
        <v>310</v>
      </c>
      <c r="AA669" s="37">
        <v>90</v>
      </c>
      <c r="AB669" s="37">
        <v>26</v>
      </c>
      <c r="AC669" s="37" t="s">
        <v>296</v>
      </c>
      <c r="AD669" s="37" t="s">
        <v>1355</v>
      </c>
      <c r="AE669" s="37"/>
      <c r="AF669" s="37" t="s">
        <v>1357</v>
      </c>
    </row>
    <row r="670" spans="1:32" customFormat="1" x14ac:dyDescent="0.2">
      <c r="A670" s="37"/>
      <c r="B670" s="37"/>
      <c r="C670" s="37"/>
      <c r="D670" s="37"/>
      <c r="E670" s="37"/>
      <c r="F670" s="37"/>
      <c r="G670" s="37" t="s">
        <v>166</v>
      </c>
      <c r="H670" s="37" t="s">
        <v>166</v>
      </c>
      <c r="I670" s="37" t="s">
        <v>166</v>
      </c>
      <c r="J670" s="37" t="s">
        <v>19</v>
      </c>
      <c r="K670" s="37">
        <v>11</v>
      </c>
      <c r="L670" s="37">
        <v>154</v>
      </c>
      <c r="M670" s="37">
        <v>28</v>
      </c>
      <c r="N670" s="37">
        <v>193</v>
      </c>
      <c r="O670" s="37">
        <v>275</v>
      </c>
      <c r="P670" s="37">
        <v>52</v>
      </c>
      <c r="Q670" s="37">
        <v>520</v>
      </c>
      <c r="R670" s="37">
        <v>9363</v>
      </c>
      <c r="S670" s="37"/>
      <c r="T670" s="37" t="s">
        <v>166</v>
      </c>
      <c r="U670" s="37" t="s">
        <v>166</v>
      </c>
      <c r="V670" s="37" t="s">
        <v>166</v>
      </c>
      <c r="W670" s="37" t="s">
        <v>19</v>
      </c>
      <c r="X670" s="37" t="s">
        <v>166</v>
      </c>
      <c r="Y670" s="37" t="s">
        <v>166</v>
      </c>
      <c r="Z670" s="37" t="s">
        <v>310</v>
      </c>
      <c r="AA670" s="37">
        <v>90</v>
      </c>
      <c r="AB670" s="37">
        <v>26</v>
      </c>
      <c r="AC670" s="37" t="s">
        <v>296</v>
      </c>
      <c r="AD670" s="37" t="s">
        <v>1355</v>
      </c>
      <c r="AE670" s="37"/>
      <c r="AF670" s="37" t="s">
        <v>1358</v>
      </c>
    </row>
    <row r="671" spans="1:32" customFormat="1" x14ac:dyDescent="0.2">
      <c r="A671" s="37"/>
      <c r="B671" s="37"/>
      <c r="C671" s="37"/>
      <c r="D671" s="37"/>
      <c r="E671" s="37"/>
      <c r="F671" s="37"/>
      <c r="G671" s="37" t="s">
        <v>166</v>
      </c>
      <c r="H671" s="37" t="s">
        <v>166</v>
      </c>
      <c r="I671" s="37" t="s">
        <v>166</v>
      </c>
      <c r="J671" s="37" t="s">
        <v>18</v>
      </c>
      <c r="K671" s="37">
        <v>45</v>
      </c>
      <c r="L671" s="37">
        <v>33</v>
      </c>
      <c r="M671" s="37">
        <v>0</v>
      </c>
      <c r="N671" s="37">
        <v>78</v>
      </c>
      <c r="O671" s="37">
        <v>101</v>
      </c>
      <c r="P671" s="37">
        <v>35</v>
      </c>
      <c r="Q671" s="37">
        <v>214</v>
      </c>
      <c r="R671" s="37">
        <v>1555</v>
      </c>
      <c r="S671" s="37"/>
      <c r="T671" s="37" t="s">
        <v>166</v>
      </c>
      <c r="U671" s="37" t="s">
        <v>166</v>
      </c>
      <c r="V671" s="37" t="s">
        <v>166</v>
      </c>
      <c r="W671" s="37" t="s">
        <v>19</v>
      </c>
      <c r="X671" s="37" t="s">
        <v>166</v>
      </c>
      <c r="Y671" s="37" t="s">
        <v>166</v>
      </c>
      <c r="Z671" s="37" t="s">
        <v>310</v>
      </c>
      <c r="AA671" s="37">
        <v>90</v>
      </c>
      <c r="AB671" s="37">
        <v>26</v>
      </c>
      <c r="AC671" s="37" t="s">
        <v>296</v>
      </c>
      <c r="AD671" s="37" t="s">
        <v>1355</v>
      </c>
      <c r="AE671" s="37"/>
      <c r="AF671" s="37" t="s">
        <v>1359</v>
      </c>
    </row>
    <row r="672" spans="1:32" customFormat="1" x14ac:dyDescent="0.2">
      <c r="A672" s="37"/>
      <c r="B672" s="37"/>
      <c r="C672" s="37" t="s">
        <v>310</v>
      </c>
      <c r="D672" s="37">
        <v>91</v>
      </c>
      <c r="E672" s="37">
        <v>6</v>
      </c>
      <c r="F672" s="37" t="s">
        <v>296</v>
      </c>
      <c r="G672" s="37">
        <v>2.7</v>
      </c>
      <c r="H672" s="37" t="s">
        <v>181</v>
      </c>
      <c r="I672" s="37" t="s">
        <v>23</v>
      </c>
      <c r="J672" s="37" t="s">
        <v>17</v>
      </c>
      <c r="K672" s="37">
        <v>4</v>
      </c>
      <c r="L672" s="37">
        <v>8</v>
      </c>
      <c r="M672" s="37">
        <v>1</v>
      </c>
      <c r="N672" s="37">
        <v>13</v>
      </c>
      <c r="O672" s="37">
        <v>22</v>
      </c>
      <c r="P672" s="37">
        <v>4</v>
      </c>
      <c r="Q672" s="37">
        <v>39</v>
      </c>
      <c r="R672" s="37">
        <v>1278</v>
      </c>
      <c r="S672" s="37"/>
      <c r="T672" s="37" t="s">
        <v>174</v>
      </c>
      <c r="U672" s="37" t="s">
        <v>329</v>
      </c>
      <c r="V672" s="37">
        <v>70</v>
      </c>
      <c r="W672" s="37" t="s">
        <v>178</v>
      </c>
      <c r="X672" s="37" t="s">
        <v>190</v>
      </c>
      <c r="Y672" s="37">
        <v>486.00000000000006</v>
      </c>
      <c r="Z672" s="37" t="s">
        <v>310</v>
      </c>
      <c r="AA672" s="37">
        <v>91</v>
      </c>
      <c r="AB672" s="37">
        <v>6</v>
      </c>
      <c r="AC672" s="37" t="s">
        <v>296</v>
      </c>
      <c r="AD672" s="37" t="s">
        <v>1360</v>
      </c>
      <c r="AE672" s="37"/>
      <c r="AF672" s="37" t="s">
        <v>1361</v>
      </c>
    </row>
    <row r="673" spans="1:32" customFormat="1" x14ac:dyDescent="0.2">
      <c r="A673" s="37"/>
      <c r="B673" s="37"/>
      <c r="C673" s="37"/>
      <c r="D673" s="37"/>
      <c r="E673" s="37"/>
      <c r="F673" s="37"/>
      <c r="G673" s="37" t="s">
        <v>166</v>
      </c>
      <c r="H673" s="37" t="s">
        <v>166</v>
      </c>
      <c r="I673" s="37" t="s">
        <v>166</v>
      </c>
      <c r="J673" s="37" t="s">
        <v>178</v>
      </c>
      <c r="K673" s="37">
        <v>8</v>
      </c>
      <c r="L673" s="37">
        <v>7</v>
      </c>
      <c r="M673" s="37">
        <v>0</v>
      </c>
      <c r="N673" s="37">
        <v>15</v>
      </c>
      <c r="O673" s="37">
        <v>140</v>
      </c>
      <c r="P673" s="37">
        <v>10</v>
      </c>
      <c r="Q673" s="37">
        <v>165</v>
      </c>
      <c r="R673" s="37">
        <v>14465</v>
      </c>
      <c r="S673" s="37"/>
      <c r="T673" s="37" t="s">
        <v>166</v>
      </c>
      <c r="U673" s="37" t="s">
        <v>166</v>
      </c>
      <c r="V673" s="37" t="s">
        <v>166</v>
      </c>
      <c r="W673" s="37" t="s">
        <v>178</v>
      </c>
      <c r="X673" s="37" t="s">
        <v>166</v>
      </c>
      <c r="Y673" s="37" t="s">
        <v>166</v>
      </c>
      <c r="Z673" s="37" t="s">
        <v>310</v>
      </c>
      <c r="AA673" s="37">
        <v>91</v>
      </c>
      <c r="AB673" s="37">
        <v>6</v>
      </c>
      <c r="AC673" s="37" t="s">
        <v>296</v>
      </c>
      <c r="AD673" s="37" t="s">
        <v>1360</v>
      </c>
      <c r="AE673" s="37"/>
      <c r="AF673" s="37" t="s">
        <v>1362</v>
      </c>
    </row>
    <row r="674" spans="1:32" customFormat="1" x14ac:dyDescent="0.2">
      <c r="A674" s="37"/>
      <c r="B674" s="37"/>
      <c r="C674" s="37"/>
      <c r="D674" s="37"/>
      <c r="E674" s="37"/>
      <c r="F674" s="37"/>
      <c r="G674" s="37" t="s">
        <v>166</v>
      </c>
      <c r="H674" s="37" t="s">
        <v>166</v>
      </c>
      <c r="I674" s="37" t="s">
        <v>166</v>
      </c>
      <c r="J674" s="37" t="s">
        <v>19</v>
      </c>
      <c r="K674" s="37">
        <v>3</v>
      </c>
      <c r="L674" s="37">
        <v>18</v>
      </c>
      <c r="M674" s="37">
        <v>3</v>
      </c>
      <c r="N674" s="37">
        <v>24</v>
      </c>
      <c r="O674" s="37">
        <v>53</v>
      </c>
      <c r="P674" s="37">
        <v>9</v>
      </c>
      <c r="Q674" s="37">
        <v>86</v>
      </c>
      <c r="R674" s="37">
        <v>1219</v>
      </c>
      <c r="S674" s="37"/>
      <c r="T674" s="37" t="s">
        <v>166</v>
      </c>
      <c r="U674" s="37" t="s">
        <v>166</v>
      </c>
      <c r="V674" s="37" t="s">
        <v>166</v>
      </c>
      <c r="W674" s="37" t="s">
        <v>178</v>
      </c>
      <c r="X674" s="37" t="s">
        <v>166</v>
      </c>
      <c r="Y674" s="37" t="s">
        <v>166</v>
      </c>
      <c r="Z674" s="37" t="s">
        <v>310</v>
      </c>
      <c r="AA674" s="37">
        <v>91</v>
      </c>
      <c r="AB674" s="37">
        <v>6</v>
      </c>
      <c r="AC674" s="37" t="s">
        <v>296</v>
      </c>
      <c r="AD674" s="37" t="s">
        <v>1360</v>
      </c>
      <c r="AE674" s="37"/>
      <c r="AF674" s="37" t="s">
        <v>1363</v>
      </c>
    </row>
    <row r="675" spans="1:32" customFormat="1" x14ac:dyDescent="0.2">
      <c r="A675" s="37"/>
      <c r="B675" s="37"/>
      <c r="C675" s="37"/>
      <c r="D675" s="37"/>
      <c r="E675" s="37"/>
      <c r="F675" s="37"/>
      <c r="G675" s="37" t="s">
        <v>166</v>
      </c>
      <c r="H675" s="37" t="s">
        <v>166</v>
      </c>
      <c r="I675" s="37" t="s">
        <v>166</v>
      </c>
      <c r="J675" s="37" t="s">
        <v>18</v>
      </c>
      <c r="K675" s="37">
        <v>41</v>
      </c>
      <c r="L675" s="37">
        <v>7</v>
      </c>
      <c r="M675" s="37">
        <v>0</v>
      </c>
      <c r="N675" s="37">
        <v>48</v>
      </c>
      <c r="O675" s="37">
        <v>61</v>
      </c>
      <c r="P675" s="37">
        <v>21</v>
      </c>
      <c r="Q675" s="37">
        <v>130</v>
      </c>
      <c r="R675" s="37">
        <v>1031</v>
      </c>
      <c r="S675" s="37"/>
      <c r="T675" s="37" t="s">
        <v>166</v>
      </c>
      <c r="U675" s="37" t="s">
        <v>166</v>
      </c>
      <c r="V675" s="37" t="s">
        <v>166</v>
      </c>
      <c r="W675" s="37" t="s">
        <v>178</v>
      </c>
      <c r="X675" s="37" t="s">
        <v>166</v>
      </c>
      <c r="Y675" s="37" t="s">
        <v>166</v>
      </c>
      <c r="Z675" s="37" t="s">
        <v>310</v>
      </c>
      <c r="AA675" s="37">
        <v>91</v>
      </c>
      <c r="AB675" s="37">
        <v>6</v>
      </c>
      <c r="AC675" s="37" t="s">
        <v>296</v>
      </c>
      <c r="AD675" s="37" t="s">
        <v>1360</v>
      </c>
      <c r="AE675" s="37"/>
      <c r="AF675" s="37" t="s">
        <v>1364</v>
      </c>
    </row>
    <row r="676" spans="1:32" customFormat="1" x14ac:dyDescent="0.2">
      <c r="A676" s="37"/>
      <c r="B676" s="37"/>
      <c r="C676" s="37" t="s">
        <v>310</v>
      </c>
      <c r="D676" s="37">
        <v>91</v>
      </c>
      <c r="E676" s="37">
        <v>22</v>
      </c>
      <c r="F676" s="37">
        <v>2</v>
      </c>
      <c r="G676" s="37">
        <v>5.2</v>
      </c>
      <c r="H676" s="37" t="s">
        <v>181</v>
      </c>
      <c r="I676" s="37" t="s">
        <v>23</v>
      </c>
      <c r="J676" s="37" t="s">
        <v>17</v>
      </c>
      <c r="K676" s="37">
        <v>0</v>
      </c>
      <c r="L676" s="37">
        <v>0</v>
      </c>
      <c r="M676" s="37">
        <v>0</v>
      </c>
      <c r="N676" s="37">
        <v>0</v>
      </c>
      <c r="O676" s="37">
        <v>0</v>
      </c>
      <c r="P676" s="37">
        <v>0</v>
      </c>
      <c r="Q676" s="37">
        <v>0</v>
      </c>
      <c r="R676" s="37">
        <v>0</v>
      </c>
      <c r="S676" s="37"/>
      <c r="T676" s="37" t="s">
        <v>181</v>
      </c>
      <c r="U676" s="37" t="s">
        <v>253</v>
      </c>
      <c r="V676" s="37">
        <v>70</v>
      </c>
      <c r="W676" s="37" t="s">
        <v>19</v>
      </c>
      <c r="X676" s="37" t="s">
        <v>190</v>
      </c>
      <c r="Y676" s="37">
        <v>1092</v>
      </c>
      <c r="Z676" s="37" t="s">
        <v>310</v>
      </c>
      <c r="AA676" s="37">
        <v>91</v>
      </c>
      <c r="AB676" s="37">
        <v>22</v>
      </c>
      <c r="AC676" s="37">
        <v>2</v>
      </c>
      <c r="AD676" s="37" t="s">
        <v>1365</v>
      </c>
      <c r="AE676" s="37"/>
      <c r="AF676" s="37" t="s">
        <v>1366</v>
      </c>
    </row>
    <row r="677" spans="1:32" customFormat="1" x14ac:dyDescent="0.2">
      <c r="A677" s="37"/>
      <c r="B677" s="37"/>
      <c r="C677" s="37"/>
      <c r="D677" s="37"/>
      <c r="E677" s="37"/>
      <c r="F677" s="37"/>
      <c r="G677" s="37" t="s">
        <v>166</v>
      </c>
      <c r="H677" s="37" t="s">
        <v>166</v>
      </c>
      <c r="I677" s="37" t="s">
        <v>166</v>
      </c>
      <c r="J677" s="37" t="s">
        <v>178</v>
      </c>
      <c r="K677" s="37">
        <v>0</v>
      </c>
      <c r="L677" s="37">
        <v>5</v>
      </c>
      <c r="M677" s="37">
        <v>1</v>
      </c>
      <c r="N677" s="37">
        <v>6</v>
      </c>
      <c r="O677" s="37">
        <v>130</v>
      </c>
      <c r="P677" s="37">
        <v>8</v>
      </c>
      <c r="Q677" s="37">
        <v>144</v>
      </c>
      <c r="R677" s="37">
        <v>6724</v>
      </c>
      <c r="S677" s="37"/>
      <c r="T677" s="37" t="s">
        <v>166</v>
      </c>
      <c r="U677" s="37" t="s">
        <v>166</v>
      </c>
      <c r="V677" s="37" t="s">
        <v>166</v>
      </c>
      <c r="W677" s="37" t="s">
        <v>19</v>
      </c>
      <c r="X677" s="37" t="s">
        <v>166</v>
      </c>
      <c r="Y677" s="37" t="s">
        <v>166</v>
      </c>
      <c r="Z677" s="37" t="s">
        <v>310</v>
      </c>
      <c r="AA677" s="37">
        <v>91</v>
      </c>
      <c r="AB677" s="37">
        <v>22</v>
      </c>
      <c r="AC677" s="37">
        <v>2</v>
      </c>
      <c r="AD677" s="37" t="s">
        <v>1365</v>
      </c>
      <c r="AE677" s="37"/>
      <c r="AF677" s="37" t="s">
        <v>1367</v>
      </c>
    </row>
    <row r="678" spans="1:32" customFormat="1" x14ac:dyDescent="0.2">
      <c r="A678" s="37"/>
      <c r="B678" s="37"/>
      <c r="C678" s="37"/>
      <c r="D678" s="37"/>
      <c r="E678" s="37"/>
      <c r="F678" s="37"/>
      <c r="G678" s="37" t="s">
        <v>166</v>
      </c>
      <c r="H678" s="37" t="s">
        <v>166</v>
      </c>
      <c r="I678" s="37" t="s">
        <v>166</v>
      </c>
      <c r="J678" s="37" t="s">
        <v>19</v>
      </c>
      <c r="K678" s="37">
        <v>16</v>
      </c>
      <c r="L678" s="37">
        <v>98</v>
      </c>
      <c r="M678" s="37">
        <v>14</v>
      </c>
      <c r="N678" s="37">
        <v>128</v>
      </c>
      <c r="O678" s="37">
        <v>337</v>
      </c>
      <c r="P678" s="37">
        <v>55</v>
      </c>
      <c r="Q678" s="37">
        <v>520</v>
      </c>
      <c r="R678" s="37">
        <v>6632</v>
      </c>
      <c r="S678" s="37"/>
      <c r="T678" s="37" t="s">
        <v>166</v>
      </c>
      <c r="U678" s="37" t="s">
        <v>166</v>
      </c>
      <c r="V678" s="37" t="s">
        <v>166</v>
      </c>
      <c r="W678" s="37" t="s">
        <v>19</v>
      </c>
      <c r="X678" s="37" t="s">
        <v>166</v>
      </c>
      <c r="Y678" s="37" t="s">
        <v>166</v>
      </c>
      <c r="Z678" s="37" t="s">
        <v>310</v>
      </c>
      <c r="AA678" s="37">
        <v>91</v>
      </c>
      <c r="AB678" s="37">
        <v>22</v>
      </c>
      <c r="AC678" s="37">
        <v>2</v>
      </c>
      <c r="AD678" s="37" t="s">
        <v>1365</v>
      </c>
      <c r="AE678" s="37"/>
      <c r="AF678" s="37" t="s">
        <v>1368</v>
      </c>
    </row>
    <row r="679" spans="1:32" customFormat="1" x14ac:dyDescent="0.2">
      <c r="A679" s="37"/>
      <c r="B679" s="37"/>
      <c r="C679" s="37"/>
      <c r="D679" s="37"/>
      <c r="E679" s="37"/>
      <c r="F679" s="37"/>
      <c r="G679" s="37" t="s">
        <v>166</v>
      </c>
      <c r="H679" s="37" t="s">
        <v>166</v>
      </c>
      <c r="I679" s="37" t="s">
        <v>166</v>
      </c>
      <c r="J679" s="37" t="s">
        <v>18</v>
      </c>
      <c r="K679" s="37">
        <v>15</v>
      </c>
      <c r="L679" s="37">
        <v>28</v>
      </c>
      <c r="M679" s="37">
        <v>1</v>
      </c>
      <c r="N679" s="37">
        <v>44</v>
      </c>
      <c r="O679" s="37">
        <v>149</v>
      </c>
      <c r="P679" s="37">
        <v>45</v>
      </c>
      <c r="Q679" s="37">
        <v>238</v>
      </c>
      <c r="R679" s="37">
        <v>881</v>
      </c>
      <c r="S679" s="37"/>
      <c r="T679" s="37" t="s">
        <v>166</v>
      </c>
      <c r="U679" s="37" t="s">
        <v>166</v>
      </c>
      <c r="V679" s="37" t="s">
        <v>166</v>
      </c>
      <c r="W679" s="37" t="s">
        <v>19</v>
      </c>
      <c r="X679" s="37" t="s">
        <v>166</v>
      </c>
      <c r="Y679" s="37" t="s">
        <v>166</v>
      </c>
      <c r="Z679" s="37" t="s">
        <v>310</v>
      </c>
      <c r="AA679" s="37">
        <v>91</v>
      </c>
      <c r="AB679" s="37">
        <v>22</v>
      </c>
      <c r="AC679" s="37">
        <v>2</v>
      </c>
      <c r="AD679" s="37" t="s">
        <v>1365</v>
      </c>
      <c r="AE679" s="37"/>
      <c r="AF679" s="37" t="s">
        <v>1369</v>
      </c>
    </row>
    <row r="680" spans="1:32" customFormat="1" x14ac:dyDescent="0.2">
      <c r="A680" s="37"/>
      <c r="B680" s="37"/>
      <c r="C680" s="37" t="s">
        <v>310</v>
      </c>
      <c r="D680" s="37">
        <v>95</v>
      </c>
      <c r="E680" s="37">
        <v>3</v>
      </c>
      <c r="F680" s="37" t="s">
        <v>296</v>
      </c>
      <c r="G680" s="37">
        <v>5</v>
      </c>
      <c r="H680" s="37" t="s">
        <v>181</v>
      </c>
      <c r="I680" s="37" t="s">
        <v>23</v>
      </c>
      <c r="J680" s="37" t="s">
        <v>17</v>
      </c>
      <c r="K680" s="37">
        <v>0</v>
      </c>
      <c r="L680" s="37">
        <v>0</v>
      </c>
      <c r="M680" s="37">
        <v>0</v>
      </c>
      <c r="N680" s="37">
        <v>0</v>
      </c>
      <c r="O680" s="37">
        <v>0</v>
      </c>
      <c r="P680" s="37">
        <v>0</v>
      </c>
      <c r="Q680" s="37">
        <v>0</v>
      </c>
      <c r="R680" s="37">
        <v>0</v>
      </c>
      <c r="S680" s="37"/>
      <c r="T680" s="37" t="s">
        <v>181</v>
      </c>
      <c r="U680" s="37" t="s">
        <v>182</v>
      </c>
      <c r="V680" s="37">
        <v>45</v>
      </c>
      <c r="W680" s="37" t="s">
        <v>18</v>
      </c>
      <c r="X680" s="37" t="s">
        <v>190</v>
      </c>
      <c r="Y680" s="37">
        <v>1150</v>
      </c>
      <c r="Z680" s="37" t="s">
        <v>310</v>
      </c>
      <c r="AA680" s="37">
        <v>95</v>
      </c>
      <c r="AB680" s="37">
        <v>3</v>
      </c>
      <c r="AC680" s="37" t="s">
        <v>296</v>
      </c>
      <c r="AD680" s="37" t="s">
        <v>1370</v>
      </c>
      <c r="AE680" s="37"/>
      <c r="AF680" s="37" t="s">
        <v>1371</v>
      </c>
    </row>
    <row r="681" spans="1:32" customFormat="1" x14ac:dyDescent="0.2">
      <c r="A681" s="37"/>
      <c r="B681" s="37"/>
      <c r="C681" s="37"/>
      <c r="D681" s="37"/>
      <c r="E681" s="37"/>
      <c r="F681" s="37"/>
      <c r="G681" s="37" t="s">
        <v>166</v>
      </c>
      <c r="H681" s="37" t="s">
        <v>166</v>
      </c>
      <c r="I681" s="37" t="s">
        <v>166</v>
      </c>
      <c r="J681" s="37" t="s">
        <v>19</v>
      </c>
      <c r="K681" s="37">
        <v>0</v>
      </c>
      <c r="L681" s="37">
        <v>48</v>
      </c>
      <c r="M681" s="37">
        <v>26</v>
      </c>
      <c r="N681" s="37">
        <v>74</v>
      </c>
      <c r="O681" s="37">
        <v>108</v>
      </c>
      <c r="P681" s="37">
        <v>18</v>
      </c>
      <c r="Q681" s="37">
        <v>200</v>
      </c>
      <c r="R681" s="37">
        <v>3140</v>
      </c>
      <c r="S681" s="37"/>
      <c r="T681" s="37" t="s">
        <v>166</v>
      </c>
      <c r="U681" s="37" t="s">
        <v>166</v>
      </c>
      <c r="V681" s="37" t="s">
        <v>166</v>
      </c>
      <c r="W681" s="37" t="s">
        <v>18</v>
      </c>
      <c r="X681" s="37" t="s">
        <v>166</v>
      </c>
      <c r="Y681" s="37" t="s">
        <v>166</v>
      </c>
      <c r="Z681" s="37" t="s">
        <v>310</v>
      </c>
      <c r="AA681" s="37">
        <v>95</v>
      </c>
      <c r="AB681" s="37">
        <v>3</v>
      </c>
      <c r="AC681" s="37" t="s">
        <v>296</v>
      </c>
      <c r="AD681" s="37" t="s">
        <v>1370</v>
      </c>
      <c r="AE681" s="37"/>
      <c r="AF681" s="37" t="s">
        <v>1372</v>
      </c>
    </row>
    <row r="682" spans="1:32" customFormat="1" x14ac:dyDescent="0.2">
      <c r="A682" s="37"/>
      <c r="B682" s="37"/>
      <c r="C682" s="37"/>
      <c r="D682" s="37"/>
      <c r="E682" s="37"/>
      <c r="F682" s="37"/>
      <c r="G682" s="37" t="s">
        <v>166</v>
      </c>
      <c r="H682" s="37" t="s">
        <v>166</v>
      </c>
      <c r="I682" s="37" t="s">
        <v>166</v>
      </c>
      <c r="J682" s="37" t="s">
        <v>18</v>
      </c>
      <c r="K682" s="37">
        <v>251</v>
      </c>
      <c r="L682" s="37">
        <v>163</v>
      </c>
      <c r="M682" s="37">
        <v>3</v>
      </c>
      <c r="N682" s="37">
        <v>417</v>
      </c>
      <c r="O682" s="37">
        <v>255</v>
      </c>
      <c r="P682" s="37">
        <v>106</v>
      </c>
      <c r="Q682" s="37">
        <v>778</v>
      </c>
      <c r="R682" s="37">
        <v>8209</v>
      </c>
      <c r="S682" s="37"/>
      <c r="T682" s="37" t="s">
        <v>166</v>
      </c>
      <c r="U682" s="37" t="s">
        <v>166</v>
      </c>
      <c r="V682" s="37" t="s">
        <v>166</v>
      </c>
      <c r="W682" s="37" t="s">
        <v>18</v>
      </c>
      <c r="X682" s="37" t="s">
        <v>166</v>
      </c>
      <c r="Y682" s="37" t="s">
        <v>166</v>
      </c>
      <c r="Z682" s="37" t="s">
        <v>310</v>
      </c>
      <c r="AA682" s="37">
        <v>95</v>
      </c>
      <c r="AB682" s="37">
        <v>3</v>
      </c>
      <c r="AC682" s="37" t="s">
        <v>296</v>
      </c>
      <c r="AD682" s="37" t="s">
        <v>1370</v>
      </c>
      <c r="AE682" s="37"/>
      <c r="AF682" s="37" t="s">
        <v>1373</v>
      </c>
    </row>
    <row r="683" spans="1:32" customFormat="1" x14ac:dyDescent="0.2">
      <c r="A683" s="37"/>
      <c r="B683" s="37"/>
      <c r="C683" s="37" t="s">
        <v>310</v>
      </c>
      <c r="D683" s="37">
        <v>96</v>
      </c>
      <c r="E683" s="37">
        <v>9</v>
      </c>
      <c r="F683" s="37" t="s">
        <v>296</v>
      </c>
      <c r="G683" s="37">
        <v>3.3</v>
      </c>
      <c r="H683" s="37" t="s">
        <v>181</v>
      </c>
      <c r="I683" s="37" t="s">
        <v>23</v>
      </c>
      <c r="J683" s="37" t="s">
        <v>17</v>
      </c>
      <c r="K683" s="37">
        <v>0</v>
      </c>
      <c r="L683" s="37">
        <v>0</v>
      </c>
      <c r="M683" s="37">
        <v>0</v>
      </c>
      <c r="N683" s="37">
        <v>0</v>
      </c>
      <c r="O683" s="37">
        <v>0</v>
      </c>
      <c r="P683" s="37">
        <v>0</v>
      </c>
      <c r="Q683" s="37">
        <v>0</v>
      </c>
      <c r="R683" s="37">
        <v>0</v>
      </c>
      <c r="S683" s="37"/>
      <c r="T683" s="37" t="s">
        <v>174</v>
      </c>
      <c r="U683" s="37" t="s">
        <v>330</v>
      </c>
      <c r="V683" s="37">
        <v>80</v>
      </c>
      <c r="W683" s="37" t="s">
        <v>178</v>
      </c>
      <c r="X683" s="37" t="s">
        <v>190</v>
      </c>
      <c r="Y683" s="37">
        <v>528</v>
      </c>
      <c r="Z683" s="37" t="s">
        <v>310</v>
      </c>
      <c r="AA683" s="37">
        <v>96</v>
      </c>
      <c r="AB683" s="37">
        <v>9</v>
      </c>
      <c r="AC683" s="37" t="s">
        <v>296</v>
      </c>
      <c r="AD683" s="37" t="s">
        <v>1374</v>
      </c>
      <c r="AE683" s="37"/>
      <c r="AF683" s="37" t="s">
        <v>1375</v>
      </c>
    </row>
    <row r="684" spans="1:32" customFormat="1" x14ac:dyDescent="0.2">
      <c r="A684" s="37"/>
      <c r="B684" s="37"/>
      <c r="C684" s="37"/>
      <c r="D684" s="37"/>
      <c r="E684" s="37"/>
      <c r="F684" s="37"/>
      <c r="G684" s="37" t="s">
        <v>166</v>
      </c>
      <c r="H684" s="37" t="s">
        <v>166</v>
      </c>
      <c r="I684" s="37" t="s">
        <v>166</v>
      </c>
      <c r="J684" s="37" t="s">
        <v>178</v>
      </c>
      <c r="K684" s="37">
        <v>0</v>
      </c>
      <c r="L684" s="37">
        <v>10</v>
      </c>
      <c r="M684" s="37">
        <v>0</v>
      </c>
      <c r="N684" s="37">
        <v>10</v>
      </c>
      <c r="O684" s="37">
        <v>353</v>
      </c>
      <c r="P684" s="37">
        <v>21</v>
      </c>
      <c r="Q684" s="37">
        <v>384</v>
      </c>
      <c r="R684" s="37">
        <v>15075</v>
      </c>
      <c r="S684" s="37"/>
      <c r="T684" s="37" t="s">
        <v>166</v>
      </c>
      <c r="U684" s="37" t="s">
        <v>166</v>
      </c>
      <c r="V684" s="37" t="s">
        <v>166</v>
      </c>
      <c r="W684" s="37" t="s">
        <v>178</v>
      </c>
      <c r="X684" s="37" t="s">
        <v>166</v>
      </c>
      <c r="Y684" s="37" t="s">
        <v>166</v>
      </c>
      <c r="Z684" s="37" t="s">
        <v>310</v>
      </c>
      <c r="AA684" s="37">
        <v>96</v>
      </c>
      <c r="AB684" s="37">
        <v>9</v>
      </c>
      <c r="AC684" s="37" t="s">
        <v>296</v>
      </c>
      <c r="AD684" s="37" t="s">
        <v>1374</v>
      </c>
      <c r="AE684" s="37"/>
      <c r="AF684" s="37" t="s">
        <v>1376</v>
      </c>
    </row>
    <row r="685" spans="1:32" customFormat="1" x14ac:dyDescent="0.2">
      <c r="A685" s="37"/>
      <c r="B685" s="37"/>
      <c r="C685" s="37"/>
      <c r="D685" s="37"/>
      <c r="E685" s="37"/>
      <c r="F685" s="37"/>
      <c r="G685" s="37" t="s">
        <v>166</v>
      </c>
      <c r="H685" s="37" t="s">
        <v>166</v>
      </c>
      <c r="I685" s="37" t="s">
        <v>166</v>
      </c>
      <c r="J685" s="37" t="s">
        <v>19</v>
      </c>
      <c r="K685" s="37">
        <v>0</v>
      </c>
      <c r="L685" s="37">
        <v>8</v>
      </c>
      <c r="M685" s="37">
        <v>2</v>
      </c>
      <c r="N685" s="37">
        <v>10</v>
      </c>
      <c r="O685" s="37">
        <v>31</v>
      </c>
      <c r="P685" s="37">
        <v>4</v>
      </c>
      <c r="Q685" s="37">
        <v>45</v>
      </c>
      <c r="R685" s="37">
        <v>505</v>
      </c>
      <c r="S685" s="37"/>
      <c r="T685" s="37" t="s">
        <v>166</v>
      </c>
      <c r="U685" s="37" t="s">
        <v>166</v>
      </c>
      <c r="V685" s="37" t="s">
        <v>166</v>
      </c>
      <c r="W685" s="37" t="s">
        <v>178</v>
      </c>
      <c r="X685" s="37" t="s">
        <v>166</v>
      </c>
      <c r="Y685" s="37" t="s">
        <v>166</v>
      </c>
      <c r="Z685" s="37" t="s">
        <v>310</v>
      </c>
      <c r="AA685" s="37">
        <v>96</v>
      </c>
      <c r="AB685" s="37">
        <v>9</v>
      </c>
      <c r="AC685" s="37" t="s">
        <v>296</v>
      </c>
      <c r="AD685" s="37" t="s">
        <v>1374</v>
      </c>
      <c r="AE685" s="37"/>
      <c r="AF685" s="37" t="s">
        <v>1377</v>
      </c>
    </row>
    <row r="686" spans="1:32" customFormat="1" x14ac:dyDescent="0.2">
      <c r="A686" s="37"/>
      <c r="B686" s="37"/>
      <c r="C686" s="37"/>
      <c r="D686" s="37"/>
      <c r="E686" s="37"/>
      <c r="F686" s="37"/>
      <c r="G686" s="37" t="s">
        <v>166</v>
      </c>
      <c r="H686" s="37" t="s">
        <v>166</v>
      </c>
      <c r="I686" s="37" t="s">
        <v>166</v>
      </c>
      <c r="J686" s="37" t="s">
        <v>18</v>
      </c>
      <c r="K686" s="37">
        <v>2</v>
      </c>
      <c r="L686" s="37">
        <v>10</v>
      </c>
      <c r="M686" s="37">
        <v>0</v>
      </c>
      <c r="N686" s="37">
        <v>12</v>
      </c>
      <c r="O686" s="37">
        <v>48</v>
      </c>
      <c r="P686" s="37">
        <v>13</v>
      </c>
      <c r="Q686" s="37">
        <v>73</v>
      </c>
      <c r="R686" s="37">
        <v>241</v>
      </c>
      <c r="S686" s="37"/>
      <c r="T686" s="37" t="s">
        <v>166</v>
      </c>
      <c r="U686" s="37" t="s">
        <v>166</v>
      </c>
      <c r="V686" s="37" t="s">
        <v>166</v>
      </c>
      <c r="W686" s="37" t="s">
        <v>178</v>
      </c>
      <c r="X686" s="37" t="s">
        <v>166</v>
      </c>
      <c r="Y686" s="37" t="s">
        <v>166</v>
      </c>
      <c r="Z686" s="37" t="s">
        <v>310</v>
      </c>
      <c r="AA686" s="37">
        <v>96</v>
      </c>
      <c r="AB686" s="37">
        <v>9</v>
      </c>
      <c r="AC686" s="37" t="s">
        <v>296</v>
      </c>
      <c r="AD686" s="37" t="s">
        <v>1374</v>
      </c>
      <c r="AE686" s="37"/>
      <c r="AF686" s="37" t="s">
        <v>1378</v>
      </c>
    </row>
    <row r="687" spans="1:32" customFormat="1" x14ac:dyDescent="0.2">
      <c r="A687" s="37"/>
      <c r="B687" s="37"/>
      <c r="C687" s="37" t="s">
        <v>310</v>
      </c>
      <c r="D687" s="37">
        <v>97</v>
      </c>
      <c r="E687" s="37">
        <v>9</v>
      </c>
      <c r="F687" s="37" t="s">
        <v>296</v>
      </c>
      <c r="G687" s="37">
        <v>3.1</v>
      </c>
      <c r="H687" s="37" t="s">
        <v>181</v>
      </c>
      <c r="I687" s="37" t="s">
        <v>23</v>
      </c>
      <c r="J687" s="37" t="s">
        <v>17</v>
      </c>
      <c r="K687" s="37">
        <v>0</v>
      </c>
      <c r="L687" s="37">
        <v>0</v>
      </c>
      <c r="M687" s="37">
        <v>0</v>
      </c>
      <c r="N687" s="37">
        <v>0</v>
      </c>
      <c r="O687" s="37">
        <v>0</v>
      </c>
      <c r="P687" s="37">
        <v>0</v>
      </c>
      <c r="Q687" s="37">
        <v>0</v>
      </c>
      <c r="R687" s="37">
        <v>0</v>
      </c>
      <c r="S687" s="37"/>
      <c r="T687" s="37" t="s">
        <v>181</v>
      </c>
      <c r="U687" s="37" t="s">
        <v>203</v>
      </c>
      <c r="V687" s="37">
        <v>60</v>
      </c>
      <c r="W687" s="37" t="s">
        <v>18</v>
      </c>
      <c r="X687" s="37" t="s">
        <v>190</v>
      </c>
      <c r="Y687" s="37">
        <v>651</v>
      </c>
      <c r="Z687" s="37" t="s">
        <v>310</v>
      </c>
      <c r="AA687" s="37">
        <v>97</v>
      </c>
      <c r="AB687" s="37">
        <v>9</v>
      </c>
      <c r="AC687" s="37" t="s">
        <v>296</v>
      </c>
      <c r="AD687" s="37" t="s">
        <v>1379</v>
      </c>
      <c r="AE687" s="37"/>
      <c r="AF687" s="37" t="s">
        <v>1380</v>
      </c>
    </row>
    <row r="688" spans="1:32" customFormat="1" x14ac:dyDescent="0.2">
      <c r="A688" s="37"/>
      <c r="B688" s="37"/>
      <c r="C688" s="37"/>
      <c r="D688" s="37"/>
      <c r="E688" s="37"/>
      <c r="F688" s="37"/>
      <c r="G688" s="37" t="s">
        <v>166</v>
      </c>
      <c r="H688" s="37" t="s">
        <v>166</v>
      </c>
      <c r="I688" s="37" t="s">
        <v>166</v>
      </c>
      <c r="J688" s="37" t="s">
        <v>19</v>
      </c>
      <c r="K688" s="37">
        <v>0</v>
      </c>
      <c r="L688" s="37">
        <v>13</v>
      </c>
      <c r="M688" s="37">
        <v>13</v>
      </c>
      <c r="N688" s="37">
        <v>26</v>
      </c>
      <c r="O688" s="37">
        <v>70</v>
      </c>
      <c r="P688" s="37">
        <v>9</v>
      </c>
      <c r="Q688" s="37">
        <v>105</v>
      </c>
      <c r="R688" s="37">
        <v>1073</v>
      </c>
      <c r="S688" s="37"/>
      <c r="T688" s="37" t="s">
        <v>166</v>
      </c>
      <c r="U688" s="37" t="s">
        <v>166</v>
      </c>
      <c r="V688" s="37" t="s">
        <v>166</v>
      </c>
      <c r="W688" s="37" t="s">
        <v>18</v>
      </c>
      <c r="X688" s="37" t="s">
        <v>166</v>
      </c>
      <c r="Y688" s="37" t="s">
        <v>166</v>
      </c>
      <c r="Z688" s="37" t="s">
        <v>310</v>
      </c>
      <c r="AA688" s="37">
        <v>97</v>
      </c>
      <c r="AB688" s="37">
        <v>9</v>
      </c>
      <c r="AC688" s="37" t="s">
        <v>296</v>
      </c>
      <c r="AD688" s="37" t="s">
        <v>1379</v>
      </c>
      <c r="AE688" s="37"/>
      <c r="AF688" s="37" t="s">
        <v>1381</v>
      </c>
    </row>
    <row r="689" spans="1:32" customFormat="1" x14ac:dyDescent="0.2">
      <c r="A689" s="37"/>
      <c r="B689" s="37"/>
      <c r="C689" s="37"/>
      <c r="D689" s="37"/>
      <c r="E689" s="37"/>
      <c r="F689" s="37"/>
      <c r="G689" s="37" t="s">
        <v>166</v>
      </c>
      <c r="H689" s="37" t="s">
        <v>166</v>
      </c>
      <c r="I689" s="37" t="s">
        <v>166</v>
      </c>
      <c r="J689" s="37" t="s">
        <v>18</v>
      </c>
      <c r="K689" s="37">
        <v>155</v>
      </c>
      <c r="L689" s="37">
        <v>59</v>
      </c>
      <c r="M689" s="37">
        <v>1</v>
      </c>
      <c r="N689" s="37">
        <v>215</v>
      </c>
      <c r="O689" s="37">
        <v>177</v>
      </c>
      <c r="P689" s="37">
        <v>68</v>
      </c>
      <c r="Q689" s="37">
        <v>460</v>
      </c>
      <c r="R689" s="37">
        <v>4397</v>
      </c>
      <c r="S689" s="37"/>
      <c r="T689" s="37" t="s">
        <v>166</v>
      </c>
      <c r="U689" s="37" t="s">
        <v>166</v>
      </c>
      <c r="V689" s="37" t="s">
        <v>166</v>
      </c>
      <c r="W689" s="37" t="s">
        <v>18</v>
      </c>
      <c r="X689" s="37" t="s">
        <v>166</v>
      </c>
      <c r="Y689" s="37" t="s">
        <v>166</v>
      </c>
      <c r="Z689" s="37" t="s">
        <v>310</v>
      </c>
      <c r="AA689" s="37">
        <v>97</v>
      </c>
      <c r="AB689" s="37">
        <v>9</v>
      </c>
      <c r="AC689" s="37" t="s">
        <v>296</v>
      </c>
      <c r="AD689" s="37" t="s">
        <v>1379</v>
      </c>
      <c r="AE689" s="37"/>
      <c r="AF689" s="37" t="s">
        <v>1382</v>
      </c>
    </row>
    <row r="690" spans="1:32" customFormat="1" x14ac:dyDescent="0.2">
      <c r="A690" s="37"/>
      <c r="B690" s="37"/>
      <c r="C690" s="37" t="s">
        <v>310</v>
      </c>
      <c r="D690" s="37">
        <v>100</v>
      </c>
      <c r="E690" s="37">
        <v>27</v>
      </c>
      <c r="F690" s="37" t="s">
        <v>296</v>
      </c>
      <c r="G690" s="37">
        <v>2.4</v>
      </c>
      <c r="H690" s="37" t="s">
        <v>181</v>
      </c>
      <c r="I690" s="37" t="s">
        <v>528</v>
      </c>
      <c r="J690" s="37" t="s">
        <v>17</v>
      </c>
      <c r="K690" s="37">
        <v>0</v>
      </c>
      <c r="L690" s="37">
        <v>0</v>
      </c>
      <c r="M690" s="37">
        <v>0</v>
      </c>
      <c r="N690" s="37">
        <v>0</v>
      </c>
      <c r="O690" s="37">
        <v>0</v>
      </c>
      <c r="P690" s="37">
        <v>0</v>
      </c>
      <c r="Q690" s="37">
        <v>0</v>
      </c>
      <c r="R690" s="37">
        <v>0</v>
      </c>
      <c r="S690" s="37"/>
      <c r="T690" s="37" t="s">
        <v>181</v>
      </c>
      <c r="U690" s="37" t="s">
        <v>295</v>
      </c>
      <c r="V690" s="37">
        <v>70</v>
      </c>
      <c r="W690" s="37" t="s">
        <v>18</v>
      </c>
      <c r="X690" s="37" t="s">
        <v>283</v>
      </c>
      <c r="Y690" s="37">
        <v>504</v>
      </c>
      <c r="Z690" s="37" t="s">
        <v>310</v>
      </c>
      <c r="AA690" s="37">
        <v>100</v>
      </c>
      <c r="AB690" s="37">
        <v>27</v>
      </c>
      <c r="AC690" s="37" t="s">
        <v>296</v>
      </c>
      <c r="AD690" s="37" t="s">
        <v>1383</v>
      </c>
      <c r="AE690" s="37"/>
      <c r="AF690" s="37" t="s">
        <v>1384</v>
      </c>
    </row>
    <row r="691" spans="1:32" customFormat="1" x14ac:dyDescent="0.2">
      <c r="A691" s="37"/>
      <c r="B691" s="37"/>
      <c r="C691" s="37"/>
      <c r="D691" s="37"/>
      <c r="E691" s="37"/>
      <c r="F691" s="37"/>
      <c r="G691" s="37" t="s">
        <v>166</v>
      </c>
      <c r="H691" s="37" t="s">
        <v>166</v>
      </c>
      <c r="I691" s="37" t="s">
        <v>166</v>
      </c>
      <c r="J691" s="37" t="s">
        <v>178</v>
      </c>
      <c r="K691" s="37">
        <v>0</v>
      </c>
      <c r="L691" s="37">
        <v>2</v>
      </c>
      <c r="M691" s="37">
        <v>0</v>
      </c>
      <c r="N691" s="37">
        <v>2</v>
      </c>
      <c r="O691" s="37">
        <v>5</v>
      </c>
      <c r="P691" s="37">
        <v>0</v>
      </c>
      <c r="Q691" s="37">
        <v>7</v>
      </c>
      <c r="R691" s="37">
        <v>1239</v>
      </c>
      <c r="S691" s="37"/>
      <c r="T691" s="37" t="s">
        <v>166</v>
      </c>
      <c r="U691" s="37" t="s">
        <v>166</v>
      </c>
      <c r="V691" s="37" t="s">
        <v>166</v>
      </c>
      <c r="W691" s="37" t="s">
        <v>18</v>
      </c>
      <c r="X691" s="37" t="s">
        <v>166</v>
      </c>
      <c r="Y691" s="37" t="s">
        <v>166</v>
      </c>
      <c r="Z691" s="37" t="s">
        <v>310</v>
      </c>
      <c r="AA691" s="37">
        <v>100</v>
      </c>
      <c r="AB691" s="37">
        <v>27</v>
      </c>
      <c r="AC691" s="37" t="s">
        <v>296</v>
      </c>
      <c r="AD691" s="37" t="s">
        <v>1383</v>
      </c>
      <c r="AE691" s="37"/>
      <c r="AF691" s="37" t="s">
        <v>1385</v>
      </c>
    </row>
    <row r="692" spans="1:32" customFormat="1" x14ac:dyDescent="0.2">
      <c r="A692" s="37"/>
      <c r="B692" s="37"/>
      <c r="C692" s="37"/>
      <c r="D692" s="37"/>
      <c r="E692" s="37"/>
      <c r="F692" s="37"/>
      <c r="G692" s="37" t="s">
        <v>166</v>
      </c>
      <c r="H692" s="37" t="s">
        <v>166</v>
      </c>
      <c r="I692" s="37" t="s">
        <v>166</v>
      </c>
      <c r="J692" s="37" t="s">
        <v>19</v>
      </c>
      <c r="K692" s="37">
        <v>0</v>
      </c>
      <c r="L692" s="37">
        <v>1</v>
      </c>
      <c r="M692" s="37">
        <v>0</v>
      </c>
      <c r="N692" s="37">
        <v>1</v>
      </c>
      <c r="O692" s="37">
        <v>11</v>
      </c>
      <c r="P692" s="37">
        <v>2</v>
      </c>
      <c r="Q692" s="37">
        <v>14</v>
      </c>
      <c r="R692" s="37">
        <v>104</v>
      </c>
      <c r="S692" s="37"/>
      <c r="T692" s="37" t="s">
        <v>166</v>
      </c>
      <c r="U692" s="37" t="s">
        <v>166</v>
      </c>
      <c r="V692" s="37" t="s">
        <v>166</v>
      </c>
      <c r="W692" s="37" t="s">
        <v>18</v>
      </c>
      <c r="X692" s="37" t="s">
        <v>166</v>
      </c>
      <c r="Y692" s="37" t="s">
        <v>166</v>
      </c>
      <c r="Z692" s="37" t="s">
        <v>310</v>
      </c>
      <c r="AA692" s="37">
        <v>100</v>
      </c>
      <c r="AB692" s="37">
        <v>27</v>
      </c>
      <c r="AC692" s="37" t="s">
        <v>296</v>
      </c>
      <c r="AD692" s="37" t="s">
        <v>1383</v>
      </c>
      <c r="AE692" s="37"/>
      <c r="AF692" s="37" t="s">
        <v>1386</v>
      </c>
    </row>
    <row r="693" spans="1:32" customFormat="1" x14ac:dyDescent="0.2">
      <c r="A693" s="37"/>
      <c r="B693" s="37"/>
      <c r="C693" s="37"/>
      <c r="D693" s="37"/>
      <c r="E693" s="37"/>
      <c r="F693" s="37"/>
      <c r="G693" s="37" t="s">
        <v>166</v>
      </c>
      <c r="H693" s="37" t="s">
        <v>166</v>
      </c>
      <c r="I693" s="37" t="s">
        <v>166</v>
      </c>
      <c r="J693" s="37" t="s">
        <v>18</v>
      </c>
      <c r="K693" s="37">
        <v>1</v>
      </c>
      <c r="L693" s="37">
        <v>2</v>
      </c>
      <c r="M693" s="37">
        <v>0</v>
      </c>
      <c r="N693" s="37">
        <v>3</v>
      </c>
      <c r="O693" s="37">
        <v>36</v>
      </c>
      <c r="P693" s="37">
        <v>11</v>
      </c>
      <c r="Q693" s="37">
        <v>50</v>
      </c>
      <c r="R693" s="37">
        <v>84</v>
      </c>
      <c r="S693" s="37"/>
      <c r="T693" s="37" t="s">
        <v>166</v>
      </c>
      <c r="U693" s="37" t="s">
        <v>166</v>
      </c>
      <c r="V693" s="37" t="s">
        <v>166</v>
      </c>
      <c r="W693" s="37" t="s">
        <v>18</v>
      </c>
      <c r="X693" s="37" t="s">
        <v>166</v>
      </c>
      <c r="Y693" s="37" t="s">
        <v>166</v>
      </c>
      <c r="Z693" s="37" t="s">
        <v>310</v>
      </c>
      <c r="AA693" s="37">
        <v>100</v>
      </c>
      <c r="AB693" s="37">
        <v>27</v>
      </c>
      <c r="AC693" s="37" t="s">
        <v>296</v>
      </c>
      <c r="AD693" s="37" t="s">
        <v>1383</v>
      </c>
      <c r="AE693" s="37"/>
      <c r="AF693" s="37" t="s">
        <v>1387</v>
      </c>
    </row>
    <row r="694" spans="1:32" customFormat="1" x14ac:dyDescent="0.2">
      <c r="A694" s="37"/>
      <c r="B694" s="37"/>
      <c r="C694" s="37" t="s">
        <v>24</v>
      </c>
      <c r="D694" s="37">
        <v>1</v>
      </c>
      <c r="E694" s="37">
        <v>7</v>
      </c>
      <c r="F694" s="37" t="s">
        <v>296</v>
      </c>
      <c r="G694" s="37">
        <v>4.5</v>
      </c>
      <c r="H694" s="37" t="s">
        <v>181</v>
      </c>
      <c r="I694" s="37" t="s">
        <v>23</v>
      </c>
      <c r="J694" s="37" t="s">
        <v>17</v>
      </c>
      <c r="K694" s="37">
        <v>12</v>
      </c>
      <c r="L694" s="37">
        <v>57</v>
      </c>
      <c r="M694" s="37">
        <v>20</v>
      </c>
      <c r="N694" s="37">
        <v>89</v>
      </c>
      <c r="O694" s="37">
        <v>138</v>
      </c>
      <c r="P694" s="37">
        <v>29</v>
      </c>
      <c r="Q694" s="37">
        <v>256</v>
      </c>
      <c r="R694" s="37">
        <v>7671</v>
      </c>
      <c r="S694" s="37"/>
      <c r="T694" s="37" t="s">
        <v>181</v>
      </c>
      <c r="U694" s="37" t="s">
        <v>214</v>
      </c>
      <c r="V694" s="37">
        <v>50</v>
      </c>
      <c r="W694" s="37" t="s">
        <v>18</v>
      </c>
      <c r="X694" s="37" t="s">
        <v>190</v>
      </c>
      <c r="Y694" s="37">
        <v>1125</v>
      </c>
      <c r="Z694" s="37" t="s">
        <v>24</v>
      </c>
      <c r="AA694" s="37">
        <v>1</v>
      </c>
      <c r="AB694" s="37">
        <v>7</v>
      </c>
      <c r="AC694" s="37" t="s">
        <v>296</v>
      </c>
      <c r="AD694" s="37" t="s">
        <v>1388</v>
      </c>
      <c r="AE694" s="37"/>
      <c r="AF694" s="37" t="s">
        <v>1389</v>
      </c>
    </row>
    <row r="695" spans="1:32" customFormat="1" x14ac:dyDescent="0.2">
      <c r="A695" s="37"/>
      <c r="B695" s="37"/>
      <c r="C695" s="37"/>
      <c r="D695" s="37"/>
      <c r="E695" s="37"/>
      <c r="F695" s="37"/>
      <c r="G695" s="37" t="s">
        <v>166</v>
      </c>
      <c r="H695" s="37" t="s">
        <v>166</v>
      </c>
      <c r="I695" s="37" t="s">
        <v>166</v>
      </c>
      <c r="J695" s="37" t="s">
        <v>19</v>
      </c>
      <c r="K695" s="37">
        <v>1</v>
      </c>
      <c r="L695" s="37">
        <v>18</v>
      </c>
      <c r="M695" s="37">
        <v>7</v>
      </c>
      <c r="N695" s="37">
        <v>26</v>
      </c>
      <c r="O695" s="37">
        <v>57</v>
      </c>
      <c r="P695" s="37">
        <v>10</v>
      </c>
      <c r="Q695" s="37">
        <v>93</v>
      </c>
      <c r="R695" s="37">
        <v>1243</v>
      </c>
      <c r="S695" s="37"/>
      <c r="T695" s="37" t="s">
        <v>166</v>
      </c>
      <c r="U695" s="37" t="s">
        <v>166</v>
      </c>
      <c r="V695" s="37" t="s">
        <v>166</v>
      </c>
      <c r="W695" s="37" t="s">
        <v>18</v>
      </c>
      <c r="X695" s="37" t="s">
        <v>166</v>
      </c>
      <c r="Y695" s="37" t="s">
        <v>166</v>
      </c>
      <c r="Z695" s="37" t="s">
        <v>24</v>
      </c>
      <c r="AA695" s="37">
        <v>1</v>
      </c>
      <c r="AB695" s="37">
        <v>7</v>
      </c>
      <c r="AC695" s="37" t="s">
        <v>296</v>
      </c>
      <c r="AD695" s="37" t="s">
        <v>1388</v>
      </c>
      <c r="AE695" s="37"/>
      <c r="AF695" s="37" t="s">
        <v>1390</v>
      </c>
    </row>
    <row r="696" spans="1:32" customFormat="1" x14ac:dyDescent="0.2">
      <c r="A696" s="37"/>
      <c r="B696" s="37"/>
      <c r="C696" s="37"/>
      <c r="D696" s="37"/>
      <c r="E696" s="37"/>
      <c r="F696" s="37"/>
      <c r="G696" s="37" t="s">
        <v>166</v>
      </c>
      <c r="H696" s="37" t="s">
        <v>166</v>
      </c>
      <c r="I696" s="37" t="s">
        <v>166</v>
      </c>
      <c r="J696" s="37" t="s">
        <v>18</v>
      </c>
      <c r="K696" s="37">
        <v>41</v>
      </c>
      <c r="L696" s="37">
        <v>125</v>
      </c>
      <c r="M696" s="37">
        <v>9</v>
      </c>
      <c r="N696" s="37">
        <v>175</v>
      </c>
      <c r="O696" s="37">
        <v>277</v>
      </c>
      <c r="P696" s="37">
        <v>92</v>
      </c>
      <c r="Q696" s="37">
        <v>544</v>
      </c>
      <c r="R696" s="37">
        <v>3160</v>
      </c>
      <c r="S696" s="37"/>
      <c r="T696" s="37" t="s">
        <v>166</v>
      </c>
      <c r="U696" s="37" t="s">
        <v>166</v>
      </c>
      <c r="V696" s="37" t="s">
        <v>166</v>
      </c>
      <c r="W696" s="37" t="s">
        <v>18</v>
      </c>
      <c r="X696" s="37" t="s">
        <v>166</v>
      </c>
      <c r="Y696" s="37" t="s">
        <v>166</v>
      </c>
      <c r="Z696" s="37" t="s">
        <v>24</v>
      </c>
      <c r="AA696" s="37">
        <v>1</v>
      </c>
      <c r="AB696" s="37">
        <v>7</v>
      </c>
      <c r="AC696" s="37" t="s">
        <v>296</v>
      </c>
      <c r="AD696" s="37" t="s">
        <v>1388</v>
      </c>
      <c r="AE696" s="37"/>
      <c r="AF696" s="37" t="s">
        <v>1391</v>
      </c>
    </row>
    <row r="697" spans="1:32" customFormat="1" x14ac:dyDescent="0.2">
      <c r="A697" s="37"/>
      <c r="B697" s="37"/>
      <c r="C697" s="37" t="s">
        <v>24</v>
      </c>
      <c r="D697" s="37">
        <v>1</v>
      </c>
      <c r="E697" s="37">
        <v>15</v>
      </c>
      <c r="F697" s="37">
        <v>2</v>
      </c>
      <c r="G697" s="37">
        <v>1.6</v>
      </c>
      <c r="H697" s="37" t="s">
        <v>181</v>
      </c>
      <c r="I697" s="37" t="s">
        <v>23</v>
      </c>
      <c r="J697" s="37" t="s">
        <v>17</v>
      </c>
      <c r="K697" s="37">
        <v>0</v>
      </c>
      <c r="L697" s="37">
        <v>7</v>
      </c>
      <c r="M697" s="37">
        <v>3</v>
      </c>
      <c r="N697" s="37">
        <v>10</v>
      </c>
      <c r="O697" s="37">
        <v>11</v>
      </c>
      <c r="P697" s="37">
        <v>3</v>
      </c>
      <c r="Q697" s="37">
        <v>24</v>
      </c>
      <c r="R697" s="37">
        <v>747</v>
      </c>
      <c r="S697" s="37"/>
      <c r="T697" s="37" t="s">
        <v>181</v>
      </c>
      <c r="U697" s="37" t="s">
        <v>333</v>
      </c>
      <c r="V697" s="37">
        <v>80</v>
      </c>
      <c r="W697" s="37" t="s">
        <v>19</v>
      </c>
      <c r="X697" s="37" t="s">
        <v>190</v>
      </c>
      <c r="Y697" s="37">
        <v>304</v>
      </c>
      <c r="Z697" s="37" t="s">
        <v>24</v>
      </c>
      <c r="AA697" s="37">
        <v>1</v>
      </c>
      <c r="AB697" s="37">
        <v>15</v>
      </c>
      <c r="AC697" s="37">
        <v>2</v>
      </c>
      <c r="AD697" s="37" t="s">
        <v>1392</v>
      </c>
      <c r="AE697" s="37"/>
      <c r="AF697" s="37" t="s">
        <v>1393</v>
      </c>
    </row>
    <row r="698" spans="1:32" customFormat="1" x14ac:dyDescent="0.2">
      <c r="A698" s="37"/>
      <c r="B698" s="37"/>
      <c r="C698" s="37"/>
      <c r="D698" s="37"/>
      <c r="E698" s="37"/>
      <c r="F698" s="37"/>
      <c r="G698" s="37" t="s">
        <v>166</v>
      </c>
      <c r="H698" s="37" t="s">
        <v>166</v>
      </c>
      <c r="I698" s="37" t="s">
        <v>166</v>
      </c>
      <c r="J698" s="37" t="s">
        <v>19</v>
      </c>
      <c r="K698" s="37">
        <v>8</v>
      </c>
      <c r="L698" s="37">
        <v>43</v>
      </c>
      <c r="M698" s="37">
        <v>6</v>
      </c>
      <c r="N698" s="37">
        <v>57</v>
      </c>
      <c r="O698" s="37">
        <v>110</v>
      </c>
      <c r="P698" s="37">
        <v>22</v>
      </c>
      <c r="Q698" s="37">
        <v>189</v>
      </c>
      <c r="R698" s="37">
        <v>2915</v>
      </c>
      <c r="S698" s="37"/>
      <c r="T698" s="37" t="s">
        <v>166</v>
      </c>
      <c r="U698" s="37" t="s">
        <v>166</v>
      </c>
      <c r="V698" s="37" t="s">
        <v>166</v>
      </c>
      <c r="W698" s="37" t="s">
        <v>19</v>
      </c>
      <c r="X698" s="37" t="s">
        <v>166</v>
      </c>
      <c r="Y698" s="37" t="s">
        <v>166</v>
      </c>
      <c r="Z698" s="37" t="s">
        <v>24</v>
      </c>
      <c r="AA698" s="37">
        <v>1</v>
      </c>
      <c r="AB698" s="37">
        <v>15</v>
      </c>
      <c r="AC698" s="37">
        <v>2</v>
      </c>
      <c r="AD698" s="37" t="s">
        <v>1392</v>
      </c>
      <c r="AE698" s="37"/>
      <c r="AF698" s="37" t="s">
        <v>1394</v>
      </c>
    </row>
    <row r="699" spans="1:32" customFormat="1" x14ac:dyDescent="0.2">
      <c r="A699" s="37"/>
      <c r="B699" s="37"/>
      <c r="C699" s="37"/>
      <c r="D699" s="37"/>
      <c r="E699" s="37"/>
      <c r="F699" s="37"/>
      <c r="G699" s="37" t="s">
        <v>166</v>
      </c>
      <c r="H699" s="37" t="s">
        <v>166</v>
      </c>
      <c r="I699" s="37" t="s">
        <v>166</v>
      </c>
      <c r="J699" s="37" t="s">
        <v>18</v>
      </c>
      <c r="K699" s="37">
        <v>3</v>
      </c>
      <c r="L699" s="37">
        <v>6</v>
      </c>
      <c r="M699" s="37">
        <v>1</v>
      </c>
      <c r="N699" s="37">
        <v>10</v>
      </c>
      <c r="O699" s="37">
        <v>14</v>
      </c>
      <c r="P699" s="37">
        <v>5</v>
      </c>
      <c r="Q699" s="37">
        <v>29</v>
      </c>
      <c r="R699" s="37">
        <v>177</v>
      </c>
      <c r="S699" s="37"/>
      <c r="T699" s="37" t="s">
        <v>166</v>
      </c>
      <c r="U699" s="37" t="s">
        <v>166</v>
      </c>
      <c r="V699" s="37" t="s">
        <v>166</v>
      </c>
      <c r="W699" s="37" t="s">
        <v>19</v>
      </c>
      <c r="X699" s="37" t="s">
        <v>166</v>
      </c>
      <c r="Y699" s="37" t="s">
        <v>166</v>
      </c>
      <c r="Z699" s="37" t="s">
        <v>24</v>
      </c>
      <c r="AA699" s="37">
        <v>1</v>
      </c>
      <c r="AB699" s="37">
        <v>15</v>
      </c>
      <c r="AC699" s="37">
        <v>2</v>
      </c>
      <c r="AD699" s="37" t="s">
        <v>1392</v>
      </c>
      <c r="AE699" s="37"/>
      <c r="AF699" s="37" t="s">
        <v>1395</v>
      </c>
    </row>
    <row r="700" spans="1:32" customFormat="1" x14ac:dyDescent="0.2">
      <c r="A700" s="37"/>
      <c r="B700" s="37"/>
      <c r="C700" s="37" t="s">
        <v>24</v>
      </c>
      <c r="D700" s="37">
        <v>1</v>
      </c>
      <c r="E700" s="37">
        <v>16</v>
      </c>
      <c r="F700" s="37">
        <v>3</v>
      </c>
      <c r="G700" s="37">
        <v>1.6</v>
      </c>
      <c r="H700" s="37" t="s">
        <v>181</v>
      </c>
      <c r="I700" s="37" t="s">
        <v>23</v>
      </c>
      <c r="J700" s="37" t="s">
        <v>17</v>
      </c>
      <c r="K700" s="37">
        <v>1</v>
      </c>
      <c r="L700" s="37">
        <v>6</v>
      </c>
      <c r="M700" s="37">
        <v>2</v>
      </c>
      <c r="N700" s="37">
        <v>9</v>
      </c>
      <c r="O700" s="37">
        <v>14</v>
      </c>
      <c r="P700" s="37">
        <v>3</v>
      </c>
      <c r="Q700" s="37">
        <v>26</v>
      </c>
      <c r="R700" s="37">
        <v>767</v>
      </c>
      <c r="S700" s="37"/>
      <c r="T700" s="37" t="s">
        <v>181</v>
      </c>
      <c r="U700" s="37" t="s">
        <v>334</v>
      </c>
      <c r="V700" s="37">
        <v>80</v>
      </c>
      <c r="W700" s="37" t="s">
        <v>19</v>
      </c>
      <c r="X700" s="37" t="s">
        <v>190</v>
      </c>
      <c r="Y700" s="37">
        <v>368</v>
      </c>
      <c r="Z700" s="37" t="s">
        <v>24</v>
      </c>
      <c r="AA700" s="37">
        <v>1</v>
      </c>
      <c r="AB700" s="37">
        <v>16</v>
      </c>
      <c r="AC700" s="37">
        <v>3</v>
      </c>
      <c r="AD700" s="37" t="s">
        <v>1396</v>
      </c>
      <c r="AE700" s="37"/>
      <c r="AF700" s="37" t="s">
        <v>1397</v>
      </c>
    </row>
    <row r="701" spans="1:32" customFormat="1" x14ac:dyDescent="0.2">
      <c r="A701" s="37"/>
      <c r="B701" s="37"/>
      <c r="C701" s="37"/>
      <c r="D701" s="37"/>
      <c r="E701" s="37"/>
      <c r="F701" s="37"/>
      <c r="G701" s="37" t="s">
        <v>166</v>
      </c>
      <c r="H701" s="37" t="s">
        <v>166</v>
      </c>
      <c r="I701" s="37" t="s">
        <v>166</v>
      </c>
      <c r="J701" s="37" t="s">
        <v>178</v>
      </c>
      <c r="K701" s="37">
        <v>0</v>
      </c>
      <c r="L701" s="37">
        <v>17</v>
      </c>
      <c r="M701" s="37">
        <v>3</v>
      </c>
      <c r="N701" s="37">
        <v>20</v>
      </c>
      <c r="O701" s="37">
        <v>30</v>
      </c>
      <c r="P701" s="37">
        <v>7</v>
      </c>
      <c r="Q701" s="37">
        <v>57</v>
      </c>
      <c r="R701" s="37">
        <v>12275</v>
      </c>
      <c r="S701" s="37"/>
      <c r="T701" s="37" t="s">
        <v>166</v>
      </c>
      <c r="U701" s="37" t="s">
        <v>166</v>
      </c>
      <c r="V701" s="37" t="s">
        <v>166</v>
      </c>
      <c r="W701" s="37" t="s">
        <v>19</v>
      </c>
      <c r="X701" s="37" t="s">
        <v>166</v>
      </c>
      <c r="Y701" s="37" t="s">
        <v>166</v>
      </c>
      <c r="Z701" s="37" t="s">
        <v>24</v>
      </c>
      <c r="AA701" s="37">
        <v>1</v>
      </c>
      <c r="AB701" s="37">
        <v>16</v>
      </c>
      <c r="AC701" s="37">
        <v>3</v>
      </c>
      <c r="AD701" s="37" t="s">
        <v>1396</v>
      </c>
      <c r="AE701" s="37"/>
      <c r="AF701" s="37" t="s">
        <v>1398</v>
      </c>
    </row>
    <row r="702" spans="1:32" customFormat="1" x14ac:dyDescent="0.2">
      <c r="A702" s="37"/>
      <c r="B702" s="37"/>
      <c r="C702" s="37"/>
      <c r="D702" s="37"/>
      <c r="E702" s="37"/>
      <c r="F702" s="37"/>
      <c r="G702" s="37" t="s">
        <v>166</v>
      </c>
      <c r="H702" s="37" t="s">
        <v>166</v>
      </c>
      <c r="I702" s="37" t="s">
        <v>166</v>
      </c>
      <c r="J702" s="37" t="s">
        <v>19</v>
      </c>
      <c r="K702" s="37">
        <v>7</v>
      </c>
      <c r="L702" s="37">
        <v>23</v>
      </c>
      <c r="M702" s="37">
        <v>3</v>
      </c>
      <c r="N702" s="37">
        <v>33</v>
      </c>
      <c r="O702" s="37">
        <v>75</v>
      </c>
      <c r="P702" s="37">
        <v>15</v>
      </c>
      <c r="Q702" s="37">
        <v>123</v>
      </c>
      <c r="R702" s="37">
        <v>1746</v>
      </c>
      <c r="S702" s="37"/>
      <c r="T702" s="37" t="s">
        <v>166</v>
      </c>
      <c r="U702" s="37" t="s">
        <v>166</v>
      </c>
      <c r="V702" s="37" t="s">
        <v>166</v>
      </c>
      <c r="W702" s="37" t="s">
        <v>19</v>
      </c>
      <c r="X702" s="37" t="s">
        <v>166</v>
      </c>
      <c r="Y702" s="37" t="s">
        <v>166</v>
      </c>
      <c r="Z702" s="37" t="s">
        <v>24</v>
      </c>
      <c r="AA702" s="37">
        <v>1</v>
      </c>
      <c r="AB702" s="37">
        <v>16</v>
      </c>
      <c r="AC702" s="37">
        <v>3</v>
      </c>
      <c r="AD702" s="37" t="s">
        <v>1396</v>
      </c>
      <c r="AE702" s="37"/>
      <c r="AF702" s="37" t="s">
        <v>1399</v>
      </c>
    </row>
    <row r="703" spans="1:32" customFormat="1" x14ac:dyDescent="0.2">
      <c r="A703" s="37"/>
      <c r="B703" s="37"/>
      <c r="C703" s="37"/>
      <c r="D703" s="37"/>
      <c r="E703" s="37"/>
      <c r="F703" s="37"/>
      <c r="G703" s="37" t="s">
        <v>166</v>
      </c>
      <c r="H703" s="37" t="s">
        <v>166</v>
      </c>
      <c r="I703" s="37" t="s">
        <v>166</v>
      </c>
      <c r="J703" s="37" t="s">
        <v>18</v>
      </c>
      <c r="K703" s="37">
        <v>16</v>
      </c>
      <c r="L703" s="37">
        <v>17</v>
      </c>
      <c r="M703" s="37">
        <v>1</v>
      </c>
      <c r="N703" s="37">
        <v>34</v>
      </c>
      <c r="O703" s="37">
        <v>44</v>
      </c>
      <c r="P703" s="37">
        <v>15</v>
      </c>
      <c r="Q703" s="37">
        <v>93</v>
      </c>
      <c r="R703" s="37">
        <v>649</v>
      </c>
      <c r="S703" s="37"/>
      <c r="T703" s="37" t="s">
        <v>166</v>
      </c>
      <c r="U703" s="37" t="s">
        <v>166</v>
      </c>
      <c r="V703" s="37" t="s">
        <v>166</v>
      </c>
      <c r="W703" s="37" t="s">
        <v>19</v>
      </c>
      <c r="X703" s="37" t="s">
        <v>166</v>
      </c>
      <c r="Y703" s="37" t="s">
        <v>166</v>
      </c>
      <c r="Z703" s="37" t="s">
        <v>24</v>
      </c>
      <c r="AA703" s="37">
        <v>1</v>
      </c>
      <c r="AB703" s="37">
        <v>16</v>
      </c>
      <c r="AC703" s="37">
        <v>3</v>
      </c>
      <c r="AD703" s="37" t="s">
        <v>1396</v>
      </c>
      <c r="AE703" s="37"/>
      <c r="AF703" s="37" t="s">
        <v>1400</v>
      </c>
    </row>
    <row r="704" spans="1:32" customFormat="1" x14ac:dyDescent="0.2">
      <c r="A704" s="37"/>
      <c r="B704" s="37"/>
      <c r="C704" s="37" t="s">
        <v>24</v>
      </c>
      <c r="D704" s="37">
        <v>5</v>
      </c>
      <c r="E704" s="37">
        <v>24</v>
      </c>
      <c r="F704" s="37" t="s">
        <v>296</v>
      </c>
      <c r="G704" s="37">
        <v>1</v>
      </c>
      <c r="H704" s="37" t="s">
        <v>181</v>
      </c>
      <c r="I704" s="37" t="s">
        <v>23</v>
      </c>
      <c r="J704" s="37" t="s">
        <v>17</v>
      </c>
      <c r="K704" s="37">
        <v>0</v>
      </c>
      <c r="L704" s="37">
        <v>7</v>
      </c>
      <c r="M704" s="37">
        <v>3</v>
      </c>
      <c r="N704" s="37">
        <v>10</v>
      </c>
      <c r="O704" s="37">
        <v>11</v>
      </c>
      <c r="P704" s="37">
        <v>3</v>
      </c>
      <c r="Q704" s="37">
        <v>24</v>
      </c>
      <c r="R704" s="37">
        <v>747</v>
      </c>
      <c r="S704" s="37"/>
      <c r="T704" s="37" t="s">
        <v>174</v>
      </c>
      <c r="U704" s="37" t="s">
        <v>338</v>
      </c>
      <c r="V704" s="37">
        <v>70</v>
      </c>
      <c r="W704" s="37" t="s">
        <v>268</v>
      </c>
      <c r="X704" s="37" t="s">
        <v>190</v>
      </c>
      <c r="Y704" s="37">
        <v>140</v>
      </c>
      <c r="Z704" s="37" t="s">
        <v>24</v>
      </c>
      <c r="AA704" s="37">
        <v>5</v>
      </c>
      <c r="AB704" s="37">
        <v>24</v>
      </c>
      <c r="AC704" s="37" t="s">
        <v>296</v>
      </c>
      <c r="AD704" s="37" t="s">
        <v>1401</v>
      </c>
      <c r="AE704" s="37"/>
      <c r="AF704" s="37" t="s">
        <v>1402</v>
      </c>
    </row>
    <row r="705" spans="1:32" customFormat="1" x14ac:dyDescent="0.2">
      <c r="A705" s="37"/>
      <c r="B705" s="37"/>
      <c r="C705" s="37"/>
      <c r="D705" s="37"/>
      <c r="E705" s="37"/>
      <c r="F705" s="37"/>
      <c r="G705" s="37" t="s">
        <v>166</v>
      </c>
      <c r="H705" s="37" t="s">
        <v>166</v>
      </c>
      <c r="I705" s="37" t="s">
        <v>166</v>
      </c>
      <c r="J705" s="37" t="s">
        <v>372</v>
      </c>
      <c r="K705" s="37">
        <v>0</v>
      </c>
      <c r="L705" s="37">
        <v>2</v>
      </c>
      <c r="M705" s="37">
        <v>1</v>
      </c>
      <c r="N705" s="37">
        <v>3</v>
      </c>
      <c r="O705" s="37">
        <v>3</v>
      </c>
      <c r="P705" s="37">
        <v>1</v>
      </c>
      <c r="Q705" s="37">
        <v>7</v>
      </c>
      <c r="R705" s="37">
        <v>111</v>
      </c>
      <c r="S705" s="37"/>
      <c r="T705" s="37" t="s">
        <v>166</v>
      </c>
      <c r="U705" s="37" t="s">
        <v>166</v>
      </c>
      <c r="V705" s="37" t="s">
        <v>166</v>
      </c>
      <c r="W705" s="37" t="s">
        <v>268</v>
      </c>
      <c r="X705" s="37" t="s">
        <v>166</v>
      </c>
      <c r="Y705" s="37" t="s">
        <v>166</v>
      </c>
      <c r="Z705" s="37" t="s">
        <v>24</v>
      </c>
      <c r="AA705" s="37">
        <v>5</v>
      </c>
      <c r="AB705" s="37">
        <v>24</v>
      </c>
      <c r="AC705" s="37" t="s">
        <v>296</v>
      </c>
      <c r="AD705" s="37" t="s">
        <v>1401</v>
      </c>
      <c r="AE705" s="37"/>
      <c r="AF705" s="37" t="s">
        <v>1403</v>
      </c>
    </row>
    <row r="706" spans="1:32" customFormat="1" x14ac:dyDescent="0.2">
      <c r="A706" s="37"/>
      <c r="B706" s="37"/>
      <c r="C706" s="37"/>
      <c r="D706" s="37"/>
      <c r="E706" s="37"/>
      <c r="F706" s="37"/>
      <c r="G706" s="37" t="s">
        <v>166</v>
      </c>
      <c r="H706" s="37" t="s">
        <v>166</v>
      </c>
      <c r="I706" s="37" t="s">
        <v>166</v>
      </c>
      <c r="J706" s="37" t="s">
        <v>178</v>
      </c>
      <c r="K706" s="37">
        <v>0</v>
      </c>
      <c r="L706" s="37">
        <v>2</v>
      </c>
      <c r="M706" s="37">
        <v>2</v>
      </c>
      <c r="N706" s="37">
        <v>4</v>
      </c>
      <c r="O706" s="37">
        <v>4</v>
      </c>
      <c r="P706" s="37">
        <v>1</v>
      </c>
      <c r="Q706" s="37">
        <v>9</v>
      </c>
      <c r="R706" s="37">
        <v>1833</v>
      </c>
      <c r="S706" s="37"/>
      <c r="T706" s="37" t="s">
        <v>166</v>
      </c>
      <c r="U706" s="37" t="s">
        <v>166</v>
      </c>
      <c r="V706" s="37" t="s">
        <v>166</v>
      </c>
      <c r="W706" s="37" t="s">
        <v>268</v>
      </c>
      <c r="X706" s="37" t="s">
        <v>166</v>
      </c>
      <c r="Y706" s="37" t="s">
        <v>166</v>
      </c>
      <c r="Z706" s="37" t="s">
        <v>24</v>
      </c>
      <c r="AA706" s="37">
        <v>5</v>
      </c>
      <c r="AB706" s="37">
        <v>24</v>
      </c>
      <c r="AC706" s="37" t="s">
        <v>296</v>
      </c>
      <c r="AD706" s="37" t="s">
        <v>1401</v>
      </c>
      <c r="AE706" s="37"/>
      <c r="AF706" s="37" t="s">
        <v>1404</v>
      </c>
    </row>
    <row r="707" spans="1:32" customFormat="1" x14ac:dyDescent="0.2">
      <c r="A707" s="37"/>
      <c r="B707" s="37"/>
      <c r="C707" s="37"/>
      <c r="D707" s="37"/>
      <c r="E707" s="37"/>
      <c r="F707" s="37"/>
      <c r="G707" s="37" t="s">
        <v>166</v>
      </c>
      <c r="H707" s="37" t="s">
        <v>166</v>
      </c>
      <c r="I707" s="37" t="s">
        <v>166</v>
      </c>
      <c r="J707" s="37" t="s">
        <v>268</v>
      </c>
      <c r="K707" s="37">
        <v>5</v>
      </c>
      <c r="L707" s="37">
        <v>15</v>
      </c>
      <c r="M707" s="37">
        <v>5</v>
      </c>
      <c r="N707" s="37">
        <v>25</v>
      </c>
      <c r="O707" s="37">
        <v>23</v>
      </c>
      <c r="P707" s="37">
        <v>6</v>
      </c>
      <c r="Q707" s="37">
        <v>54</v>
      </c>
      <c r="R707" s="37">
        <v>15400</v>
      </c>
      <c r="S707" s="37"/>
      <c r="T707" s="37" t="s">
        <v>166</v>
      </c>
      <c r="U707" s="37" t="s">
        <v>166</v>
      </c>
      <c r="V707" s="37" t="s">
        <v>166</v>
      </c>
      <c r="W707" s="37" t="s">
        <v>268</v>
      </c>
      <c r="X707" s="37" t="s">
        <v>166</v>
      </c>
      <c r="Y707" s="37" t="s">
        <v>166</v>
      </c>
      <c r="Z707" s="37" t="s">
        <v>24</v>
      </c>
      <c r="AA707" s="37">
        <v>5</v>
      </c>
      <c r="AB707" s="37">
        <v>24</v>
      </c>
      <c r="AC707" s="37" t="s">
        <v>296</v>
      </c>
      <c r="AD707" s="37" t="s">
        <v>1401</v>
      </c>
      <c r="AE707" s="37"/>
      <c r="AF707" s="37" t="s">
        <v>1405</v>
      </c>
    </row>
    <row r="708" spans="1:32" customFormat="1" x14ac:dyDescent="0.2">
      <c r="A708" s="37"/>
      <c r="B708" s="37"/>
      <c r="C708" s="37"/>
      <c r="D708" s="37"/>
      <c r="E708" s="37"/>
      <c r="F708" s="37"/>
      <c r="G708" s="37" t="s">
        <v>166</v>
      </c>
      <c r="H708" s="37" t="s">
        <v>166</v>
      </c>
      <c r="I708" s="37" t="s">
        <v>166</v>
      </c>
      <c r="J708" s="37" t="s">
        <v>19</v>
      </c>
      <c r="K708" s="37">
        <v>3</v>
      </c>
      <c r="L708" s="37">
        <v>6</v>
      </c>
      <c r="M708" s="37">
        <v>1</v>
      </c>
      <c r="N708" s="37">
        <v>10</v>
      </c>
      <c r="O708" s="37">
        <v>20</v>
      </c>
      <c r="P708" s="37">
        <v>5</v>
      </c>
      <c r="Q708" s="37">
        <v>35</v>
      </c>
      <c r="R708" s="37">
        <v>557</v>
      </c>
      <c r="S708" s="37"/>
      <c r="T708" s="37" t="s">
        <v>166</v>
      </c>
      <c r="U708" s="37" t="s">
        <v>166</v>
      </c>
      <c r="V708" s="37" t="s">
        <v>166</v>
      </c>
      <c r="W708" s="37" t="s">
        <v>268</v>
      </c>
      <c r="X708" s="37" t="s">
        <v>166</v>
      </c>
      <c r="Y708" s="37" t="s">
        <v>166</v>
      </c>
      <c r="Z708" s="37" t="s">
        <v>24</v>
      </c>
      <c r="AA708" s="37">
        <v>5</v>
      </c>
      <c r="AB708" s="37">
        <v>24</v>
      </c>
      <c r="AC708" s="37" t="s">
        <v>296</v>
      </c>
      <c r="AD708" s="37" t="s">
        <v>1401</v>
      </c>
      <c r="AE708" s="37"/>
      <c r="AF708" s="37" t="s">
        <v>1406</v>
      </c>
    </row>
    <row r="709" spans="1:32" customFormat="1" x14ac:dyDescent="0.2">
      <c r="A709" s="37"/>
      <c r="B709" s="37"/>
      <c r="C709" s="37" t="s">
        <v>24</v>
      </c>
      <c r="D709" s="37">
        <v>5</v>
      </c>
      <c r="E709" s="37">
        <v>35</v>
      </c>
      <c r="F709" s="37">
        <v>2</v>
      </c>
      <c r="G709" s="37">
        <v>5.2</v>
      </c>
      <c r="H709" s="37" t="s">
        <v>181</v>
      </c>
      <c r="I709" s="37" t="s">
        <v>23</v>
      </c>
      <c r="J709" s="37" t="s">
        <v>17</v>
      </c>
      <c r="K709" s="37">
        <v>0</v>
      </c>
      <c r="L709" s="37">
        <v>5</v>
      </c>
      <c r="M709" s="37">
        <v>8</v>
      </c>
      <c r="N709" s="37">
        <v>13</v>
      </c>
      <c r="O709" s="37">
        <v>21</v>
      </c>
      <c r="P709" s="37">
        <v>4</v>
      </c>
      <c r="Q709" s="37">
        <v>38</v>
      </c>
      <c r="R709" s="37">
        <v>870</v>
      </c>
      <c r="S709" s="37"/>
      <c r="T709" s="37" t="s">
        <v>181</v>
      </c>
      <c r="U709" s="37" t="s">
        <v>339</v>
      </c>
      <c r="V709" s="37">
        <v>85</v>
      </c>
      <c r="W709" s="37" t="s">
        <v>19</v>
      </c>
      <c r="X709" s="37" t="s">
        <v>190</v>
      </c>
      <c r="Y709" s="37">
        <v>936</v>
      </c>
      <c r="Z709" s="37" t="s">
        <v>24</v>
      </c>
      <c r="AA709" s="37">
        <v>5</v>
      </c>
      <c r="AB709" s="37">
        <v>35</v>
      </c>
      <c r="AC709" s="37">
        <v>2</v>
      </c>
      <c r="AD709" s="37" t="s">
        <v>1407</v>
      </c>
      <c r="AE709" s="37"/>
      <c r="AF709" s="37" t="s">
        <v>1408</v>
      </c>
    </row>
    <row r="710" spans="1:32" customFormat="1" x14ac:dyDescent="0.2">
      <c r="A710" s="37"/>
      <c r="B710" s="37"/>
      <c r="C710" s="37"/>
      <c r="D710" s="37"/>
      <c r="E710" s="37"/>
      <c r="F710" s="37"/>
      <c r="G710" s="37" t="s">
        <v>166</v>
      </c>
      <c r="H710" s="37" t="s">
        <v>166</v>
      </c>
      <c r="I710" s="37" t="s">
        <v>166</v>
      </c>
      <c r="J710" s="37" t="s">
        <v>178</v>
      </c>
      <c r="K710" s="37">
        <v>0</v>
      </c>
      <c r="L710" s="37">
        <v>20</v>
      </c>
      <c r="M710" s="37">
        <v>16</v>
      </c>
      <c r="N710" s="37">
        <v>36</v>
      </c>
      <c r="O710" s="37">
        <v>46</v>
      </c>
      <c r="P710" s="37">
        <v>12</v>
      </c>
      <c r="Q710" s="37">
        <v>94</v>
      </c>
      <c r="R710" s="37">
        <v>18331</v>
      </c>
      <c r="S710" s="37"/>
      <c r="T710" s="37" t="s">
        <v>166</v>
      </c>
      <c r="U710" s="37" t="s">
        <v>166</v>
      </c>
      <c r="V710" s="37" t="s">
        <v>166</v>
      </c>
      <c r="W710" s="37" t="s">
        <v>19</v>
      </c>
      <c r="X710" s="37" t="s">
        <v>166</v>
      </c>
      <c r="Y710" s="37" t="s">
        <v>166</v>
      </c>
      <c r="Z710" s="37" t="s">
        <v>24</v>
      </c>
      <c r="AA710" s="37">
        <v>5</v>
      </c>
      <c r="AB710" s="37">
        <v>35</v>
      </c>
      <c r="AC710" s="37">
        <v>2</v>
      </c>
      <c r="AD710" s="37" t="s">
        <v>1407</v>
      </c>
      <c r="AE710" s="37"/>
      <c r="AF710" s="37" t="s">
        <v>1409</v>
      </c>
    </row>
    <row r="711" spans="1:32" customFormat="1" x14ac:dyDescent="0.2">
      <c r="A711" s="37"/>
      <c r="B711" s="37"/>
      <c r="C711" s="37"/>
      <c r="D711" s="37"/>
      <c r="E711" s="37"/>
      <c r="F711" s="37"/>
      <c r="G711" s="37" t="s">
        <v>166</v>
      </c>
      <c r="H711" s="37" t="s">
        <v>166</v>
      </c>
      <c r="I711" s="37" t="s">
        <v>166</v>
      </c>
      <c r="J711" s="37" t="s">
        <v>268</v>
      </c>
      <c r="K711" s="37">
        <v>18</v>
      </c>
      <c r="L711" s="37">
        <v>57</v>
      </c>
      <c r="M711" s="37">
        <v>15</v>
      </c>
      <c r="N711" s="37">
        <v>90</v>
      </c>
      <c r="O711" s="37">
        <v>122</v>
      </c>
      <c r="P711" s="37">
        <v>28</v>
      </c>
      <c r="Q711" s="37">
        <v>240</v>
      </c>
      <c r="R711" s="37">
        <v>57649</v>
      </c>
      <c r="S711" s="37"/>
      <c r="T711" s="37" t="s">
        <v>166</v>
      </c>
      <c r="U711" s="37" t="s">
        <v>166</v>
      </c>
      <c r="V711" s="37" t="s">
        <v>166</v>
      </c>
      <c r="W711" s="37" t="s">
        <v>19</v>
      </c>
      <c r="X711" s="37" t="s">
        <v>166</v>
      </c>
      <c r="Y711" s="37" t="s">
        <v>166</v>
      </c>
      <c r="Z711" s="37" t="s">
        <v>24</v>
      </c>
      <c r="AA711" s="37">
        <v>5</v>
      </c>
      <c r="AB711" s="37">
        <v>35</v>
      </c>
      <c r="AC711" s="37">
        <v>2</v>
      </c>
      <c r="AD711" s="37" t="s">
        <v>1407</v>
      </c>
      <c r="AE711" s="37"/>
      <c r="AF711" s="37" t="s">
        <v>1410</v>
      </c>
    </row>
    <row r="712" spans="1:32" customFormat="1" x14ac:dyDescent="0.2">
      <c r="A712" s="37"/>
      <c r="B712" s="37"/>
      <c r="C712" s="37"/>
      <c r="D712" s="37"/>
      <c r="E712" s="37"/>
      <c r="F712" s="37"/>
      <c r="G712" s="37" t="s">
        <v>166</v>
      </c>
      <c r="H712" s="37" t="s">
        <v>166</v>
      </c>
      <c r="I712" s="37" t="s">
        <v>166</v>
      </c>
      <c r="J712" s="37" t="s">
        <v>19</v>
      </c>
      <c r="K712" s="37">
        <v>29</v>
      </c>
      <c r="L712" s="37">
        <v>64</v>
      </c>
      <c r="M712" s="37">
        <v>10</v>
      </c>
      <c r="N712" s="37">
        <v>103</v>
      </c>
      <c r="O712" s="37">
        <v>201</v>
      </c>
      <c r="P712" s="37">
        <v>45</v>
      </c>
      <c r="Q712" s="37">
        <v>349</v>
      </c>
      <c r="R712" s="37">
        <v>5575</v>
      </c>
      <c r="S712" s="37"/>
      <c r="T712" s="37" t="s">
        <v>166</v>
      </c>
      <c r="U712" s="37" t="s">
        <v>166</v>
      </c>
      <c r="V712" s="37" t="s">
        <v>166</v>
      </c>
      <c r="W712" s="37" t="s">
        <v>19</v>
      </c>
      <c r="X712" s="37" t="s">
        <v>166</v>
      </c>
      <c r="Y712" s="37" t="s">
        <v>166</v>
      </c>
      <c r="Z712" s="37" t="s">
        <v>24</v>
      </c>
      <c r="AA712" s="37">
        <v>5</v>
      </c>
      <c r="AB712" s="37">
        <v>35</v>
      </c>
      <c r="AC712" s="37">
        <v>2</v>
      </c>
      <c r="AD712" s="37" t="s">
        <v>1407</v>
      </c>
      <c r="AE712" s="37"/>
      <c r="AF712" s="37" t="s">
        <v>1411</v>
      </c>
    </row>
    <row r="713" spans="1:32" customFormat="1" x14ac:dyDescent="0.2">
      <c r="A713" s="37"/>
      <c r="B713" s="37"/>
      <c r="C713" s="37"/>
      <c r="D713" s="37"/>
      <c r="E713" s="37"/>
      <c r="F713" s="37"/>
      <c r="G713" s="37" t="s">
        <v>166</v>
      </c>
      <c r="H713" s="37" t="s">
        <v>166</v>
      </c>
      <c r="I713" s="37" t="s">
        <v>166</v>
      </c>
      <c r="J713" s="37" t="s">
        <v>18</v>
      </c>
      <c r="K713" s="37">
        <v>0</v>
      </c>
      <c r="L713" s="37">
        <v>20</v>
      </c>
      <c r="M713" s="37">
        <v>1</v>
      </c>
      <c r="N713" s="37">
        <v>21</v>
      </c>
      <c r="O713" s="37">
        <v>33</v>
      </c>
      <c r="P713" s="37">
        <v>10</v>
      </c>
      <c r="Q713" s="37">
        <v>64</v>
      </c>
      <c r="R713" s="37">
        <v>360</v>
      </c>
      <c r="S713" s="37"/>
      <c r="T713" s="37" t="s">
        <v>166</v>
      </c>
      <c r="U713" s="37" t="s">
        <v>166</v>
      </c>
      <c r="V713" s="37" t="s">
        <v>166</v>
      </c>
      <c r="W713" s="37" t="s">
        <v>19</v>
      </c>
      <c r="X713" s="37" t="s">
        <v>166</v>
      </c>
      <c r="Y713" s="37" t="s">
        <v>166</v>
      </c>
      <c r="Z713" s="37" t="s">
        <v>24</v>
      </c>
      <c r="AA713" s="37">
        <v>5</v>
      </c>
      <c r="AB713" s="37">
        <v>35</v>
      </c>
      <c r="AC713" s="37">
        <v>2</v>
      </c>
      <c r="AD713" s="37" t="s">
        <v>1407</v>
      </c>
      <c r="AE713" s="37"/>
      <c r="AF713" s="37" t="s">
        <v>1412</v>
      </c>
    </row>
    <row r="714" spans="1:32" customFormat="1" x14ac:dyDescent="0.2">
      <c r="A714" s="37"/>
      <c r="B714" s="37"/>
      <c r="C714" s="37" t="s">
        <v>24</v>
      </c>
      <c r="D714" s="37">
        <v>8</v>
      </c>
      <c r="E714" s="37">
        <v>5</v>
      </c>
      <c r="F714" s="37" t="s">
        <v>296</v>
      </c>
      <c r="G714" s="37">
        <v>5.6</v>
      </c>
      <c r="H714" s="37" t="s">
        <v>181</v>
      </c>
      <c r="I714" s="37" t="s">
        <v>23</v>
      </c>
      <c r="J714" s="37" t="s">
        <v>17</v>
      </c>
      <c r="K714" s="37">
        <v>0</v>
      </c>
      <c r="L714" s="37">
        <v>0</v>
      </c>
      <c r="M714" s="37">
        <v>0</v>
      </c>
      <c r="N714" s="37">
        <v>0</v>
      </c>
      <c r="O714" s="37">
        <v>0</v>
      </c>
      <c r="P714" s="37">
        <v>0</v>
      </c>
      <c r="Q714" s="37">
        <v>0</v>
      </c>
      <c r="R714" s="37">
        <v>0</v>
      </c>
      <c r="S714" s="37"/>
      <c r="T714" s="37" t="s">
        <v>181</v>
      </c>
      <c r="U714" s="37" t="s">
        <v>341</v>
      </c>
      <c r="V714" s="37">
        <v>50</v>
      </c>
      <c r="W714" s="37" t="s">
        <v>18</v>
      </c>
      <c r="X714" s="37" t="s">
        <v>190</v>
      </c>
      <c r="Y714" s="37">
        <v>1064</v>
      </c>
      <c r="Z714" s="37" t="s">
        <v>24</v>
      </c>
      <c r="AA714" s="37">
        <v>8</v>
      </c>
      <c r="AB714" s="37">
        <v>5</v>
      </c>
      <c r="AC714" s="37" t="s">
        <v>296</v>
      </c>
      <c r="AD714" s="37" t="s">
        <v>1413</v>
      </c>
      <c r="AE714" s="37"/>
      <c r="AF714" s="37" t="s">
        <v>1414</v>
      </c>
    </row>
    <row r="715" spans="1:32" customFormat="1" x14ac:dyDescent="0.2">
      <c r="A715" s="37"/>
      <c r="B715" s="37"/>
      <c r="C715" s="37"/>
      <c r="D715" s="37"/>
      <c r="E715" s="37"/>
      <c r="F715" s="37"/>
      <c r="G715" s="37" t="s">
        <v>166</v>
      </c>
      <c r="H715" s="37" t="s">
        <v>166</v>
      </c>
      <c r="I715" s="37" t="s">
        <v>166</v>
      </c>
      <c r="J715" s="37" t="s">
        <v>178</v>
      </c>
      <c r="K715" s="37">
        <v>15</v>
      </c>
      <c r="L715" s="37">
        <v>47</v>
      </c>
      <c r="M715" s="37">
        <v>7</v>
      </c>
      <c r="N715" s="37">
        <v>69</v>
      </c>
      <c r="O715" s="37">
        <v>84</v>
      </c>
      <c r="P715" s="37">
        <v>21</v>
      </c>
      <c r="Q715" s="37">
        <v>174</v>
      </c>
      <c r="R715" s="37">
        <v>45498</v>
      </c>
      <c r="S715" s="37"/>
      <c r="T715" s="37" t="s">
        <v>166</v>
      </c>
      <c r="U715" s="37" t="s">
        <v>166</v>
      </c>
      <c r="V715" s="37" t="s">
        <v>166</v>
      </c>
      <c r="W715" s="37" t="s">
        <v>18</v>
      </c>
      <c r="X715" s="37" t="s">
        <v>166</v>
      </c>
      <c r="Y715" s="37" t="s">
        <v>166</v>
      </c>
      <c r="Z715" s="37" t="s">
        <v>24</v>
      </c>
      <c r="AA715" s="37">
        <v>8</v>
      </c>
      <c r="AB715" s="37">
        <v>5</v>
      </c>
      <c r="AC715" s="37" t="s">
        <v>296</v>
      </c>
      <c r="AD715" s="37" t="s">
        <v>1413</v>
      </c>
      <c r="AE715" s="37"/>
      <c r="AF715" s="37" t="s">
        <v>1415</v>
      </c>
    </row>
    <row r="716" spans="1:32" customFormat="1" x14ac:dyDescent="0.2">
      <c r="A716" s="37"/>
      <c r="B716" s="37"/>
      <c r="C716" s="37"/>
      <c r="D716" s="37"/>
      <c r="E716" s="37"/>
      <c r="F716" s="37"/>
      <c r="G716" s="37" t="s">
        <v>166</v>
      </c>
      <c r="H716" s="37" t="s">
        <v>166</v>
      </c>
      <c r="I716" s="37" t="s">
        <v>166</v>
      </c>
      <c r="J716" s="37" t="s">
        <v>19</v>
      </c>
      <c r="K716" s="37">
        <v>10</v>
      </c>
      <c r="L716" s="37">
        <v>48</v>
      </c>
      <c r="M716" s="37">
        <v>16</v>
      </c>
      <c r="N716" s="37">
        <v>74</v>
      </c>
      <c r="O716" s="37">
        <v>141</v>
      </c>
      <c r="P716" s="37">
        <v>29</v>
      </c>
      <c r="Q716" s="37">
        <v>244</v>
      </c>
      <c r="R716" s="37">
        <v>3606</v>
      </c>
      <c r="S716" s="37"/>
      <c r="T716" s="37" t="s">
        <v>166</v>
      </c>
      <c r="U716" s="37" t="s">
        <v>166</v>
      </c>
      <c r="V716" s="37" t="s">
        <v>166</v>
      </c>
      <c r="W716" s="37" t="s">
        <v>18</v>
      </c>
      <c r="X716" s="37" t="s">
        <v>166</v>
      </c>
      <c r="Y716" s="37" t="s">
        <v>166</v>
      </c>
      <c r="Z716" s="37" t="s">
        <v>24</v>
      </c>
      <c r="AA716" s="37">
        <v>8</v>
      </c>
      <c r="AB716" s="37">
        <v>5</v>
      </c>
      <c r="AC716" s="37" t="s">
        <v>296</v>
      </c>
      <c r="AD716" s="37" t="s">
        <v>1413</v>
      </c>
      <c r="AE716" s="37"/>
      <c r="AF716" s="37" t="s">
        <v>1416</v>
      </c>
    </row>
    <row r="717" spans="1:32" customFormat="1" x14ac:dyDescent="0.2">
      <c r="A717" s="37"/>
      <c r="B717" s="37"/>
      <c r="C717" s="37"/>
      <c r="D717" s="37"/>
      <c r="E717" s="37"/>
      <c r="F717" s="37"/>
      <c r="G717" s="37" t="s">
        <v>166</v>
      </c>
      <c r="H717" s="37" t="s">
        <v>166</v>
      </c>
      <c r="I717" s="37" t="s">
        <v>166</v>
      </c>
      <c r="J717" s="37" t="s">
        <v>18</v>
      </c>
      <c r="K717" s="37">
        <v>78</v>
      </c>
      <c r="L717" s="37">
        <v>71</v>
      </c>
      <c r="M717" s="37">
        <v>16</v>
      </c>
      <c r="N717" s="37">
        <v>165</v>
      </c>
      <c r="O717" s="37">
        <v>213</v>
      </c>
      <c r="P717" s="37">
        <v>75</v>
      </c>
      <c r="Q717" s="37">
        <v>453</v>
      </c>
      <c r="R717" s="37">
        <v>3094</v>
      </c>
      <c r="S717" s="37"/>
      <c r="T717" s="37" t="s">
        <v>166</v>
      </c>
      <c r="U717" s="37" t="s">
        <v>166</v>
      </c>
      <c r="V717" s="37" t="s">
        <v>166</v>
      </c>
      <c r="W717" s="37" t="s">
        <v>18</v>
      </c>
      <c r="X717" s="37" t="s">
        <v>166</v>
      </c>
      <c r="Y717" s="37" t="s">
        <v>166</v>
      </c>
      <c r="Z717" s="37" t="s">
        <v>24</v>
      </c>
      <c r="AA717" s="37">
        <v>8</v>
      </c>
      <c r="AB717" s="37">
        <v>5</v>
      </c>
      <c r="AC717" s="37" t="s">
        <v>296</v>
      </c>
      <c r="AD717" s="37" t="s">
        <v>1413</v>
      </c>
      <c r="AE717" s="37"/>
      <c r="AF717" s="37" t="s">
        <v>1417</v>
      </c>
    </row>
    <row r="718" spans="1:32" customFormat="1" x14ac:dyDescent="0.2">
      <c r="A718" s="37"/>
      <c r="B718" s="37"/>
      <c r="C718" s="37" t="s">
        <v>24</v>
      </c>
      <c r="D718" s="37">
        <v>8</v>
      </c>
      <c r="E718" s="37">
        <v>10</v>
      </c>
      <c r="F718" s="37">
        <v>2</v>
      </c>
      <c r="G718" s="37">
        <v>3.9</v>
      </c>
      <c r="H718" s="37" t="s">
        <v>181</v>
      </c>
      <c r="I718" s="37" t="s">
        <v>23</v>
      </c>
      <c r="J718" s="37" t="s">
        <v>17</v>
      </c>
      <c r="K718" s="37">
        <v>0</v>
      </c>
      <c r="L718" s="37">
        <v>0</v>
      </c>
      <c r="M718" s="37">
        <v>0</v>
      </c>
      <c r="N718" s="37">
        <v>0</v>
      </c>
      <c r="O718" s="37">
        <v>0</v>
      </c>
      <c r="P718" s="37">
        <v>0</v>
      </c>
      <c r="Q718" s="37">
        <v>0</v>
      </c>
      <c r="R718" s="37">
        <v>0</v>
      </c>
      <c r="S718" s="37"/>
      <c r="T718" s="37" t="s">
        <v>181</v>
      </c>
      <c r="U718" s="37" t="s">
        <v>203</v>
      </c>
      <c r="V718" s="37">
        <v>55</v>
      </c>
      <c r="W718" s="37" t="s">
        <v>18</v>
      </c>
      <c r="X718" s="37" t="s">
        <v>190</v>
      </c>
      <c r="Y718" s="37">
        <v>897</v>
      </c>
      <c r="Z718" s="37" t="s">
        <v>24</v>
      </c>
      <c r="AA718" s="37">
        <v>8</v>
      </c>
      <c r="AB718" s="37">
        <v>10</v>
      </c>
      <c r="AC718" s="37">
        <v>2</v>
      </c>
      <c r="AD718" s="37" t="s">
        <v>1418</v>
      </c>
      <c r="AE718" s="37"/>
      <c r="AF718" s="37" t="s">
        <v>1419</v>
      </c>
    </row>
    <row r="719" spans="1:32" customFormat="1" x14ac:dyDescent="0.2">
      <c r="A719" s="37"/>
      <c r="B719" s="37"/>
      <c r="C719" s="37"/>
      <c r="D719" s="37"/>
      <c r="E719" s="37"/>
      <c r="F719" s="37"/>
      <c r="G719" s="37" t="s">
        <v>166</v>
      </c>
      <c r="H719" s="37" t="s">
        <v>166</v>
      </c>
      <c r="I719" s="37" t="s">
        <v>166</v>
      </c>
      <c r="J719" s="37" t="s">
        <v>19</v>
      </c>
      <c r="K719" s="37">
        <v>4</v>
      </c>
      <c r="L719" s="37">
        <v>13</v>
      </c>
      <c r="M719" s="37">
        <v>4</v>
      </c>
      <c r="N719" s="37">
        <v>21</v>
      </c>
      <c r="O719" s="37">
        <v>50</v>
      </c>
      <c r="P719" s="37">
        <v>9</v>
      </c>
      <c r="Q719" s="37">
        <v>80</v>
      </c>
      <c r="R719" s="37">
        <v>1052</v>
      </c>
      <c r="S719" s="37"/>
      <c r="T719" s="37" t="s">
        <v>166</v>
      </c>
      <c r="U719" s="37" t="s">
        <v>166</v>
      </c>
      <c r="V719" s="37" t="s">
        <v>166</v>
      </c>
      <c r="W719" s="37" t="s">
        <v>18</v>
      </c>
      <c r="X719" s="37" t="s">
        <v>166</v>
      </c>
      <c r="Y719" s="37" t="s">
        <v>166</v>
      </c>
      <c r="Z719" s="37" t="s">
        <v>24</v>
      </c>
      <c r="AA719" s="37">
        <v>8</v>
      </c>
      <c r="AB719" s="37">
        <v>10</v>
      </c>
      <c r="AC719" s="37">
        <v>2</v>
      </c>
      <c r="AD719" s="37" t="s">
        <v>1418</v>
      </c>
      <c r="AE719" s="37"/>
      <c r="AF719" s="37" t="s">
        <v>1420</v>
      </c>
    </row>
    <row r="720" spans="1:32" customFormat="1" x14ac:dyDescent="0.2">
      <c r="A720" s="37"/>
      <c r="B720" s="37"/>
      <c r="C720" s="37"/>
      <c r="D720" s="37"/>
      <c r="E720" s="37"/>
      <c r="F720" s="37"/>
      <c r="G720" s="37" t="s">
        <v>166</v>
      </c>
      <c r="H720" s="37" t="s">
        <v>166</v>
      </c>
      <c r="I720" s="37" t="s">
        <v>166</v>
      </c>
      <c r="J720" s="37" t="s">
        <v>18</v>
      </c>
      <c r="K720" s="37">
        <v>219</v>
      </c>
      <c r="L720" s="37">
        <v>94</v>
      </c>
      <c r="M720" s="37">
        <v>16</v>
      </c>
      <c r="N720" s="37">
        <v>329</v>
      </c>
      <c r="O720" s="37">
        <v>257</v>
      </c>
      <c r="P720" s="37">
        <v>100</v>
      </c>
      <c r="Q720" s="37">
        <v>686</v>
      </c>
      <c r="R720" s="37">
        <v>6517</v>
      </c>
      <c r="S720" s="37"/>
      <c r="T720" s="37" t="s">
        <v>166</v>
      </c>
      <c r="U720" s="37" t="s">
        <v>166</v>
      </c>
      <c r="V720" s="37" t="s">
        <v>166</v>
      </c>
      <c r="W720" s="37" t="s">
        <v>18</v>
      </c>
      <c r="X720" s="37" t="s">
        <v>166</v>
      </c>
      <c r="Y720" s="37" t="s">
        <v>166</v>
      </c>
      <c r="Z720" s="37" t="s">
        <v>24</v>
      </c>
      <c r="AA720" s="37">
        <v>8</v>
      </c>
      <c r="AB720" s="37">
        <v>10</v>
      </c>
      <c r="AC720" s="37">
        <v>2</v>
      </c>
      <c r="AD720" s="37" t="s">
        <v>1418</v>
      </c>
      <c r="AE720" s="37"/>
      <c r="AF720" s="37" t="s">
        <v>1421</v>
      </c>
    </row>
    <row r="721" spans="1:32" customFormat="1" x14ac:dyDescent="0.2">
      <c r="A721" s="37"/>
      <c r="B721" s="37"/>
      <c r="C721" s="37" t="s">
        <v>24</v>
      </c>
      <c r="D721" s="37">
        <v>10</v>
      </c>
      <c r="E721" s="37">
        <v>7</v>
      </c>
      <c r="F721" s="37" t="s">
        <v>296</v>
      </c>
      <c r="G721" s="37">
        <v>2.5</v>
      </c>
      <c r="H721" s="37" t="s">
        <v>181</v>
      </c>
      <c r="I721" s="37" t="s">
        <v>23</v>
      </c>
      <c r="J721" s="37" t="s">
        <v>17</v>
      </c>
      <c r="K721" s="37">
        <v>0</v>
      </c>
      <c r="L721" s="37">
        <v>0</v>
      </c>
      <c r="M721" s="37">
        <v>0</v>
      </c>
      <c r="N721" s="37">
        <v>0</v>
      </c>
      <c r="O721" s="37">
        <v>0</v>
      </c>
      <c r="P721" s="37">
        <v>0</v>
      </c>
      <c r="Q721" s="37">
        <v>0</v>
      </c>
      <c r="R721" s="37">
        <v>0</v>
      </c>
      <c r="S721" s="37"/>
      <c r="T721" s="37" t="s">
        <v>181</v>
      </c>
      <c r="U721" s="37" t="s">
        <v>202</v>
      </c>
      <c r="V721" s="37">
        <v>60</v>
      </c>
      <c r="W721" s="37" t="s">
        <v>18</v>
      </c>
      <c r="X721" s="37" t="s">
        <v>190</v>
      </c>
      <c r="Y721" s="37">
        <v>650</v>
      </c>
      <c r="Z721" s="37" t="s">
        <v>24</v>
      </c>
      <c r="AA721" s="37">
        <v>10</v>
      </c>
      <c r="AB721" s="37">
        <v>7</v>
      </c>
      <c r="AC721" s="37" t="s">
        <v>296</v>
      </c>
      <c r="AD721" s="37" t="s">
        <v>753</v>
      </c>
      <c r="AE721" s="37"/>
      <c r="AF721" s="37" t="s">
        <v>1422</v>
      </c>
    </row>
    <row r="722" spans="1:32" customFormat="1" x14ac:dyDescent="0.2">
      <c r="A722" s="37"/>
      <c r="B722" s="37"/>
      <c r="C722" s="37"/>
      <c r="D722" s="37"/>
      <c r="E722" s="37"/>
      <c r="F722" s="37"/>
      <c r="G722" s="37" t="s">
        <v>166</v>
      </c>
      <c r="H722" s="37" t="s">
        <v>166</v>
      </c>
      <c r="I722" s="37" t="s">
        <v>166</v>
      </c>
      <c r="J722" s="37" t="s">
        <v>19</v>
      </c>
      <c r="K722" s="37">
        <v>0</v>
      </c>
      <c r="L722" s="37">
        <v>1</v>
      </c>
      <c r="M722" s="37">
        <v>0</v>
      </c>
      <c r="N722" s="37">
        <v>1</v>
      </c>
      <c r="O722" s="37">
        <v>6</v>
      </c>
      <c r="P722" s="37">
        <v>1</v>
      </c>
      <c r="Q722" s="37">
        <v>8</v>
      </c>
      <c r="R722" s="37">
        <v>105</v>
      </c>
      <c r="S722" s="37"/>
      <c r="T722" s="37" t="s">
        <v>166</v>
      </c>
      <c r="U722" s="37" t="s">
        <v>166</v>
      </c>
      <c r="V722" s="37" t="s">
        <v>166</v>
      </c>
      <c r="W722" s="37" t="s">
        <v>18</v>
      </c>
      <c r="X722" s="37" t="s">
        <v>166</v>
      </c>
      <c r="Y722" s="37" t="s">
        <v>166</v>
      </c>
      <c r="Z722" s="37" t="s">
        <v>24</v>
      </c>
      <c r="AA722" s="37">
        <v>10</v>
      </c>
      <c r="AB722" s="37">
        <v>7</v>
      </c>
      <c r="AC722" s="37" t="s">
        <v>296</v>
      </c>
      <c r="AD722" s="37" t="s">
        <v>753</v>
      </c>
      <c r="AE722" s="37"/>
      <c r="AF722" s="37" t="s">
        <v>1423</v>
      </c>
    </row>
    <row r="723" spans="1:32" customFormat="1" x14ac:dyDescent="0.2">
      <c r="A723" s="37"/>
      <c r="B723" s="37"/>
      <c r="C723" s="37"/>
      <c r="D723" s="37"/>
      <c r="E723" s="37"/>
      <c r="F723" s="37"/>
      <c r="G723" s="37" t="s">
        <v>166</v>
      </c>
      <c r="H723" s="37" t="s">
        <v>166</v>
      </c>
      <c r="I723" s="37" t="s">
        <v>166</v>
      </c>
      <c r="J723" s="37" t="s">
        <v>18</v>
      </c>
      <c r="K723" s="37">
        <v>175</v>
      </c>
      <c r="L723" s="37">
        <v>46</v>
      </c>
      <c r="M723" s="37">
        <v>5</v>
      </c>
      <c r="N723" s="37">
        <v>226</v>
      </c>
      <c r="O723" s="37">
        <v>217</v>
      </c>
      <c r="P723" s="37">
        <v>80</v>
      </c>
      <c r="Q723" s="37">
        <v>523</v>
      </c>
      <c r="R723" s="37">
        <v>4656</v>
      </c>
      <c r="S723" s="37"/>
      <c r="T723" s="37" t="s">
        <v>166</v>
      </c>
      <c r="U723" s="37" t="s">
        <v>166</v>
      </c>
      <c r="V723" s="37" t="s">
        <v>166</v>
      </c>
      <c r="W723" s="37" t="s">
        <v>18</v>
      </c>
      <c r="X723" s="37" t="s">
        <v>166</v>
      </c>
      <c r="Y723" s="37" t="s">
        <v>166</v>
      </c>
      <c r="Z723" s="37" t="s">
        <v>24</v>
      </c>
      <c r="AA723" s="37">
        <v>10</v>
      </c>
      <c r="AB723" s="37">
        <v>7</v>
      </c>
      <c r="AC723" s="37" t="s">
        <v>296</v>
      </c>
      <c r="AD723" s="37" t="s">
        <v>753</v>
      </c>
      <c r="AE723" s="37"/>
      <c r="AF723" s="37" t="s">
        <v>754</v>
      </c>
    </row>
    <row r="724" spans="1:32" customFormat="1" x14ac:dyDescent="0.2">
      <c r="A724" s="37"/>
      <c r="B724" s="37"/>
      <c r="C724" s="37" t="s">
        <v>24</v>
      </c>
      <c r="D724" s="37">
        <v>12</v>
      </c>
      <c r="E724" s="37">
        <v>9</v>
      </c>
      <c r="F724" s="37" t="s">
        <v>296</v>
      </c>
      <c r="G724" s="37">
        <v>4.8</v>
      </c>
      <c r="H724" s="37" t="s">
        <v>181</v>
      </c>
      <c r="I724" s="37" t="s">
        <v>23</v>
      </c>
      <c r="J724" s="37" t="s">
        <v>17</v>
      </c>
      <c r="K724" s="37">
        <v>0</v>
      </c>
      <c r="L724" s="37">
        <v>18</v>
      </c>
      <c r="M724" s="37">
        <v>17</v>
      </c>
      <c r="N724" s="37">
        <v>35</v>
      </c>
      <c r="O724" s="37">
        <v>43</v>
      </c>
      <c r="P724" s="37">
        <v>11</v>
      </c>
      <c r="Q724" s="37">
        <v>89</v>
      </c>
      <c r="R724" s="37">
        <v>2399</v>
      </c>
      <c r="S724" s="37"/>
      <c r="T724" s="37" t="s">
        <v>181</v>
      </c>
      <c r="U724" s="37" t="s">
        <v>205</v>
      </c>
      <c r="V724" s="37">
        <v>45</v>
      </c>
      <c r="W724" s="37" t="s">
        <v>18</v>
      </c>
      <c r="X724" s="37" t="s">
        <v>190</v>
      </c>
      <c r="Y724" s="37">
        <v>1056</v>
      </c>
      <c r="Z724" s="37" t="s">
        <v>24</v>
      </c>
      <c r="AA724" s="37">
        <v>12</v>
      </c>
      <c r="AB724" s="37">
        <v>9</v>
      </c>
      <c r="AC724" s="37" t="s">
        <v>296</v>
      </c>
      <c r="AD724" s="37" t="s">
        <v>1424</v>
      </c>
      <c r="AE724" s="37"/>
      <c r="AF724" s="37" t="s">
        <v>1425</v>
      </c>
    </row>
    <row r="725" spans="1:32" customFormat="1" x14ac:dyDescent="0.2">
      <c r="A725" s="37"/>
      <c r="B725" s="37"/>
      <c r="C725" s="37"/>
      <c r="D725" s="37"/>
      <c r="E725" s="37"/>
      <c r="F725" s="37"/>
      <c r="G725" s="37" t="s">
        <v>166</v>
      </c>
      <c r="H725" s="37" t="s">
        <v>166</v>
      </c>
      <c r="I725" s="37" t="s">
        <v>166</v>
      </c>
      <c r="J725" s="37" t="s">
        <v>19</v>
      </c>
      <c r="K725" s="37">
        <v>4</v>
      </c>
      <c r="L725" s="37">
        <v>13</v>
      </c>
      <c r="M725" s="37">
        <v>4</v>
      </c>
      <c r="N725" s="37">
        <v>21</v>
      </c>
      <c r="O725" s="37">
        <v>50</v>
      </c>
      <c r="P725" s="37">
        <v>9</v>
      </c>
      <c r="Q725" s="37">
        <v>80</v>
      </c>
      <c r="R725" s="37">
        <v>1052</v>
      </c>
      <c r="S725" s="37"/>
      <c r="T725" s="37" t="s">
        <v>166</v>
      </c>
      <c r="U725" s="37" t="s">
        <v>166</v>
      </c>
      <c r="V725" s="37" t="s">
        <v>166</v>
      </c>
      <c r="W725" s="37" t="s">
        <v>18</v>
      </c>
      <c r="X725" s="37" t="s">
        <v>166</v>
      </c>
      <c r="Y725" s="37" t="s">
        <v>166</v>
      </c>
      <c r="Z725" s="37" t="s">
        <v>24</v>
      </c>
      <c r="AA725" s="37">
        <v>12</v>
      </c>
      <c r="AB725" s="37">
        <v>9</v>
      </c>
      <c r="AC725" s="37" t="s">
        <v>296</v>
      </c>
      <c r="AD725" s="37" t="s">
        <v>1424</v>
      </c>
      <c r="AE725" s="37"/>
      <c r="AF725" s="37" t="s">
        <v>1426</v>
      </c>
    </row>
    <row r="726" spans="1:32" customFormat="1" x14ac:dyDescent="0.2">
      <c r="A726" s="37"/>
      <c r="B726" s="37"/>
      <c r="C726" s="37"/>
      <c r="D726" s="37"/>
      <c r="E726" s="37"/>
      <c r="F726" s="37"/>
      <c r="G726" s="37" t="s">
        <v>166</v>
      </c>
      <c r="H726" s="37" t="s">
        <v>166</v>
      </c>
      <c r="I726" s="37" t="s">
        <v>166</v>
      </c>
      <c r="J726" s="37" t="s">
        <v>18</v>
      </c>
      <c r="K726" s="37">
        <v>253</v>
      </c>
      <c r="L726" s="37">
        <v>116</v>
      </c>
      <c r="M726" s="37">
        <v>5</v>
      </c>
      <c r="N726" s="37">
        <v>374</v>
      </c>
      <c r="O726" s="37">
        <v>242</v>
      </c>
      <c r="P726" s="37">
        <v>99</v>
      </c>
      <c r="Q726" s="37">
        <v>715</v>
      </c>
      <c r="R726" s="37">
        <v>7503</v>
      </c>
      <c r="S726" s="37"/>
      <c r="T726" s="37" t="s">
        <v>166</v>
      </c>
      <c r="U726" s="37" t="s">
        <v>166</v>
      </c>
      <c r="V726" s="37" t="s">
        <v>166</v>
      </c>
      <c r="W726" s="37" t="s">
        <v>18</v>
      </c>
      <c r="X726" s="37" t="s">
        <v>166</v>
      </c>
      <c r="Y726" s="37" t="s">
        <v>166</v>
      </c>
      <c r="Z726" s="37" t="s">
        <v>24</v>
      </c>
      <c r="AA726" s="37">
        <v>12</v>
      </c>
      <c r="AB726" s="37">
        <v>9</v>
      </c>
      <c r="AC726" s="37" t="s">
        <v>296</v>
      </c>
      <c r="AD726" s="37" t="s">
        <v>1424</v>
      </c>
      <c r="AE726" s="37"/>
      <c r="AF726" s="37" t="s">
        <v>1427</v>
      </c>
    </row>
    <row r="727" spans="1:32" customFormat="1" x14ac:dyDescent="0.2">
      <c r="A727" s="37"/>
      <c r="B727" s="37"/>
      <c r="C727" s="37" t="s">
        <v>24</v>
      </c>
      <c r="D727" s="37">
        <v>13</v>
      </c>
      <c r="E727" s="37">
        <v>1</v>
      </c>
      <c r="F727" s="37" t="s">
        <v>296</v>
      </c>
      <c r="G727" s="37">
        <v>3.5</v>
      </c>
      <c r="H727" s="37" t="s">
        <v>181</v>
      </c>
      <c r="I727" s="37" t="s">
        <v>23</v>
      </c>
      <c r="J727" s="37" t="s">
        <v>17</v>
      </c>
      <c r="K727" s="37">
        <v>0</v>
      </c>
      <c r="L727" s="37">
        <v>18</v>
      </c>
      <c r="M727" s="37">
        <v>17</v>
      </c>
      <c r="N727" s="37">
        <v>35</v>
      </c>
      <c r="O727" s="37">
        <v>43</v>
      </c>
      <c r="P727" s="37">
        <v>11</v>
      </c>
      <c r="Q727" s="37">
        <v>89</v>
      </c>
      <c r="R727" s="37">
        <v>2399</v>
      </c>
      <c r="S727" s="37"/>
      <c r="T727" s="37" t="s">
        <v>181</v>
      </c>
      <c r="U727" s="37" t="s">
        <v>217</v>
      </c>
      <c r="V727" s="37">
        <v>50</v>
      </c>
      <c r="W727" s="37" t="s">
        <v>18</v>
      </c>
      <c r="X727" s="37" t="s">
        <v>190</v>
      </c>
      <c r="Y727" s="37">
        <v>875</v>
      </c>
      <c r="Z727" s="37" t="s">
        <v>24</v>
      </c>
      <c r="AA727" s="37">
        <v>13</v>
      </c>
      <c r="AB727" s="37">
        <v>1</v>
      </c>
      <c r="AC727" s="37" t="s">
        <v>296</v>
      </c>
      <c r="AD727" s="37" t="s">
        <v>1428</v>
      </c>
      <c r="AE727" s="37"/>
      <c r="AF727" s="37" t="s">
        <v>1429</v>
      </c>
    </row>
    <row r="728" spans="1:32" customFormat="1" x14ac:dyDescent="0.2">
      <c r="A728" s="37"/>
      <c r="B728" s="37"/>
      <c r="C728" s="37"/>
      <c r="D728" s="37"/>
      <c r="E728" s="37"/>
      <c r="F728" s="37"/>
      <c r="G728" s="37" t="s">
        <v>166</v>
      </c>
      <c r="H728" s="37" t="s">
        <v>166</v>
      </c>
      <c r="I728" s="37" t="s">
        <v>166</v>
      </c>
      <c r="J728" s="37" t="s">
        <v>19</v>
      </c>
      <c r="K728" s="37">
        <v>17</v>
      </c>
      <c r="L728" s="37">
        <v>72</v>
      </c>
      <c r="M728" s="37">
        <v>21</v>
      </c>
      <c r="N728" s="37">
        <v>110</v>
      </c>
      <c r="O728" s="37">
        <v>225</v>
      </c>
      <c r="P728" s="37">
        <v>45</v>
      </c>
      <c r="Q728" s="37">
        <v>380</v>
      </c>
      <c r="R728" s="37">
        <v>5453</v>
      </c>
      <c r="S728" s="37"/>
      <c r="T728" s="37" t="s">
        <v>166</v>
      </c>
      <c r="U728" s="37" t="s">
        <v>166</v>
      </c>
      <c r="V728" s="37" t="s">
        <v>166</v>
      </c>
      <c r="W728" s="37" t="s">
        <v>18</v>
      </c>
      <c r="X728" s="37" t="s">
        <v>166</v>
      </c>
      <c r="Y728" s="37" t="s">
        <v>166</v>
      </c>
      <c r="Z728" s="37" t="s">
        <v>24</v>
      </c>
      <c r="AA728" s="37">
        <v>13</v>
      </c>
      <c r="AB728" s="37">
        <v>1</v>
      </c>
      <c r="AC728" s="37" t="s">
        <v>296</v>
      </c>
      <c r="AD728" s="37" t="s">
        <v>1428</v>
      </c>
      <c r="AE728" s="37"/>
      <c r="AF728" s="37" t="s">
        <v>1430</v>
      </c>
    </row>
    <row r="729" spans="1:32" customFormat="1" x14ac:dyDescent="0.2">
      <c r="A729" s="37"/>
      <c r="B729" s="37"/>
      <c r="C729" s="37"/>
      <c r="D729" s="37"/>
      <c r="E729" s="37"/>
      <c r="F729" s="37"/>
      <c r="G729" s="37" t="s">
        <v>166</v>
      </c>
      <c r="H729" s="37" t="s">
        <v>166</v>
      </c>
      <c r="I729" s="37" t="s">
        <v>166</v>
      </c>
      <c r="J729" s="37" t="s">
        <v>18</v>
      </c>
      <c r="K729" s="37">
        <v>60</v>
      </c>
      <c r="L729" s="37">
        <v>21</v>
      </c>
      <c r="M729" s="37">
        <v>2</v>
      </c>
      <c r="N729" s="37">
        <v>83</v>
      </c>
      <c r="O729" s="37">
        <v>115</v>
      </c>
      <c r="P729" s="37">
        <v>39</v>
      </c>
      <c r="Q729" s="37">
        <v>237</v>
      </c>
      <c r="R729" s="37">
        <v>1714</v>
      </c>
      <c r="S729" s="37"/>
      <c r="T729" s="37" t="s">
        <v>166</v>
      </c>
      <c r="U729" s="37" t="s">
        <v>166</v>
      </c>
      <c r="V729" s="37" t="s">
        <v>166</v>
      </c>
      <c r="W729" s="37" t="s">
        <v>18</v>
      </c>
      <c r="X729" s="37" t="s">
        <v>166</v>
      </c>
      <c r="Y729" s="37" t="s">
        <v>166</v>
      </c>
      <c r="Z729" s="37" t="s">
        <v>24</v>
      </c>
      <c r="AA729" s="37">
        <v>13</v>
      </c>
      <c r="AB729" s="37">
        <v>1</v>
      </c>
      <c r="AC729" s="37" t="s">
        <v>296</v>
      </c>
      <c r="AD729" s="37" t="s">
        <v>1428</v>
      </c>
      <c r="AE729" s="37"/>
      <c r="AF729" s="37" t="s">
        <v>1431</v>
      </c>
    </row>
    <row r="730" spans="1:32" customFormat="1" x14ac:dyDescent="0.2">
      <c r="A730" s="37"/>
      <c r="B730" s="37"/>
      <c r="C730" s="37" t="s">
        <v>24</v>
      </c>
      <c r="D730" s="37">
        <v>23</v>
      </c>
      <c r="E730" s="37">
        <v>6</v>
      </c>
      <c r="F730" s="37" t="s">
        <v>296</v>
      </c>
      <c r="G730" s="37">
        <v>1.2</v>
      </c>
      <c r="H730" s="37" t="s">
        <v>181</v>
      </c>
      <c r="I730" s="37" t="s">
        <v>23</v>
      </c>
      <c r="J730" s="37" t="s">
        <v>17</v>
      </c>
      <c r="K730" s="37">
        <v>0</v>
      </c>
      <c r="L730" s="37">
        <v>2</v>
      </c>
      <c r="M730" s="37">
        <v>2</v>
      </c>
      <c r="N730" s="37">
        <v>4</v>
      </c>
      <c r="O730" s="37">
        <v>4</v>
      </c>
      <c r="P730" s="37">
        <v>1</v>
      </c>
      <c r="Q730" s="37">
        <v>9</v>
      </c>
      <c r="R730" s="37">
        <v>240</v>
      </c>
      <c r="S730" s="37"/>
      <c r="T730" s="37" t="s">
        <v>181</v>
      </c>
      <c r="U730" s="37" t="s">
        <v>197</v>
      </c>
      <c r="V730" s="37">
        <v>80</v>
      </c>
      <c r="W730" s="37" t="s">
        <v>19</v>
      </c>
      <c r="X730" s="37" t="s">
        <v>190</v>
      </c>
      <c r="Y730" s="37">
        <v>264</v>
      </c>
      <c r="Z730" s="37" t="s">
        <v>24</v>
      </c>
      <c r="AA730" s="37">
        <v>23</v>
      </c>
      <c r="AB730" s="37">
        <v>6</v>
      </c>
      <c r="AC730" s="37" t="s">
        <v>296</v>
      </c>
      <c r="AD730" s="37" t="s">
        <v>1432</v>
      </c>
      <c r="AE730" s="37"/>
      <c r="AF730" s="37" t="s">
        <v>1433</v>
      </c>
    </row>
    <row r="731" spans="1:32" customFormat="1" x14ac:dyDescent="0.2">
      <c r="A731" s="37"/>
      <c r="B731" s="37"/>
      <c r="C731" s="37"/>
      <c r="D731" s="37"/>
      <c r="E731" s="37"/>
      <c r="F731" s="37"/>
      <c r="G731" s="37" t="s">
        <v>166</v>
      </c>
      <c r="H731" s="37" t="s">
        <v>166</v>
      </c>
      <c r="I731" s="37" t="s">
        <v>166</v>
      </c>
      <c r="J731" s="37" t="s">
        <v>19</v>
      </c>
      <c r="K731" s="37">
        <v>1</v>
      </c>
      <c r="L731" s="37">
        <v>13</v>
      </c>
      <c r="M731" s="37">
        <v>4</v>
      </c>
      <c r="N731" s="37">
        <v>18</v>
      </c>
      <c r="O731" s="37">
        <v>38</v>
      </c>
      <c r="P731" s="37">
        <v>8</v>
      </c>
      <c r="Q731" s="37">
        <v>64</v>
      </c>
      <c r="R731" s="37">
        <v>824</v>
      </c>
      <c r="S731" s="37"/>
      <c r="T731" s="37" t="s">
        <v>166</v>
      </c>
      <c r="U731" s="37" t="s">
        <v>166</v>
      </c>
      <c r="V731" s="37" t="s">
        <v>166</v>
      </c>
      <c r="W731" s="37" t="s">
        <v>19</v>
      </c>
      <c r="X731" s="37" t="s">
        <v>166</v>
      </c>
      <c r="Y731" s="37" t="s">
        <v>166</v>
      </c>
      <c r="Z731" s="37" t="s">
        <v>24</v>
      </c>
      <c r="AA731" s="37">
        <v>23</v>
      </c>
      <c r="AB731" s="37">
        <v>6</v>
      </c>
      <c r="AC731" s="37" t="s">
        <v>296</v>
      </c>
      <c r="AD731" s="37" t="s">
        <v>1432</v>
      </c>
      <c r="AE731" s="37"/>
      <c r="AF731" s="37" t="s">
        <v>1434</v>
      </c>
    </row>
    <row r="732" spans="1:32" customFormat="1" x14ac:dyDescent="0.2">
      <c r="A732" s="37"/>
      <c r="B732" s="37"/>
      <c r="C732" s="37"/>
      <c r="D732" s="37"/>
      <c r="E732" s="37"/>
      <c r="F732" s="37"/>
      <c r="G732" s="37" t="s">
        <v>166</v>
      </c>
      <c r="H732" s="37" t="s">
        <v>166</v>
      </c>
      <c r="I732" s="37" t="s">
        <v>166</v>
      </c>
      <c r="J732" s="37" t="s">
        <v>18</v>
      </c>
      <c r="K732" s="37">
        <v>6</v>
      </c>
      <c r="L732" s="37">
        <v>2</v>
      </c>
      <c r="M732" s="37">
        <v>0</v>
      </c>
      <c r="N732" s="37">
        <v>8</v>
      </c>
      <c r="O732" s="37">
        <v>12</v>
      </c>
      <c r="P732" s="37">
        <v>4</v>
      </c>
      <c r="Q732" s="37">
        <v>24</v>
      </c>
      <c r="R732" s="37">
        <v>171</v>
      </c>
      <c r="S732" s="37"/>
      <c r="T732" s="37" t="s">
        <v>166</v>
      </c>
      <c r="U732" s="37" t="s">
        <v>166</v>
      </c>
      <c r="V732" s="37" t="s">
        <v>166</v>
      </c>
      <c r="W732" s="37" t="s">
        <v>19</v>
      </c>
      <c r="X732" s="37" t="s">
        <v>166</v>
      </c>
      <c r="Y732" s="37" t="s">
        <v>166</v>
      </c>
      <c r="Z732" s="37" t="s">
        <v>24</v>
      </c>
      <c r="AA732" s="37">
        <v>23</v>
      </c>
      <c r="AB732" s="37">
        <v>6</v>
      </c>
      <c r="AC732" s="37" t="s">
        <v>296</v>
      </c>
      <c r="AD732" s="37" t="s">
        <v>1432</v>
      </c>
      <c r="AE732" s="37"/>
      <c r="AF732" s="37" t="s">
        <v>1435</v>
      </c>
    </row>
    <row r="733" spans="1:32" customFormat="1" x14ac:dyDescent="0.2">
      <c r="A733" s="37"/>
      <c r="B733" s="37"/>
      <c r="C733" s="37" t="s">
        <v>24</v>
      </c>
      <c r="D733" s="37">
        <v>23</v>
      </c>
      <c r="E733" s="37">
        <v>7</v>
      </c>
      <c r="F733" s="37">
        <v>2</v>
      </c>
      <c r="G733" s="37">
        <v>2.6</v>
      </c>
      <c r="H733" s="37" t="s">
        <v>181</v>
      </c>
      <c r="I733" s="37" t="s">
        <v>23</v>
      </c>
      <c r="J733" s="37" t="s">
        <v>17</v>
      </c>
      <c r="K733" s="37">
        <v>5</v>
      </c>
      <c r="L733" s="37">
        <v>8</v>
      </c>
      <c r="M733" s="37">
        <v>1</v>
      </c>
      <c r="N733" s="37">
        <v>14</v>
      </c>
      <c r="O733" s="37">
        <v>21</v>
      </c>
      <c r="P733" s="37">
        <v>4</v>
      </c>
      <c r="Q733" s="37">
        <v>39</v>
      </c>
      <c r="R733" s="37">
        <v>1414</v>
      </c>
      <c r="S733" s="37"/>
      <c r="T733" s="37" t="s">
        <v>181</v>
      </c>
      <c r="U733" s="37" t="s">
        <v>345</v>
      </c>
      <c r="V733" s="37">
        <v>90</v>
      </c>
      <c r="W733" s="37" t="s">
        <v>19</v>
      </c>
      <c r="X733" s="37" t="s">
        <v>190</v>
      </c>
      <c r="Y733" s="37">
        <v>546</v>
      </c>
      <c r="Z733" s="37" t="s">
        <v>24</v>
      </c>
      <c r="AA733" s="37">
        <v>23</v>
      </c>
      <c r="AB733" s="37">
        <v>7</v>
      </c>
      <c r="AC733" s="37">
        <v>2</v>
      </c>
      <c r="AD733" s="37" t="s">
        <v>1436</v>
      </c>
      <c r="AE733" s="37"/>
      <c r="AF733" s="37" t="s">
        <v>1437</v>
      </c>
    </row>
    <row r="734" spans="1:32" customFormat="1" x14ac:dyDescent="0.2">
      <c r="A734" s="37"/>
      <c r="B734" s="37"/>
      <c r="C734" s="37"/>
      <c r="D734" s="37"/>
      <c r="E734" s="37"/>
      <c r="F734" s="37"/>
      <c r="G734" s="37" t="s">
        <v>166</v>
      </c>
      <c r="H734" s="37" t="s">
        <v>166</v>
      </c>
      <c r="I734" s="37" t="s">
        <v>166</v>
      </c>
      <c r="J734" s="37" t="s">
        <v>178</v>
      </c>
      <c r="K734" s="37">
        <v>4</v>
      </c>
      <c r="L734" s="37">
        <v>11</v>
      </c>
      <c r="M734" s="37">
        <v>1</v>
      </c>
      <c r="N734" s="37">
        <v>16</v>
      </c>
      <c r="O734" s="37">
        <v>21</v>
      </c>
      <c r="P734" s="37">
        <v>5</v>
      </c>
      <c r="Q734" s="37">
        <v>42</v>
      </c>
      <c r="R734" s="37">
        <v>11206</v>
      </c>
      <c r="S734" s="37"/>
      <c r="T734" s="37" t="s">
        <v>166</v>
      </c>
      <c r="U734" s="37" t="s">
        <v>166</v>
      </c>
      <c r="V734" s="37" t="s">
        <v>166</v>
      </c>
      <c r="W734" s="37" t="s">
        <v>19</v>
      </c>
      <c r="X734" s="37" t="s">
        <v>166</v>
      </c>
      <c r="Y734" s="37" t="s">
        <v>166</v>
      </c>
      <c r="Z734" s="37" t="s">
        <v>24</v>
      </c>
      <c r="AA734" s="37">
        <v>23</v>
      </c>
      <c r="AB734" s="37">
        <v>7</v>
      </c>
      <c r="AC734" s="37">
        <v>2</v>
      </c>
      <c r="AD734" s="37" t="s">
        <v>1436</v>
      </c>
      <c r="AE734" s="37"/>
      <c r="AF734" s="37" t="s">
        <v>1438</v>
      </c>
    </row>
    <row r="735" spans="1:32" customFormat="1" x14ac:dyDescent="0.2">
      <c r="A735" s="37"/>
      <c r="B735" s="37"/>
      <c r="C735" s="37"/>
      <c r="D735" s="37"/>
      <c r="E735" s="37"/>
      <c r="F735" s="37"/>
      <c r="G735" s="37" t="s">
        <v>166</v>
      </c>
      <c r="H735" s="37" t="s">
        <v>166</v>
      </c>
      <c r="I735" s="37" t="s">
        <v>166</v>
      </c>
      <c r="J735" s="37" t="s">
        <v>268</v>
      </c>
      <c r="K735" s="37">
        <v>0</v>
      </c>
      <c r="L735" s="37">
        <v>3</v>
      </c>
      <c r="M735" s="37">
        <v>1</v>
      </c>
      <c r="N735" s="37">
        <v>4</v>
      </c>
      <c r="O735" s="37">
        <v>6</v>
      </c>
      <c r="P735" s="37">
        <v>1</v>
      </c>
      <c r="Q735" s="37">
        <v>11</v>
      </c>
      <c r="R735" s="37">
        <v>2508</v>
      </c>
      <c r="S735" s="37"/>
      <c r="T735" s="37" t="s">
        <v>166</v>
      </c>
      <c r="U735" s="37" t="s">
        <v>166</v>
      </c>
      <c r="V735" s="37" t="s">
        <v>166</v>
      </c>
      <c r="W735" s="37" t="s">
        <v>19</v>
      </c>
      <c r="X735" s="37" t="s">
        <v>166</v>
      </c>
      <c r="Y735" s="37" t="s">
        <v>166</v>
      </c>
      <c r="Z735" s="37" t="s">
        <v>24</v>
      </c>
      <c r="AA735" s="37">
        <v>23</v>
      </c>
      <c r="AB735" s="37">
        <v>7</v>
      </c>
      <c r="AC735" s="37">
        <v>2</v>
      </c>
      <c r="AD735" s="37" t="s">
        <v>1436</v>
      </c>
      <c r="AE735" s="37"/>
      <c r="AF735" s="37" t="s">
        <v>1439</v>
      </c>
    </row>
    <row r="736" spans="1:32" customFormat="1" x14ac:dyDescent="0.2">
      <c r="A736" s="37"/>
      <c r="B736" s="37"/>
      <c r="C736" s="37"/>
      <c r="D736" s="37"/>
      <c r="E736" s="37"/>
      <c r="F736" s="37"/>
      <c r="G736" s="37" t="s">
        <v>166</v>
      </c>
      <c r="H736" s="37" t="s">
        <v>166</v>
      </c>
      <c r="I736" s="37" t="s">
        <v>166</v>
      </c>
      <c r="J736" s="37" t="s">
        <v>19</v>
      </c>
      <c r="K736" s="37">
        <v>19</v>
      </c>
      <c r="L736" s="37">
        <v>46</v>
      </c>
      <c r="M736" s="37">
        <v>7</v>
      </c>
      <c r="N736" s="37">
        <v>72</v>
      </c>
      <c r="O736" s="37">
        <v>144</v>
      </c>
      <c r="P736" s="37">
        <v>32</v>
      </c>
      <c r="Q736" s="37">
        <v>248</v>
      </c>
      <c r="R736" s="37">
        <v>3865</v>
      </c>
      <c r="S736" s="37"/>
      <c r="T736" s="37" t="s">
        <v>166</v>
      </c>
      <c r="U736" s="37" t="s">
        <v>166</v>
      </c>
      <c r="V736" s="37" t="s">
        <v>166</v>
      </c>
      <c r="W736" s="37" t="s">
        <v>19</v>
      </c>
      <c r="X736" s="37" t="s">
        <v>166</v>
      </c>
      <c r="Y736" s="37" t="s">
        <v>166</v>
      </c>
      <c r="Z736" s="37" t="s">
        <v>24</v>
      </c>
      <c r="AA736" s="37">
        <v>23</v>
      </c>
      <c r="AB736" s="37">
        <v>7</v>
      </c>
      <c r="AC736" s="37">
        <v>2</v>
      </c>
      <c r="AD736" s="37" t="s">
        <v>1436</v>
      </c>
      <c r="AE736" s="37"/>
      <c r="AF736" s="37" t="s">
        <v>1440</v>
      </c>
    </row>
    <row r="737" spans="1:32" customFormat="1" x14ac:dyDescent="0.2">
      <c r="A737" s="37"/>
      <c r="B737" s="37"/>
      <c r="C737" s="37"/>
      <c r="D737" s="37"/>
      <c r="E737" s="37"/>
      <c r="F737" s="37"/>
      <c r="G737" s="37" t="s">
        <v>166</v>
      </c>
      <c r="H737" s="37" t="s">
        <v>166</v>
      </c>
      <c r="I737" s="37" t="s">
        <v>166</v>
      </c>
      <c r="J737" s="37" t="s">
        <v>18</v>
      </c>
      <c r="K737" s="37">
        <v>24</v>
      </c>
      <c r="L737" s="37">
        <v>14</v>
      </c>
      <c r="M737" s="37">
        <v>1</v>
      </c>
      <c r="N737" s="37">
        <v>39</v>
      </c>
      <c r="O737" s="37">
        <v>50</v>
      </c>
      <c r="P737" s="37">
        <v>17</v>
      </c>
      <c r="Q737" s="37">
        <v>106</v>
      </c>
      <c r="R737" s="37">
        <v>776</v>
      </c>
      <c r="S737" s="37"/>
      <c r="T737" s="37" t="s">
        <v>166</v>
      </c>
      <c r="U737" s="37" t="s">
        <v>166</v>
      </c>
      <c r="V737" s="37" t="s">
        <v>166</v>
      </c>
      <c r="W737" s="37" t="s">
        <v>19</v>
      </c>
      <c r="X737" s="37" t="s">
        <v>166</v>
      </c>
      <c r="Y737" s="37" t="s">
        <v>166</v>
      </c>
      <c r="Z737" s="37" t="s">
        <v>24</v>
      </c>
      <c r="AA737" s="37">
        <v>23</v>
      </c>
      <c r="AB737" s="37">
        <v>7</v>
      </c>
      <c r="AC737" s="37">
        <v>2</v>
      </c>
      <c r="AD737" s="37" t="s">
        <v>1436</v>
      </c>
      <c r="AE737" s="37"/>
      <c r="AF737" s="37" t="s">
        <v>1441</v>
      </c>
    </row>
    <row r="738" spans="1:32" customFormat="1" x14ac:dyDescent="0.2">
      <c r="A738" s="37"/>
      <c r="B738" s="37"/>
      <c r="C738" s="37" t="s">
        <v>24</v>
      </c>
      <c r="D738" s="37">
        <v>23</v>
      </c>
      <c r="E738" s="37">
        <v>10</v>
      </c>
      <c r="F738" s="37">
        <v>3</v>
      </c>
      <c r="G738" s="37">
        <v>4</v>
      </c>
      <c r="H738" s="37" t="s">
        <v>181</v>
      </c>
      <c r="I738" s="37" t="s">
        <v>23</v>
      </c>
      <c r="J738" s="37" t="s">
        <v>17</v>
      </c>
      <c r="K738" s="37">
        <v>13</v>
      </c>
      <c r="L738" s="37">
        <v>46</v>
      </c>
      <c r="M738" s="37">
        <v>18</v>
      </c>
      <c r="N738" s="37">
        <v>77</v>
      </c>
      <c r="O738" s="37">
        <v>90</v>
      </c>
      <c r="P738" s="37">
        <v>21</v>
      </c>
      <c r="Q738" s="37">
        <v>188</v>
      </c>
      <c r="R738" s="37">
        <v>6464</v>
      </c>
      <c r="S738" s="37"/>
      <c r="T738" s="37" t="s">
        <v>181</v>
      </c>
      <c r="U738" s="37" t="s">
        <v>347</v>
      </c>
      <c r="V738" s="37">
        <v>75</v>
      </c>
      <c r="W738" s="37" t="s">
        <v>19</v>
      </c>
      <c r="X738" s="37" t="s">
        <v>190</v>
      </c>
      <c r="Y738" s="37">
        <v>760</v>
      </c>
      <c r="Z738" s="37" t="s">
        <v>24</v>
      </c>
      <c r="AA738" s="37">
        <v>23</v>
      </c>
      <c r="AB738" s="37">
        <v>10</v>
      </c>
      <c r="AC738" s="37">
        <v>3</v>
      </c>
      <c r="AD738" s="37" t="s">
        <v>1442</v>
      </c>
      <c r="AE738" s="37"/>
      <c r="AF738" s="37" t="s">
        <v>1443</v>
      </c>
    </row>
    <row r="739" spans="1:32" customFormat="1" x14ac:dyDescent="0.2">
      <c r="A739" s="37"/>
      <c r="B739" s="37"/>
      <c r="C739" s="37"/>
      <c r="D739" s="37"/>
      <c r="E739" s="37"/>
      <c r="F739" s="37"/>
      <c r="G739" s="37" t="s">
        <v>166</v>
      </c>
      <c r="H739" s="37" t="s">
        <v>166</v>
      </c>
      <c r="I739" s="37" t="s">
        <v>166</v>
      </c>
      <c r="J739" s="37" t="s">
        <v>178</v>
      </c>
      <c r="K739" s="37">
        <v>0</v>
      </c>
      <c r="L739" s="37">
        <v>1</v>
      </c>
      <c r="M739" s="37">
        <v>5</v>
      </c>
      <c r="N739" s="37">
        <v>6</v>
      </c>
      <c r="O739" s="37">
        <v>8</v>
      </c>
      <c r="P739" s="37">
        <v>2</v>
      </c>
      <c r="Q739" s="37">
        <v>16</v>
      </c>
      <c r="R739" s="37">
        <v>2462</v>
      </c>
      <c r="S739" s="37"/>
      <c r="T739" s="37" t="s">
        <v>166</v>
      </c>
      <c r="U739" s="37" t="s">
        <v>166</v>
      </c>
      <c r="V739" s="37" t="s">
        <v>166</v>
      </c>
      <c r="W739" s="37" t="s">
        <v>19</v>
      </c>
      <c r="X739" s="37" t="s">
        <v>166</v>
      </c>
      <c r="Y739" s="37" t="s">
        <v>166</v>
      </c>
      <c r="Z739" s="37" t="s">
        <v>24</v>
      </c>
      <c r="AA739" s="37">
        <v>23</v>
      </c>
      <c r="AB739" s="37">
        <v>10</v>
      </c>
      <c r="AC739" s="37">
        <v>3</v>
      </c>
      <c r="AD739" s="37" t="s">
        <v>1442</v>
      </c>
      <c r="AE739" s="37"/>
      <c r="AF739" s="37" t="s">
        <v>1444</v>
      </c>
    </row>
    <row r="740" spans="1:32" customFormat="1" x14ac:dyDescent="0.2">
      <c r="A740" s="37"/>
      <c r="B740" s="37"/>
      <c r="C740" s="37"/>
      <c r="D740" s="37"/>
      <c r="E740" s="37"/>
      <c r="F740" s="37"/>
      <c r="G740" s="37" t="s">
        <v>166</v>
      </c>
      <c r="H740" s="37" t="s">
        <v>166</v>
      </c>
      <c r="I740" s="37" t="s">
        <v>166</v>
      </c>
      <c r="J740" s="37" t="s">
        <v>19</v>
      </c>
      <c r="K740" s="37">
        <v>17</v>
      </c>
      <c r="L740" s="37">
        <v>77</v>
      </c>
      <c r="M740" s="37">
        <v>13</v>
      </c>
      <c r="N740" s="37">
        <v>107</v>
      </c>
      <c r="O740" s="37">
        <v>165</v>
      </c>
      <c r="P740" s="37">
        <v>37</v>
      </c>
      <c r="Q740" s="37">
        <v>309</v>
      </c>
      <c r="R740" s="37">
        <v>5434</v>
      </c>
      <c r="S740" s="37"/>
      <c r="T740" s="37" t="s">
        <v>166</v>
      </c>
      <c r="U740" s="37" t="s">
        <v>166</v>
      </c>
      <c r="V740" s="37" t="s">
        <v>166</v>
      </c>
      <c r="W740" s="37" t="s">
        <v>19</v>
      </c>
      <c r="X740" s="37" t="s">
        <v>166</v>
      </c>
      <c r="Y740" s="37" t="s">
        <v>166</v>
      </c>
      <c r="Z740" s="37" t="s">
        <v>24</v>
      </c>
      <c r="AA740" s="37">
        <v>23</v>
      </c>
      <c r="AB740" s="37">
        <v>10</v>
      </c>
      <c r="AC740" s="37">
        <v>3</v>
      </c>
      <c r="AD740" s="37" t="s">
        <v>1442</v>
      </c>
      <c r="AE740" s="37"/>
      <c r="AF740" s="37" t="s">
        <v>1445</v>
      </c>
    </row>
    <row r="741" spans="1:32" customFormat="1" x14ac:dyDescent="0.2">
      <c r="A741" s="37"/>
      <c r="B741" s="37"/>
      <c r="C741" s="37"/>
      <c r="D741" s="37"/>
      <c r="E741" s="37"/>
      <c r="F741" s="37"/>
      <c r="G741" s="37" t="s">
        <v>166</v>
      </c>
      <c r="H741" s="37" t="s">
        <v>166</v>
      </c>
      <c r="I741" s="37" t="s">
        <v>166</v>
      </c>
      <c r="J741" s="37" t="s">
        <v>18</v>
      </c>
      <c r="K741" s="37">
        <v>0</v>
      </c>
      <c r="L741" s="37">
        <v>41</v>
      </c>
      <c r="M741" s="37">
        <v>8</v>
      </c>
      <c r="N741" s="37">
        <v>49</v>
      </c>
      <c r="O741" s="37">
        <v>56</v>
      </c>
      <c r="P741" s="37">
        <v>21</v>
      </c>
      <c r="Q741" s="37">
        <v>126</v>
      </c>
      <c r="R741" s="37">
        <v>761</v>
      </c>
      <c r="S741" s="37"/>
      <c r="T741" s="37" t="s">
        <v>166</v>
      </c>
      <c r="U741" s="37" t="s">
        <v>166</v>
      </c>
      <c r="V741" s="37" t="s">
        <v>166</v>
      </c>
      <c r="W741" s="37" t="s">
        <v>19</v>
      </c>
      <c r="X741" s="37" t="s">
        <v>166</v>
      </c>
      <c r="Y741" s="37" t="s">
        <v>166</v>
      </c>
      <c r="Z741" s="37" t="s">
        <v>24</v>
      </c>
      <c r="AA741" s="37">
        <v>23</v>
      </c>
      <c r="AB741" s="37">
        <v>10</v>
      </c>
      <c r="AC741" s="37">
        <v>3</v>
      </c>
      <c r="AD741" s="37" t="s">
        <v>1442</v>
      </c>
      <c r="AE741" s="37"/>
      <c r="AF741" s="37" t="s">
        <v>1446</v>
      </c>
    </row>
    <row r="742" spans="1:32" customFormat="1" x14ac:dyDescent="0.2">
      <c r="A742" s="37"/>
      <c r="B742" s="37"/>
      <c r="C742" s="37" t="s">
        <v>24</v>
      </c>
      <c r="D742" s="37">
        <v>24</v>
      </c>
      <c r="E742" s="37">
        <v>1</v>
      </c>
      <c r="F742" s="37" t="s">
        <v>296</v>
      </c>
      <c r="G742" s="37">
        <v>5.2</v>
      </c>
      <c r="H742" s="37" t="s">
        <v>181</v>
      </c>
      <c r="I742" s="37" t="s">
        <v>23</v>
      </c>
      <c r="J742" s="37" t="s">
        <v>17</v>
      </c>
      <c r="K742" s="37">
        <v>0</v>
      </c>
      <c r="L742" s="37">
        <v>0</v>
      </c>
      <c r="M742" s="37">
        <v>13</v>
      </c>
      <c r="N742" s="37">
        <v>13</v>
      </c>
      <c r="O742" s="37">
        <v>16</v>
      </c>
      <c r="P742" s="37">
        <v>4</v>
      </c>
      <c r="Q742" s="37">
        <v>33</v>
      </c>
      <c r="R742" s="37">
        <v>618</v>
      </c>
      <c r="S742" s="37"/>
      <c r="T742" s="37" t="s">
        <v>181</v>
      </c>
      <c r="U742" s="37" t="s">
        <v>348</v>
      </c>
      <c r="V742" s="37">
        <v>70</v>
      </c>
      <c r="W742" s="37" t="s">
        <v>19</v>
      </c>
      <c r="X742" s="37" t="s">
        <v>190</v>
      </c>
      <c r="Y742" s="37">
        <v>1144</v>
      </c>
      <c r="Z742" s="37" t="s">
        <v>24</v>
      </c>
      <c r="AA742" s="37">
        <v>24</v>
      </c>
      <c r="AB742" s="37">
        <v>1</v>
      </c>
      <c r="AC742" s="37" t="s">
        <v>296</v>
      </c>
      <c r="AD742" s="37" t="s">
        <v>1447</v>
      </c>
      <c r="AE742" s="37"/>
      <c r="AF742" s="37" t="s">
        <v>1448</v>
      </c>
    </row>
    <row r="743" spans="1:32" customFormat="1" x14ac:dyDescent="0.2">
      <c r="A743" s="37"/>
      <c r="B743" s="37"/>
      <c r="C743" s="37"/>
      <c r="D743" s="37"/>
      <c r="E743" s="37"/>
      <c r="F743" s="37"/>
      <c r="G743" s="37" t="s">
        <v>166</v>
      </c>
      <c r="H743" s="37" t="s">
        <v>166</v>
      </c>
      <c r="I743" s="37" t="s">
        <v>166</v>
      </c>
      <c r="J743" s="37" t="s">
        <v>178</v>
      </c>
      <c r="K743" s="37">
        <v>2</v>
      </c>
      <c r="L743" s="37">
        <v>26</v>
      </c>
      <c r="M743" s="37">
        <v>5</v>
      </c>
      <c r="N743" s="37">
        <v>33</v>
      </c>
      <c r="O743" s="37">
        <v>39</v>
      </c>
      <c r="P743" s="37">
        <v>10</v>
      </c>
      <c r="Q743" s="37">
        <v>82</v>
      </c>
      <c r="R743" s="37">
        <v>19517</v>
      </c>
      <c r="S743" s="37"/>
      <c r="T743" s="37" t="s">
        <v>166</v>
      </c>
      <c r="U743" s="37" t="s">
        <v>166</v>
      </c>
      <c r="V743" s="37" t="s">
        <v>166</v>
      </c>
      <c r="W743" s="37" t="s">
        <v>19</v>
      </c>
      <c r="X743" s="37" t="s">
        <v>166</v>
      </c>
      <c r="Y743" s="37" t="s">
        <v>166</v>
      </c>
      <c r="Z743" s="37" t="s">
        <v>24</v>
      </c>
      <c r="AA743" s="37">
        <v>24</v>
      </c>
      <c r="AB743" s="37">
        <v>1</v>
      </c>
      <c r="AC743" s="37" t="s">
        <v>296</v>
      </c>
      <c r="AD743" s="37" t="s">
        <v>1447</v>
      </c>
      <c r="AE743" s="37"/>
      <c r="AF743" s="37" t="s">
        <v>1449</v>
      </c>
    </row>
    <row r="744" spans="1:32" customFormat="1" x14ac:dyDescent="0.2">
      <c r="A744" s="37"/>
      <c r="B744" s="37"/>
      <c r="C744" s="37"/>
      <c r="D744" s="37"/>
      <c r="E744" s="37"/>
      <c r="F744" s="37"/>
      <c r="G744" s="37" t="s">
        <v>166</v>
      </c>
      <c r="H744" s="37" t="s">
        <v>166</v>
      </c>
      <c r="I744" s="37" t="s">
        <v>166</v>
      </c>
      <c r="J744" s="37" t="s">
        <v>268</v>
      </c>
      <c r="K744" s="37">
        <v>0</v>
      </c>
      <c r="L744" s="37">
        <v>19</v>
      </c>
      <c r="M744" s="37">
        <v>9</v>
      </c>
      <c r="N744" s="37">
        <v>28</v>
      </c>
      <c r="O744" s="37">
        <v>36</v>
      </c>
      <c r="P744" s="37">
        <v>8</v>
      </c>
      <c r="Q744" s="37">
        <v>72</v>
      </c>
      <c r="R744" s="37">
        <v>15130</v>
      </c>
      <c r="S744" s="37"/>
      <c r="T744" s="37" t="s">
        <v>166</v>
      </c>
      <c r="U744" s="37" t="s">
        <v>166</v>
      </c>
      <c r="V744" s="37" t="s">
        <v>166</v>
      </c>
      <c r="W744" s="37" t="s">
        <v>19</v>
      </c>
      <c r="X744" s="37" t="s">
        <v>166</v>
      </c>
      <c r="Y744" s="37" t="s">
        <v>166</v>
      </c>
      <c r="Z744" s="37" t="s">
        <v>24</v>
      </c>
      <c r="AA744" s="37">
        <v>24</v>
      </c>
      <c r="AB744" s="37">
        <v>1</v>
      </c>
      <c r="AC744" s="37" t="s">
        <v>296</v>
      </c>
      <c r="AD744" s="37" t="s">
        <v>1447</v>
      </c>
      <c r="AE744" s="37"/>
      <c r="AF744" s="37" t="s">
        <v>1450</v>
      </c>
    </row>
    <row r="745" spans="1:32" customFormat="1" x14ac:dyDescent="0.2">
      <c r="A745" s="37"/>
      <c r="B745" s="37"/>
      <c r="C745" s="37"/>
      <c r="D745" s="37"/>
      <c r="E745" s="37"/>
      <c r="F745" s="37"/>
      <c r="G745" s="37" t="s">
        <v>166</v>
      </c>
      <c r="H745" s="37" t="s">
        <v>166</v>
      </c>
      <c r="I745" s="37" t="s">
        <v>166</v>
      </c>
      <c r="J745" s="37" t="s">
        <v>19</v>
      </c>
      <c r="K745" s="37">
        <v>61</v>
      </c>
      <c r="L745" s="37">
        <v>174</v>
      </c>
      <c r="M745" s="37">
        <v>22</v>
      </c>
      <c r="N745" s="37">
        <v>257</v>
      </c>
      <c r="O745" s="37">
        <v>328</v>
      </c>
      <c r="P745" s="37">
        <v>85</v>
      </c>
      <c r="Q745" s="37">
        <v>670</v>
      </c>
      <c r="R745" s="37">
        <v>13564</v>
      </c>
      <c r="S745" s="37"/>
      <c r="T745" s="37" t="s">
        <v>166</v>
      </c>
      <c r="U745" s="37" t="s">
        <v>166</v>
      </c>
      <c r="V745" s="37" t="s">
        <v>166</v>
      </c>
      <c r="W745" s="37" t="s">
        <v>19</v>
      </c>
      <c r="X745" s="37" t="s">
        <v>166</v>
      </c>
      <c r="Y745" s="37" t="s">
        <v>166</v>
      </c>
      <c r="Z745" s="37" t="s">
        <v>24</v>
      </c>
      <c r="AA745" s="37">
        <v>24</v>
      </c>
      <c r="AB745" s="37">
        <v>1</v>
      </c>
      <c r="AC745" s="37" t="s">
        <v>296</v>
      </c>
      <c r="AD745" s="37" t="s">
        <v>1447</v>
      </c>
      <c r="AE745" s="37"/>
      <c r="AF745" s="37" t="s">
        <v>1451</v>
      </c>
    </row>
    <row r="746" spans="1:32" customFormat="1" x14ac:dyDescent="0.2">
      <c r="A746" s="37"/>
      <c r="B746" s="37"/>
      <c r="C746" s="37"/>
      <c r="D746" s="37"/>
      <c r="E746" s="37"/>
      <c r="F746" s="37"/>
      <c r="G746" s="37" t="s">
        <v>166</v>
      </c>
      <c r="H746" s="37" t="s">
        <v>166</v>
      </c>
      <c r="I746" s="37" t="s">
        <v>166</v>
      </c>
      <c r="J746" s="37" t="s">
        <v>18</v>
      </c>
      <c r="K746" s="37">
        <v>29</v>
      </c>
      <c r="L746" s="37">
        <v>52</v>
      </c>
      <c r="M746" s="37">
        <v>8</v>
      </c>
      <c r="N746" s="37">
        <v>89</v>
      </c>
      <c r="O746" s="37">
        <v>106</v>
      </c>
      <c r="P746" s="37">
        <v>38</v>
      </c>
      <c r="Q746" s="37">
        <v>233</v>
      </c>
      <c r="R746" s="37">
        <v>1592</v>
      </c>
      <c r="S746" s="37"/>
      <c r="T746" s="37" t="s">
        <v>166</v>
      </c>
      <c r="U746" s="37" t="s">
        <v>166</v>
      </c>
      <c r="V746" s="37" t="s">
        <v>166</v>
      </c>
      <c r="W746" s="37" t="s">
        <v>19</v>
      </c>
      <c r="X746" s="37" t="s">
        <v>166</v>
      </c>
      <c r="Y746" s="37" t="s">
        <v>166</v>
      </c>
      <c r="Z746" s="37" t="s">
        <v>24</v>
      </c>
      <c r="AA746" s="37">
        <v>24</v>
      </c>
      <c r="AB746" s="37">
        <v>1</v>
      </c>
      <c r="AC746" s="37" t="s">
        <v>296</v>
      </c>
      <c r="AD746" s="37" t="s">
        <v>1447</v>
      </c>
      <c r="AE746" s="37"/>
      <c r="AF746" s="37" t="s">
        <v>1452</v>
      </c>
    </row>
    <row r="747" spans="1:32" customFormat="1" x14ac:dyDescent="0.2">
      <c r="A747" s="37"/>
      <c r="B747" s="37"/>
      <c r="C747" s="37" t="s">
        <v>24</v>
      </c>
      <c r="D747" s="37">
        <v>25</v>
      </c>
      <c r="E747" s="37">
        <v>2</v>
      </c>
      <c r="F747" s="37" t="s">
        <v>296</v>
      </c>
      <c r="G747" s="37">
        <v>3.5</v>
      </c>
      <c r="H747" s="37" t="s">
        <v>181</v>
      </c>
      <c r="I747" s="37" t="s">
        <v>23</v>
      </c>
      <c r="J747" s="37" t="s">
        <v>17</v>
      </c>
      <c r="K747" s="37">
        <v>0</v>
      </c>
      <c r="L747" s="37">
        <v>0</v>
      </c>
      <c r="M747" s="37">
        <v>0</v>
      </c>
      <c r="N747" s="37">
        <v>0</v>
      </c>
      <c r="O747" s="37">
        <v>0</v>
      </c>
      <c r="P747" s="37">
        <v>0</v>
      </c>
      <c r="Q747" s="37">
        <v>0</v>
      </c>
      <c r="R747" s="37">
        <v>0</v>
      </c>
      <c r="S747" s="37"/>
      <c r="T747" s="37" t="s">
        <v>181</v>
      </c>
      <c r="U747" s="37" t="s">
        <v>211</v>
      </c>
      <c r="V747" s="37">
        <v>50</v>
      </c>
      <c r="W747" s="37" t="s">
        <v>18</v>
      </c>
      <c r="X747" s="37" t="s">
        <v>190</v>
      </c>
      <c r="Y747" s="37">
        <v>840</v>
      </c>
      <c r="Z747" s="37" t="s">
        <v>24</v>
      </c>
      <c r="AA747" s="37">
        <v>25</v>
      </c>
      <c r="AB747" s="37">
        <v>2</v>
      </c>
      <c r="AC747" s="37" t="s">
        <v>296</v>
      </c>
      <c r="AD747" s="37" t="s">
        <v>1453</v>
      </c>
      <c r="AE747" s="37"/>
      <c r="AF747" s="37" t="s">
        <v>1454</v>
      </c>
    </row>
    <row r="748" spans="1:32" customFormat="1" x14ac:dyDescent="0.2">
      <c r="A748" s="37"/>
      <c r="B748" s="37"/>
      <c r="C748" s="37"/>
      <c r="D748" s="37"/>
      <c r="E748" s="37"/>
      <c r="F748" s="37"/>
      <c r="G748" s="37" t="s">
        <v>166</v>
      </c>
      <c r="H748" s="37" t="s">
        <v>166</v>
      </c>
      <c r="I748" s="37" t="s">
        <v>166</v>
      </c>
      <c r="J748" s="37" t="s">
        <v>18</v>
      </c>
      <c r="K748" s="37">
        <v>237</v>
      </c>
      <c r="L748" s="37">
        <v>78</v>
      </c>
      <c r="M748" s="37">
        <v>8</v>
      </c>
      <c r="N748" s="37">
        <v>323</v>
      </c>
      <c r="O748" s="37">
        <v>289</v>
      </c>
      <c r="P748" s="37">
        <v>108</v>
      </c>
      <c r="Q748" s="37">
        <v>720</v>
      </c>
      <c r="R748" s="37">
        <v>6589</v>
      </c>
      <c r="S748" s="37"/>
      <c r="T748" s="37" t="s">
        <v>166</v>
      </c>
      <c r="U748" s="37" t="s">
        <v>166</v>
      </c>
      <c r="V748" s="37" t="s">
        <v>166</v>
      </c>
      <c r="W748" s="37" t="s">
        <v>18</v>
      </c>
      <c r="X748" s="37" t="s">
        <v>166</v>
      </c>
      <c r="Y748" s="37" t="s">
        <v>166</v>
      </c>
      <c r="Z748" s="37" t="s">
        <v>24</v>
      </c>
      <c r="AA748" s="37">
        <v>25</v>
      </c>
      <c r="AB748" s="37">
        <v>2</v>
      </c>
      <c r="AC748" s="37" t="s">
        <v>296</v>
      </c>
      <c r="AD748" s="37" t="s">
        <v>1453</v>
      </c>
      <c r="AE748" s="37"/>
      <c r="AF748" s="37" t="s">
        <v>1455</v>
      </c>
    </row>
    <row r="749" spans="1:32" customFormat="1" x14ac:dyDescent="0.2">
      <c r="A749" s="37"/>
      <c r="B749" s="37"/>
      <c r="C749" s="37" t="s">
        <v>24</v>
      </c>
      <c r="D749" s="37">
        <v>28</v>
      </c>
      <c r="E749" s="37">
        <v>9</v>
      </c>
      <c r="F749" s="37" t="s">
        <v>296</v>
      </c>
      <c r="G749" s="37">
        <v>2.1</v>
      </c>
      <c r="H749" s="37" t="s">
        <v>181</v>
      </c>
      <c r="I749" s="37" t="s">
        <v>23</v>
      </c>
      <c r="J749" s="37" t="s">
        <v>17</v>
      </c>
      <c r="K749" s="37">
        <v>0</v>
      </c>
      <c r="L749" s="37">
        <v>0</v>
      </c>
      <c r="M749" s="37">
        <v>0</v>
      </c>
      <c r="N749" s="37">
        <v>0</v>
      </c>
      <c r="O749" s="37">
        <v>0</v>
      </c>
      <c r="P749" s="37">
        <v>0</v>
      </c>
      <c r="Q749" s="37">
        <v>0</v>
      </c>
      <c r="R749" s="37">
        <v>0</v>
      </c>
      <c r="S749" s="37"/>
      <c r="T749" s="37" t="s">
        <v>181</v>
      </c>
      <c r="U749" s="37" t="s">
        <v>351</v>
      </c>
      <c r="V749" s="37">
        <v>90</v>
      </c>
      <c r="W749" s="37" t="s">
        <v>17</v>
      </c>
      <c r="X749" s="37" t="s">
        <v>190</v>
      </c>
      <c r="Y749" s="37">
        <v>378</v>
      </c>
      <c r="Z749" s="37" t="s">
        <v>24</v>
      </c>
      <c r="AA749" s="37">
        <v>28</v>
      </c>
      <c r="AB749" s="37">
        <v>9</v>
      </c>
      <c r="AC749" s="37" t="s">
        <v>296</v>
      </c>
      <c r="AD749" s="37" t="s">
        <v>1456</v>
      </c>
      <c r="AE749" s="37"/>
      <c r="AF749" s="37" t="s">
        <v>1457</v>
      </c>
    </row>
    <row r="750" spans="1:32" customFormat="1" x14ac:dyDescent="0.2">
      <c r="A750" s="37"/>
      <c r="B750" s="37"/>
      <c r="C750" s="37"/>
      <c r="D750" s="37"/>
      <c r="E750" s="37"/>
      <c r="F750" s="37"/>
      <c r="G750" s="37" t="s">
        <v>166</v>
      </c>
      <c r="H750" s="37" t="s">
        <v>166</v>
      </c>
      <c r="I750" s="37" t="s">
        <v>166</v>
      </c>
      <c r="J750" s="37" t="s">
        <v>178</v>
      </c>
      <c r="K750" s="37">
        <v>0</v>
      </c>
      <c r="L750" s="37">
        <v>10</v>
      </c>
      <c r="M750" s="37">
        <v>2</v>
      </c>
      <c r="N750" s="37">
        <v>12</v>
      </c>
      <c r="O750" s="37">
        <v>14</v>
      </c>
      <c r="P750" s="37">
        <v>3</v>
      </c>
      <c r="Q750" s="37">
        <v>29</v>
      </c>
      <c r="R750" s="37">
        <v>6888</v>
      </c>
      <c r="S750" s="37"/>
      <c r="T750" s="37" t="s">
        <v>166</v>
      </c>
      <c r="U750" s="37" t="s">
        <v>166</v>
      </c>
      <c r="V750" s="37" t="s">
        <v>166</v>
      </c>
      <c r="W750" s="37" t="s">
        <v>17</v>
      </c>
      <c r="X750" s="37" t="s">
        <v>166</v>
      </c>
      <c r="Y750" s="37" t="s">
        <v>166</v>
      </c>
      <c r="Z750" s="37" t="s">
        <v>24</v>
      </c>
      <c r="AA750" s="37">
        <v>28</v>
      </c>
      <c r="AB750" s="37">
        <v>9</v>
      </c>
      <c r="AC750" s="37" t="s">
        <v>296</v>
      </c>
      <c r="AD750" s="37" t="s">
        <v>1456</v>
      </c>
      <c r="AE750" s="37"/>
      <c r="AF750" s="37" t="s">
        <v>1458</v>
      </c>
    </row>
    <row r="751" spans="1:32" customFormat="1" x14ac:dyDescent="0.2">
      <c r="A751" s="37"/>
      <c r="B751" s="37"/>
      <c r="C751" s="37"/>
      <c r="D751" s="37"/>
      <c r="E751" s="37"/>
      <c r="F751" s="37"/>
      <c r="G751" s="37" t="s">
        <v>166</v>
      </c>
      <c r="H751" s="37" t="s">
        <v>166</v>
      </c>
      <c r="I751" s="37" t="s">
        <v>166</v>
      </c>
      <c r="J751" s="37" t="s">
        <v>268</v>
      </c>
      <c r="K751" s="37">
        <v>5</v>
      </c>
      <c r="L751" s="37">
        <v>15</v>
      </c>
      <c r="M751" s="37">
        <v>3</v>
      </c>
      <c r="N751" s="37">
        <v>23</v>
      </c>
      <c r="O751" s="37">
        <v>28</v>
      </c>
      <c r="P751" s="37">
        <v>6</v>
      </c>
      <c r="Q751" s="37">
        <v>57</v>
      </c>
      <c r="R751" s="37">
        <v>15603</v>
      </c>
      <c r="S751" s="37"/>
      <c r="T751" s="37" t="s">
        <v>166</v>
      </c>
      <c r="U751" s="37" t="s">
        <v>166</v>
      </c>
      <c r="V751" s="37" t="s">
        <v>166</v>
      </c>
      <c r="W751" s="37" t="s">
        <v>17</v>
      </c>
      <c r="X751" s="37" t="s">
        <v>166</v>
      </c>
      <c r="Y751" s="37" t="s">
        <v>166</v>
      </c>
      <c r="Z751" s="37" t="s">
        <v>24</v>
      </c>
      <c r="AA751" s="37">
        <v>28</v>
      </c>
      <c r="AB751" s="37">
        <v>9</v>
      </c>
      <c r="AC751" s="37" t="s">
        <v>296</v>
      </c>
      <c r="AD751" s="37" t="s">
        <v>1456</v>
      </c>
      <c r="AE751" s="37"/>
      <c r="AF751" s="37" t="s">
        <v>1459</v>
      </c>
    </row>
    <row r="752" spans="1:32" customFormat="1" x14ac:dyDescent="0.2">
      <c r="A752" s="37"/>
      <c r="B752" s="37"/>
      <c r="C752" s="37"/>
      <c r="D752" s="37"/>
      <c r="E752" s="37"/>
      <c r="F752" s="37"/>
      <c r="G752" s="37" t="s">
        <v>166</v>
      </c>
      <c r="H752" s="37" t="s">
        <v>166</v>
      </c>
      <c r="I752" s="37" t="s">
        <v>166</v>
      </c>
      <c r="J752" s="37" t="s">
        <v>19</v>
      </c>
      <c r="K752" s="37">
        <v>0</v>
      </c>
      <c r="L752" s="37">
        <v>13</v>
      </c>
      <c r="M752" s="37">
        <v>2</v>
      </c>
      <c r="N752" s="37">
        <v>15</v>
      </c>
      <c r="O752" s="37">
        <v>37</v>
      </c>
      <c r="P752" s="37">
        <v>7</v>
      </c>
      <c r="Q752" s="37">
        <v>59</v>
      </c>
      <c r="R752" s="37">
        <v>772</v>
      </c>
      <c r="S752" s="37"/>
      <c r="T752" s="37" t="s">
        <v>166</v>
      </c>
      <c r="U752" s="37" t="s">
        <v>166</v>
      </c>
      <c r="V752" s="37" t="s">
        <v>166</v>
      </c>
      <c r="W752" s="37" t="s">
        <v>17</v>
      </c>
      <c r="X752" s="37" t="s">
        <v>166</v>
      </c>
      <c r="Y752" s="37" t="s">
        <v>166</v>
      </c>
      <c r="Z752" s="37" t="s">
        <v>24</v>
      </c>
      <c r="AA752" s="37">
        <v>28</v>
      </c>
      <c r="AB752" s="37">
        <v>9</v>
      </c>
      <c r="AC752" s="37" t="s">
        <v>296</v>
      </c>
      <c r="AD752" s="37" t="s">
        <v>1456</v>
      </c>
      <c r="AE752" s="37"/>
      <c r="AF752" s="37" t="s">
        <v>1460</v>
      </c>
    </row>
    <row r="753" spans="1:32" customFormat="1" x14ac:dyDescent="0.2">
      <c r="A753" s="37"/>
      <c r="B753" s="37"/>
      <c r="C753" s="37"/>
      <c r="D753" s="37"/>
      <c r="E753" s="37"/>
      <c r="F753" s="37"/>
      <c r="G753" s="37" t="s">
        <v>166</v>
      </c>
      <c r="H753" s="37" t="s">
        <v>166</v>
      </c>
      <c r="I753" s="37" t="s">
        <v>166</v>
      </c>
      <c r="J753" s="37" t="s">
        <v>18</v>
      </c>
      <c r="K753" s="37">
        <v>17</v>
      </c>
      <c r="L753" s="37">
        <v>12</v>
      </c>
      <c r="M753" s="37">
        <v>1</v>
      </c>
      <c r="N753" s="37">
        <v>30</v>
      </c>
      <c r="O753" s="37">
        <v>29</v>
      </c>
      <c r="P753" s="37">
        <v>11</v>
      </c>
      <c r="Q753" s="37">
        <v>70</v>
      </c>
      <c r="R753" s="37">
        <v>587</v>
      </c>
      <c r="S753" s="37"/>
      <c r="T753" s="37" t="s">
        <v>166</v>
      </c>
      <c r="U753" s="37" t="s">
        <v>166</v>
      </c>
      <c r="V753" s="37" t="s">
        <v>166</v>
      </c>
      <c r="W753" s="37" t="s">
        <v>17</v>
      </c>
      <c r="X753" s="37" t="s">
        <v>166</v>
      </c>
      <c r="Y753" s="37" t="s">
        <v>166</v>
      </c>
      <c r="Z753" s="37" t="s">
        <v>24</v>
      </c>
      <c r="AA753" s="37">
        <v>28</v>
      </c>
      <c r="AB753" s="37">
        <v>9</v>
      </c>
      <c r="AC753" s="37" t="s">
        <v>296</v>
      </c>
      <c r="AD753" s="37" t="s">
        <v>1456</v>
      </c>
      <c r="AE753" s="37"/>
      <c r="AF753" s="37" t="s">
        <v>1461</v>
      </c>
    </row>
    <row r="754" spans="1:32" customFormat="1" x14ac:dyDescent="0.2">
      <c r="A754" s="37"/>
      <c r="B754" s="37"/>
      <c r="C754" s="37" t="s">
        <v>24</v>
      </c>
      <c r="D754" s="37">
        <v>29</v>
      </c>
      <c r="E754" s="37">
        <v>2</v>
      </c>
      <c r="F754" s="37" t="s">
        <v>296</v>
      </c>
      <c r="G754" s="37">
        <v>1</v>
      </c>
      <c r="H754" s="37" t="s">
        <v>181</v>
      </c>
      <c r="I754" s="37" t="s">
        <v>528</v>
      </c>
      <c r="J754" s="37" t="s">
        <v>17</v>
      </c>
      <c r="K754" s="37">
        <v>1</v>
      </c>
      <c r="L754" s="37">
        <v>4</v>
      </c>
      <c r="M754" s="37">
        <v>2</v>
      </c>
      <c r="N754" s="37">
        <v>7</v>
      </c>
      <c r="O754" s="37">
        <v>5</v>
      </c>
      <c r="P754" s="37">
        <v>1</v>
      </c>
      <c r="Q754" s="37">
        <v>13</v>
      </c>
      <c r="R754" s="37">
        <v>481</v>
      </c>
      <c r="S754" s="37"/>
      <c r="T754" s="37" t="s">
        <v>181</v>
      </c>
      <c r="U754" s="37" t="s">
        <v>210</v>
      </c>
      <c r="V754" s="37">
        <v>55</v>
      </c>
      <c r="W754" s="37" t="s">
        <v>18</v>
      </c>
      <c r="X754" s="37" t="s">
        <v>283</v>
      </c>
      <c r="Y754" s="37">
        <v>260</v>
      </c>
      <c r="Z754" s="37" t="s">
        <v>24</v>
      </c>
      <c r="AA754" s="37">
        <v>29</v>
      </c>
      <c r="AB754" s="37">
        <v>2</v>
      </c>
      <c r="AC754" s="37" t="s">
        <v>296</v>
      </c>
      <c r="AD754" s="37" t="s">
        <v>1462</v>
      </c>
      <c r="AE754" s="37"/>
      <c r="AF754" s="37" t="s">
        <v>1463</v>
      </c>
    </row>
    <row r="755" spans="1:32" customFormat="1" x14ac:dyDescent="0.2">
      <c r="A755" s="37"/>
      <c r="B755" s="37"/>
      <c r="C755" s="37"/>
      <c r="D755" s="37"/>
      <c r="E755" s="37"/>
      <c r="F755" s="37"/>
      <c r="G755" s="37" t="s">
        <v>166</v>
      </c>
      <c r="H755" s="37" t="s">
        <v>166</v>
      </c>
      <c r="I755" s="37" t="s">
        <v>166</v>
      </c>
      <c r="J755" s="37" t="s">
        <v>19</v>
      </c>
      <c r="K755" s="37">
        <v>0</v>
      </c>
      <c r="L755" s="37">
        <v>1</v>
      </c>
      <c r="M755" s="37">
        <v>1</v>
      </c>
      <c r="N755" s="37">
        <v>2</v>
      </c>
      <c r="O755" s="37">
        <v>2</v>
      </c>
      <c r="P755" s="37">
        <v>1</v>
      </c>
      <c r="Q755" s="37">
        <v>5</v>
      </c>
      <c r="R755" s="37">
        <v>62</v>
      </c>
      <c r="S755" s="37"/>
      <c r="T755" s="37" t="s">
        <v>166</v>
      </c>
      <c r="U755" s="37" t="s">
        <v>166</v>
      </c>
      <c r="V755" s="37" t="s">
        <v>166</v>
      </c>
      <c r="W755" s="37" t="s">
        <v>18</v>
      </c>
      <c r="X755" s="37" t="s">
        <v>166</v>
      </c>
      <c r="Y755" s="37" t="s">
        <v>166</v>
      </c>
      <c r="Z755" s="37" t="s">
        <v>24</v>
      </c>
      <c r="AA755" s="37">
        <v>29</v>
      </c>
      <c r="AB755" s="37">
        <v>2</v>
      </c>
      <c r="AC755" s="37" t="s">
        <v>296</v>
      </c>
      <c r="AD755" s="37" t="s">
        <v>1462</v>
      </c>
      <c r="AE755" s="37"/>
      <c r="AF755" s="37" t="s">
        <v>1464</v>
      </c>
    </row>
    <row r="756" spans="1:32" customFormat="1" x14ac:dyDescent="0.2">
      <c r="A756" s="37"/>
      <c r="B756" s="37"/>
      <c r="C756" s="37"/>
      <c r="D756" s="37"/>
      <c r="E756" s="37"/>
      <c r="F756" s="37"/>
      <c r="G756" s="37" t="s">
        <v>166</v>
      </c>
      <c r="H756" s="37" t="s">
        <v>166</v>
      </c>
      <c r="I756" s="37" t="s">
        <v>166</v>
      </c>
      <c r="J756" s="37" t="s">
        <v>18</v>
      </c>
      <c r="K756" s="37">
        <v>6</v>
      </c>
      <c r="L756" s="37">
        <v>7</v>
      </c>
      <c r="M756" s="37">
        <v>1</v>
      </c>
      <c r="N756" s="37">
        <v>14</v>
      </c>
      <c r="O756" s="37">
        <v>15</v>
      </c>
      <c r="P756" s="37">
        <v>5</v>
      </c>
      <c r="Q756" s="37">
        <v>34</v>
      </c>
      <c r="R756" s="37">
        <v>270</v>
      </c>
      <c r="S756" s="37"/>
      <c r="T756" s="37" t="s">
        <v>166</v>
      </c>
      <c r="U756" s="37" t="s">
        <v>166</v>
      </c>
      <c r="V756" s="37" t="s">
        <v>166</v>
      </c>
      <c r="W756" s="37" t="s">
        <v>18</v>
      </c>
      <c r="X756" s="37" t="s">
        <v>166</v>
      </c>
      <c r="Y756" s="37" t="s">
        <v>166</v>
      </c>
      <c r="Z756" s="37" t="s">
        <v>24</v>
      </c>
      <c r="AA756" s="37">
        <v>29</v>
      </c>
      <c r="AB756" s="37">
        <v>2</v>
      </c>
      <c r="AC756" s="37" t="s">
        <v>296</v>
      </c>
      <c r="AD756" s="37" t="s">
        <v>1462</v>
      </c>
      <c r="AE756" s="37"/>
      <c r="AF756" s="37" t="s">
        <v>1465</v>
      </c>
    </row>
    <row r="757" spans="1:32" customFormat="1" x14ac:dyDescent="0.2">
      <c r="A757" s="37"/>
      <c r="B757" s="37"/>
      <c r="C757" s="37" t="s">
        <v>24</v>
      </c>
      <c r="D757" s="37">
        <v>29</v>
      </c>
      <c r="E757" s="37">
        <v>12</v>
      </c>
      <c r="F757" s="37">
        <v>2</v>
      </c>
      <c r="G757" s="37">
        <v>2.5</v>
      </c>
      <c r="H757" s="37" t="s">
        <v>181</v>
      </c>
      <c r="I757" s="37" t="s">
        <v>23</v>
      </c>
      <c r="J757" s="37" t="s">
        <v>17</v>
      </c>
      <c r="K757" s="37">
        <v>10</v>
      </c>
      <c r="L757" s="37">
        <v>31</v>
      </c>
      <c r="M757" s="37">
        <v>6</v>
      </c>
      <c r="N757" s="37">
        <v>47</v>
      </c>
      <c r="O757" s="37">
        <v>46</v>
      </c>
      <c r="P757" s="37">
        <v>12</v>
      </c>
      <c r="Q757" s="37">
        <v>105</v>
      </c>
      <c r="R757" s="37">
        <v>4174</v>
      </c>
      <c r="S757" s="37"/>
      <c r="T757" s="37" t="s">
        <v>181</v>
      </c>
      <c r="U757" s="37" t="s">
        <v>210</v>
      </c>
      <c r="V757" s="37">
        <v>55</v>
      </c>
      <c r="W757" s="37" t="s">
        <v>18</v>
      </c>
      <c r="X757" s="37" t="s">
        <v>190</v>
      </c>
      <c r="Y757" s="37">
        <v>675</v>
      </c>
      <c r="Z757" s="37" t="s">
        <v>24</v>
      </c>
      <c r="AA757" s="37">
        <v>29</v>
      </c>
      <c r="AB757" s="37">
        <v>12</v>
      </c>
      <c r="AC757" s="37">
        <v>2</v>
      </c>
      <c r="AD757" s="37" t="s">
        <v>1466</v>
      </c>
      <c r="AE757" s="37"/>
      <c r="AF757" s="37" t="s">
        <v>1467</v>
      </c>
    </row>
    <row r="758" spans="1:32" customFormat="1" x14ac:dyDescent="0.2">
      <c r="A758" s="37"/>
      <c r="B758" s="37"/>
      <c r="C758" s="37"/>
      <c r="D758" s="37"/>
      <c r="E758" s="37"/>
      <c r="F758" s="37"/>
      <c r="G758" s="37" t="s">
        <v>166</v>
      </c>
      <c r="H758" s="37" t="s">
        <v>166</v>
      </c>
      <c r="I758" s="37" t="s">
        <v>166</v>
      </c>
      <c r="J758" s="37" t="s">
        <v>19</v>
      </c>
      <c r="K758" s="37">
        <v>0</v>
      </c>
      <c r="L758" s="37">
        <v>14</v>
      </c>
      <c r="M758" s="37">
        <v>7</v>
      </c>
      <c r="N758" s="37">
        <v>21</v>
      </c>
      <c r="O758" s="37">
        <v>25</v>
      </c>
      <c r="P758" s="37">
        <v>6</v>
      </c>
      <c r="Q758" s="37">
        <v>52</v>
      </c>
      <c r="R758" s="37">
        <v>926</v>
      </c>
      <c r="S758" s="37"/>
      <c r="T758" s="37" t="s">
        <v>166</v>
      </c>
      <c r="U758" s="37" t="s">
        <v>166</v>
      </c>
      <c r="V758" s="37" t="s">
        <v>166</v>
      </c>
      <c r="W758" s="37" t="s">
        <v>18</v>
      </c>
      <c r="X758" s="37" t="s">
        <v>166</v>
      </c>
      <c r="Y758" s="37" t="s">
        <v>166</v>
      </c>
      <c r="Z758" s="37" t="s">
        <v>24</v>
      </c>
      <c r="AA758" s="37">
        <v>29</v>
      </c>
      <c r="AB758" s="37">
        <v>12</v>
      </c>
      <c r="AC758" s="37">
        <v>2</v>
      </c>
      <c r="AD758" s="37" t="s">
        <v>1466</v>
      </c>
      <c r="AE758" s="37"/>
      <c r="AF758" s="37" t="s">
        <v>1468</v>
      </c>
    </row>
    <row r="759" spans="1:32" customFormat="1" x14ac:dyDescent="0.2">
      <c r="A759" s="37"/>
      <c r="B759" s="37"/>
      <c r="C759" s="37"/>
      <c r="D759" s="37"/>
      <c r="E759" s="37"/>
      <c r="F759" s="37"/>
      <c r="G759" s="37" t="s">
        <v>166</v>
      </c>
      <c r="H759" s="37" t="s">
        <v>166</v>
      </c>
      <c r="I759" s="37" t="s">
        <v>166</v>
      </c>
      <c r="J759" s="37" t="s">
        <v>18</v>
      </c>
      <c r="K759" s="37">
        <v>93</v>
      </c>
      <c r="L759" s="37">
        <v>51</v>
      </c>
      <c r="M759" s="37">
        <v>3</v>
      </c>
      <c r="N759" s="37">
        <v>147</v>
      </c>
      <c r="O759" s="37">
        <v>178</v>
      </c>
      <c r="P759" s="37">
        <v>62</v>
      </c>
      <c r="Q759" s="37">
        <v>387</v>
      </c>
      <c r="R759" s="37">
        <v>2947</v>
      </c>
      <c r="S759" s="37"/>
      <c r="T759" s="37" t="s">
        <v>166</v>
      </c>
      <c r="U759" s="37" t="s">
        <v>166</v>
      </c>
      <c r="V759" s="37" t="s">
        <v>166</v>
      </c>
      <c r="W759" s="37" t="s">
        <v>18</v>
      </c>
      <c r="X759" s="37" t="s">
        <v>166</v>
      </c>
      <c r="Y759" s="37" t="s">
        <v>166</v>
      </c>
      <c r="Z759" s="37" t="s">
        <v>24</v>
      </c>
      <c r="AA759" s="37">
        <v>29</v>
      </c>
      <c r="AB759" s="37">
        <v>12</v>
      </c>
      <c r="AC759" s="37">
        <v>2</v>
      </c>
      <c r="AD759" s="37" t="s">
        <v>1466</v>
      </c>
      <c r="AE759" s="37"/>
      <c r="AF759" s="37" t="s">
        <v>1469</v>
      </c>
    </row>
    <row r="760" spans="1:32" customFormat="1" x14ac:dyDescent="0.2">
      <c r="A760" s="37"/>
      <c r="B760" s="37"/>
      <c r="C760" s="37" t="s">
        <v>24</v>
      </c>
      <c r="D760" s="37">
        <v>50</v>
      </c>
      <c r="E760" s="37">
        <v>12</v>
      </c>
      <c r="F760" s="37" t="s">
        <v>296</v>
      </c>
      <c r="G760" s="37">
        <v>1.7</v>
      </c>
      <c r="H760" s="37" t="s">
        <v>181</v>
      </c>
      <c r="I760" s="37" t="s">
        <v>23</v>
      </c>
      <c r="J760" s="37" t="s">
        <v>17</v>
      </c>
      <c r="K760" s="37">
        <v>8</v>
      </c>
      <c r="L760" s="37">
        <v>29</v>
      </c>
      <c r="M760" s="37">
        <v>6</v>
      </c>
      <c r="N760" s="37">
        <v>43</v>
      </c>
      <c r="O760" s="37">
        <v>42</v>
      </c>
      <c r="P760" s="37">
        <v>12</v>
      </c>
      <c r="Q760" s="37">
        <v>97</v>
      </c>
      <c r="R760" s="37">
        <v>3765</v>
      </c>
      <c r="S760" s="37"/>
      <c r="T760" s="37" t="s">
        <v>181</v>
      </c>
      <c r="U760" s="37" t="s">
        <v>193</v>
      </c>
      <c r="V760" s="37">
        <v>70</v>
      </c>
      <c r="W760" s="37" t="s">
        <v>17</v>
      </c>
      <c r="X760" s="37" t="s">
        <v>190</v>
      </c>
      <c r="Y760" s="37">
        <v>255</v>
      </c>
      <c r="Z760" s="37" t="s">
        <v>24</v>
      </c>
      <c r="AA760" s="37">
        <v>50</v>
      </c>
      <c r="AB760" s="37">
        <v>12</v>
      </c>
      <c r="AC760" s="37" t="s">
        <v>296</v>
      </c>
      <c r="AD760" s="37" t="s">
        <v>1470</v>
      </c>
      <c r="AE760" s="37"/>
      <c r="AF760" s="37" t="s">
        <v>1471</v>
      </c>
    </row>
    <row r="761" spans="1:32" customFormat="1" x14ac:dyDescent="0.2">
      <c r="A761" s="37"/>
      <c r="B761" s="37"/>
      <c r="C761" s="37"/>
      <c r="D761" s="37"/>
      <c r="E761" s="37"/>
      <c r="F761" s="37"/>
      <c r="G761" s="37" t="s">
        <v>166</v>
      </c>
      <c r="H761" s="37" t="s">
        <v>166</v>
      </c>
      <c r="I761" s="37" t="s">
        <v>166</v>
      </c>
      <c r="J761" s="37" t="s">
        <v>19</v>
      </c>
      <c r="K761" s="37">
        <v>0</v>
      </c>
      <c r="L761" s="37">
        <v>10</v>
      </c>
      <c r="M761" s="37">
        <v>5</v>
      </c>
      <c r="N761" s="37">
        <v>15</v>
      </c>
      <c r="O761" s="37">
        <v>20</v>
      </c>
      <c r="P761" s="37">
        <v>4</v>
      </c>
      <c r="Q761" s="37">
        <v>39</v>
      </c>
      <c r="R761" s="37">
        <v>656</v>
      </c>
      <c r="S761" s="37"/>
      <c r="T761" s="37" t="s">
        <v>166</v>
      </c>
      <c r="U761" s="37" t="s">
        <v>166</v>
      </c>
      <c r="V761" s="37" t="s">
        <v>166</v>
      </c>
      <c r="W761" s="37" t="s">
        <v>17</v>
      </c>
      <c r="X761" s="37" t="s">
        <v>166</v>
      </c>
      <c r="Y761" s="37" t="s">
        <v>166</v>
      </c>
      <c r="Z761" s="37" t="s">
        <v>24</v>
      </c>
      <c r="AA761" s="37">
        <v>50</v>
      </c>
      <c r="AB761" s="37">
        <v>12</v>
      </c>
      <c r="AC761" s="37" t="s">
        <v>296</v>
      </c>
      <c r="AD761" s="37" t="s">
        <v>1470</v>
      </c>
      <c r="AE761" s="37"/>
      <c r="AF761" s="37" t="s">
        <v>1472</v>
      </c>
    </row>
    <row r="762" spans="1:32" customFormat="1" x14ac:dyDescent="0.2">
      <c r="A762" s="37"/>
      <c r="B762" s="37"/>
      <c r="C762" s="37"/>
      <c r="D762" s="37"/>
      <c r="E762" s="37"/>
      <c r="F762" s="37"/>
      <c r="G762" s="37" t="s">
        <v>166</v>
      </c>
      <c r="H762" s="37" t="s">
        <v>166</v>
      </c>
      <c r="I762" s="37" t="s">
        <v>166</v>
      </c>
      <c r="J762" s="37" t="s">
        <v>18</v>
      </c>
      <c r="K762" s="37">
        <v>21</v>
      </c>
      <c r="L762" s="37">
        <v>5</v>
      </c>
      <c r="M762" s="37">
        <v>0</v>
      </c>
      <c r="N762" s="37">
        <v>26</v>
      </c>
      <c r="O762" s="37">
        <v>22</v>
      </c>
      <c r="P762" s="37">
        <v>12</v>
      </c>
      <c r="Q762" s="37">
        <v>60</v>
      </c>
      <c r="R762" s="37">
        <v>541</v>
      </c>
      <c r="S762" s="37"/>
      <c r="T762" s="37" t="s">
        <v>166</v>
      </c>
      <c r="U762" s="37" t="s">
        <v>166</v>
      </c>
      <c r="V762" s="37" t="s">
        <v>166</v>
      </c>
      <c r="W762" s="37" t="s">
        <v>17</v>
      </c>
      <c r="X762" s="37" t="s">
        <v>166</v>
      </c>
      <c r="Y762" s="37" t="s">
        <v>166</v>
      </c>
      <c r="Z762" s="37" t="s">
        <v>24</v>
      </c>
      <c r="AA762" s="37">
        <v>50</v>
      </c>
      <c r="AB762" s="37">
        <v>12</v>
      </c>
      <c r="AC762" s="37" t="s">
        <v>296</v>
      </c>
      <c r="AD762" s="37" t="s">
        <v>1470</v>
      </c>
      <c r="AE762" s="37"/>
      <c r="AF762" s="37" t="s">
        <v>1473</v>
      </c>
    </row>
    <row r="763" spans="1:32" customFormat="1" x14ac:dyDescent="0.2">
      <c r="A763" s="37"/>
      <c r="B763" s="37"/>
      <c r="C763" s="37" t="s">
        <v>24</v>
      </c>
      <c r="D763" s="37">
        <v>50</v>
      </c>
      <c r="E763" s="37">
        <v>14</v>
      </c>
      <c r="F763" s="37">
        <v>2</v>
      </c>
      <c r="G763" s="37">
        <v>2.2000000000000002</v>
      </c>
      <c r="H763" s="37" t="s">
        <v>181</v>
      </c>
      <c r="I763" s="37" t="s">
        <v>23</v>
      </c>
      <c r="J763" s="37" t="s">
        <v>17</v>
      </c>
      <c r="K763" s="37">
        <v>12</v>
      </c>
      <c r="L763" s="37">
        <v>30</v>
      </c>
      <c r="M763" s="37">
        <v>6</v>
      </c>
      <c r="N763" s="37">
        <v>48</v>
      </c>
      <c r="O763" s="37">
        <v>43</v>
      </c>
      <c r="P763" s="37">
        <v>12</v>
      </c>
      <c r="Q763" s="37">
        <v>103</v>
      </c>
      <c r="R763" s="37">
        <v>4255</v>
      </c>
      <c r="S763" s="37"/>
      <c r="T763" s="37" t="s">
        <v>181</v>
      </c>
      <c r="U763" s="37" t="s">
        <v>352</v>
      </c>
      <c r="V763" s="37">
        <v>70</v>
      </c>
      <c r="W763" s="37" t="s">
        <v>17</v>
      </c>
      <c r="X763" s="37" t="s">
        <v>190</v>
      </c>
      <c r="Y763" s="37">
        <v>330</v>
      </c>
      <c r="Z763" s="37" t="s">
        <v>24</v>
      </c>
      <c r="AA763" s="37">
        <v>50</v>
      </c>
      <c r="AB763" s="37">
        <v>14</v>
      </c>
      <c r="AC763" s="37">
        <v>2</v>
      </c>
      <c r="AD763" s="37" t="s">
        <v>1474</v>
      </c>
      <c r="AE763" s="37"/>
      <c r="AF763" s="37" t="s">
        <v>1475</v>
      </c>
    </row>
    <row r="764" spans="1:32" customFormat="1" x14ac:dyDescent="0.2">
      <c r="A764" s="37"/>
      <c r="B764" s="37"/>
      <c r="C764" s="37"/>
      <c r="D764" s="37"/>
      <c r="E764" s="37"/>
      <c r="F764" s="37"/>
      <c r="G764" s="37" t="s">
        <v>166</v>
      </c>
      <c r="H764" s="37" t="s">
        <v>166</v>
      </c>
      <c r="I764" s="37" t="s">
        <v>166</v>
      </c>
      <c r="J764" s="37" t="s">
        <v>178</v>
      </c>
      <c r="K764" s="37">
        <v>1</v>
      </c>
      <c r="L764" s="37">
        <v>9</v>
      </c>
      <c r="M764" s="37">
        <v>2</v>
      </c>
      <c r="N764" s="37">
        <v>12</v>
      </c>
      <c r="O764" s="37">
        <v>10</v>
      </c>
      <c r="P764" s="37">
        <v>4</v>
      </c>
      <c r="Q764" s="37">
        <v>26</v>
      </c>
      <c r="R764" s="37">
        <v>6831</v>
      </c>
      <c r="S764" s="37"/>
      <c r="T764" s="37" t="s">
        <v>166</v>
      </c>
      <c r="U764" s="37" t="s">
        <v>166</v>
      </c>
      <c r="V764" s="37" t="s">
        <v>166</v>
      </c>
      <c r="W764" s="37" t="s">
        <v>17</v>
      </c>
      <c r="X764" s="37" t="s">
        <v>166</v>
      </c>
      <c r="Y764" s="37" t="s">
        <v>166</v>
      </c>
      <c r="Z764" s="37" t="s">
        <v>24</v>
      </c>
      <c r="AA764" s="37">
        <v>50</v>
      </c>
      <c r="AB764" s="37">
        <v>14</v>
      </c>
      <c r="AC764" s="37">
        <v>2</v>
      </c>
      <c r="AD764" s="37" t="s">
        <v>1474</v>
      </c>
      <c r="AE764" s="37"/>
      <c r="AF764" s="37" t="s">
        <v>1476</v>
      </c>
    </row>
    <row r="765" spans="1:32" customFormat="1" x14ac:dyDescent="0.2">
      <c r="A765" s="37"/>
      <c r="B765" s="37"/>
      <c r="C765" s="37"/>
      <c r="D765" s="37"/>
      <c r="E765" s="37"/>
      <c r="F765" s="37"/>
      <c r="G765" s="37" t="s">
        <v>166</v>
      </c>
      <c r="H765" s="37" t="s">
        <v>166</v>
      </c>
      <c r="I765" s="37" t="s">
        <v>166</v>
      </c>
      <c r="J765" s="37" t="s">
        <v>19</v>
      </c>
      <c r="K765" s="37">
        <v>5</v>
      </c>
      <c r="L765" s="37">
        <v>17</v>
      </c>
      <c r="M765" s="37">
        <v>5</v>
      </c>
      <c r="N765" s="37">
        <v>27</v>
      </c>
      <c r="O765" s="37">
        <v>41</v>
      </c>
      <c r="P765" s="37">
        <v>10</v>
      </c>
      <c r="Q765" s="37">
        <v>78</v>
      </c>
      <c r="R765" s="37">
        <v>1337</v>
      </c>
      <c r="S765" s="37"/>
      <c r="T765" s="37" t="s">
        <v>166</v>
      </c>
      <c r="U765" s="37" t="s">
        <v>166</v>
      </c>
      <c r="V765" s="37" t="s">
        <v>166</v>
      </c>
      <c r="W765" s="37" t="s">
        <v>17</v>
      </c>
      <c r="X765" s="37" t="s">
        <v>166</v>
      </c>
      <c r="Y765" s="37" t="s">
        <v>166</v>
      </c>
      <c r="Z765" s="37" t="s">
        <v>24</v>
      </c>
      <c r="AA765" s="37">
        <v>50</v>
      </c>
      <c r="AB765" s="37">
        <v>14</v>
      </c>
      <c r="AC765" s="37">
        <v>2</v>
      </c>
      <c r="AD765" s="37" t="s">
        <v>1474</v>
      </c>
      <c r="AE765" s="37"/>
      <c r="AF765" s="37" t="s">
        <v>1477</v>
      </c>
    </row>
    <row r="766" spans="1:32" customFormat="1" x14ac:dyDescent="0.2">
      <c r="A766" s="37"/>
      <c r="B766" s="37"/>
      <c r="C766" s="37"/>
      <c r="D766" s="37"/>
      <c r="E766" s="37"/>
      <c r="F766" s="37"/>
      <c r="G766" s="37" t="s">
        <v>166</v>
      </c>
      <c r="H766" s="37" t="s">
        <v>166</v>
      </c>
      <c r="I766" s="37" t="s">
        <v>166</v>
      </c>
      <c r="J766" s="37" t="s">
        <v>18</v>
      </c>
      <c r="K766" s="37">
        <v>21</v>
      </c>
      <c r="L766" s="37">
        <v>5</v>
      </c>
      <c r="M766" s="37">
        <v>0</v>
      </c>
      <c r="N766" s="37">
        <v>26</v>
      </c>
      <c r="O766" s="37">
        <v>22</v>
      </c>
      <c r="P766" s="37">
        <v>12</v>
      </c>
      <c r="Q766" s="37">
        <v>60</v>
      </c>
      <c r="R766" s="37">
        <v>541</v>
      </c>
      <c r="S766" s="37"/>
      <c r="T766" s="37" t="s">
        <v>166</v>
      </c>
      <c r="U766" s="37" t="s">
        <v>166</v>
      </c>
      <c r="V766" s="37" t="s">
        <v>166</v>
      </c>
      <c r="W766" s="37" t="s">
        <v>17</v>
      </c>
      <c r="X766" s="37" t="s">
        <v>166</v>
      </c>
      <c r="Y766" s="37" t="s">
        <v>166</v>
      </c>
      <c r="Z766" s="37" t="s">
        <v>24</v>
      </c>
      <c r="AA766" s="37">
        <v>50</v>
      </c>
      <c r="AB766" s="37">
        <v>14</v>
      </c>
      <c r="AC766" s="37">
        <v>2</v>
      </c>
      <c r="AD766" s="37" t="s">
        <v>1474</v>
      </c>
      <c r="AE766" s="37"/>
      <c r="AF766" s="37" t="s">
        <v>1478</v>
      </c>
    </row>
    <row r="767" spans="1:32" customFormat="1" x14ac:dyDescent="0.2">
      <c r="A767" s="37"/>
      <c r="B767" s="37"/>
      <c r="C767" s="37" t="s">
        <v>24</v>
      </c>
      <c r="D767" s="37">
        <v>52</v>
      </c>
      <c r="E767" s="37">
        <v>4</v>
      </c>
      <c r="F767" s="37" t="s">
        <v>296</v>
      </c>
      <c r="G767" s="37">
        <v>1.8</v>
      </c>
      <c r="H767" s="37" t="s">
        <v>181</v>
      </c>
      <c r="I767" s="37" t="s">
        <v>23</v>
      </c>
      <c r="J767" s="37" t="s">
        <v>17</v>
      </c>
      <c r="K767" s="37">
        <v>5</v>
      </c>
      <c r="L767" s="37">
        <v>6</v>
      </c>
      <c r="M767" s="37">
        <v>2</v>
      </c>
      <c r="N767" s="37">
        <v>13</v>
      </c>
      <c r="O767" s="37">
        <v>11</v>
      </c>
      <c r="P767" s="37">
        <v>3</v>
      </c>
      <c r="Q767" s="37">
        <v>27</v>
      </c>
      <c r="R767" s="37">
        <v>1240</v>
      </c>
      <c r="S767" s="37"/>
      <c r="T767" s="37" t="s">
        <v>181</v>
      </c>
      <c r="U767" s="37" t="s">
        <v>195</v>
      </c>
      <c r="V767" s="37">
        <v>55</v>
      </c>
      <c r="W767" s="37" t="s">
        <v>18</v>
      </c>
      <c r="X767" s="37" t="s">
        <v>190</v>
      </c>
      <c r="Y767" s="37">
        <v>360</v>
      </c>
      <c r="Z767" s="37" t="s">
        <v>24</v>
      </c>
      <c r="AA767" s="37">
        <v>52</v>
      </c>
      <c r="AB767" s="37">
        <v>4</v>
      </c>
      <c r="AC767" s="37" t="s">
        <v>296</v>
      </c>
      <c r="AD767" s="37" t="s">
        <v>1479</v>
      </c>
      <c r="AE767" s="37"/>
      <c r="AF767" s="37" t="s">
        <v>1480</v>
      </c>
    </row>
    <row r="768" spans="1:32" customFormat="1" x14ac:dyDescent="0.2">
      <c r="A768" s="37"/>
      <c r="B768" s="37"/>
      <c r="C768" s="37"/>
      <c r="D768" s="37"/>
      <c r="E768" s="37"/>
      <c r="F768" s="37"/>
      <c r="G768" s="37" t="s">
        <v>166</v>
      </c>
      <c r="H768" s="37" t="s">
        <v>166</v>
      </c>
      <c r="I768" s="37" t="s">
        <v>166</v>
      </c>
      <c r="J768" s="37" t="s">
        <v>19</v>
      </c>
      <c r="K768" s="37">
        <v>2</v>
      </c>
      <c r="L768" s="37">
        <v>4</v>
      </c>
      <c r="M768" s="37">
        <v>1</v>
      </c>
      <c r="N768" s="37">
        <v>7</v>
      </c>
      <c r="O768" s="37">
        <v>17</v>
      </c>
      <c r="P768" s="37">
        <v>4</v>
      </c>
      <c r="Q768" s="37">
        <v>28</v>
      </c>
      <c r="R768" s="37">
        <v>370</v>
      </c>
      <c r="S768" s="37"/>
      <c r="T768" s="37" t="s">
        <v>166</v>
      </c>
      <c r="U768" s="37" t="s">
        <v>166</v>
      </c>
      <c r="V768" s="37" t="s">
        <v>166</v>
      </c>
      <c r="W768" s="37" t="s">
        <v>18</v>
      </c>
      <c r="X768" s="37" t="s">
        <v>166</v>
      </c>
      <c r="Y768" s="37" t="s">
        <v>166</v>
      </c>
      <c r="Z768" s="37" t="s">
        <v>24</v>
      </c>
      <c r="AA768" s="37">
        <v>52</v>
      </c>
      <c r="AB768" s="37">
        <v>4</v>
      </c>
      <c r="AC768" s="37" t="s">
        <v>296</v>
      </c>
      <c r="AD768" s="37" t="s">
        <v>1479</v>
      </c>
      <c r="AE768" s="37"/>
      <c r="AF768" s="37" t="s">
        <v>1481</v>
      </c>
    </row>
    <row r="769" spans="1:32" customFormat="1" x14ac:dyDescent="0.2">
      <c r="A769" s="37"/>
      <c r="B769" s="37"/>
      <c r="C769" s="37"/>
      <c r="D769" s="37"/>
      <c r="E769" s="37"/>
      <c r="F769" s="37"/>
      <c r="G769" s="37" t="s">
        <v>166</v>
      </c>
      <c r="H769" s="37" t="s">
        <v>166</v>
      </c>
      <c r="I769" s="37" t="s">
        <v>166</v>
      </c>
      <c r="J769" s="37" t="s">
        <v>18</v>
      </c>
      <c r="K769" s="37">
        <v>43</v>
      </c>
      <c r="L769" s="37">
        <v>45</v>
      </c>
      <c r="M769" s="37">
        <v>4</v>
      </c>
      <c r="N769" s="37">
        <v>92</v>
      </c>
      <c r="O769" s="37">
        <v>106</v>
      </c>
      <c r="P769" s="37">
        <v>38</v>
      </c>
      <c r="Q769" s="37">
        <v>236</v>
      </c>
      <c r="R769" s="37">
        <v>1757</v>
      </c>
      <c r="S769" s="37"/>
      <c r="T769" s="37" t="s">
        <v>166</v>
      </c>
      <c r="U769" s="37" t="s">
        <v>166</v>
      </c>
      <c r="V769" s="37" t="s">
        <v>166</v>
      </c>
      <c r="W769" s="37" t="s">
        <v>18</v>
      </c>
      <c r="X769" s="37" t="s">
        <v>166</v>
      </c>
      <c r="Y769" s="37" t="s">
        <v>166</v>
      </c>
      <c r="Z769" s="37" t="s">
        <v>24</v>
      </c>
      <c r="AA769" s="37">
        <v>52</v>
      </c>
      <c r="AB769" s="37">
        <v>4</v>
      </c>
      <c r="AC769" s="37" t="s">
        <v>296</v>
      </c>
      <c r="AD769" s="37" t="s">
        <v>1479</v>
      </c>
      <c r="AE769" s="37"/>
      <c r="AF769" s="37" t="s">
        <v>1482</v>
      </c>
    </row>
    <row r="770" spans="1:32" customFormat="1" x14ac:dyDescent="0.2">
      <c r="A770" s="37"/>
      <c r="B770" s="37"/>
      <c r="C770" s="37" t="s">
        <v>24</v>
      </c>
      <c r="D770" s="37">
        <v>52</v>
      </c>
      <c r="E770" s="37">
        <v>22</v>
      </c>
      <c r="F770" s="37">
        <v>2</v>
      </c>
      <c r="G770" s="37">
        <v>7</v>
      </c>
      <c r="H770" s="37" t="s">
        <v>181</v>
      </c>
      <c r="I770" s="37" t="s">
        <v>23</v>
      </c>
      <c r="J770" s="37" t="s">
        <v>17</v>
      </c>
      <c r="K770" s="37">
        <v>25</v>
      </c>
      <c r="L770" s="37">
        <v>28</v>
      </c>
      <c r="M770" s="37">
        <v>6</v>
      </c>
      <c r="N770" s="37">
        <v>59</v>
      </c>
      <c r="O770" s="37">
        <v>58</v>
      </c>
      <c r="P770" s="37">
        <v>15</v>
      </c>
      <c r="Q770" s="37">
        <v>132</v>
      </c>
      <c r="R770" s="37">
        <v>5708</v>
      </c>
      <c r="S770" s="37"/>
      <c r="T770" s="37" t="s">
        <v>181</v>
      </c>
      <c r="U770" s="37" t="s">
        <v>195</v>
      </c>
      <c r="V770" s="37">
        <v>55</v>
      </c>
      <c r="W770" s="37" t="s">
        <v>18</v>
      </c>
      <c r="X770" s="37" t="s">
        <v>190</v>
      </c>
      <c r="Y770" s="37">
        <v>1470</v>
      </c>
      <c r="Z770" s="37" t="s">
        <v>24</v>
      </c>
      <c r="AA770" s="37">
        <v>52</v>
      </c>
      <c r="AB770" s="37">
        <v>22</v>
      </c>
      <c r="AC770" s="37">
        <v>2</v>
      </c>
      <c r="AD770" s="37" t="s">
        <v>1483</v>
      </c>
      <c r="AE770" s="37"/>
      <c r="AF770" s="37" t="s">
        <v>1484</v>
      </c>
    </row>
    <row r="771" spans="1:32" customFormat="1" x14ac:dyDescent="0.2">
      <c r="A771" s="37"/>
      <c r="B771" s="37"/>
      <c r="C771" s="37"/>
      <c r="D771" s="37"/>
      <c r="E771" s="37"/>
      <c r="F771" s="37"/>
      <c r="G771" s="37" t="s">
        <v>166</v>
      </c>
      <c r="H771" s="37" t="s">
        <v>166</v>
      </c>
      <c r="I771" s="37" t="s">
        <v>166</v>
      </c>
      <c r="J771" s="37" t="s">
        <v>19</v>
      </c>
      <c r="K771" s="37">
        <v>0</v>
      </c>
      <c r="L771" s="37">
        <v>24</v>
      </c>
      <c r="M771" s="37">
        <v>13</v>
      </c>
      <c r="N771" s="37">
        <v>37</v>
      </c>
      <c r="O771" s="37">
        <v>59</v>
      </c>
      <c r="P771" s="37">
        <v>11</v>
      </c>
      <c r="Q771" s="37">
        <v>107</v>
      </c>
      <c r="R771" s="37">
        <v>1554</v>
      </c>
      <c r="S771" s="37"/>
      <c r="T771" s="37" t="s">
        <v>166</v>
      </c>
      <c r="U771" s="37" t="s">
        <v>166</v>
      </c>
      <c r="V771" s="37" t="s">
        <v>166</v>
      </c>
      <c r="W771" s="37" t="s">
        <v>18</v>
      </c>
      <c r="X771" s="37" t="s">
        <v>166</v>
      </c>
      <c r="Y771" s="37" t="s">
        <v>166</v>
      </c>
      <c r="Z771" s="37" t="s">
        <v>24</v>
      </c>
      <c r="AA771" s="37">
        <v>52</v>
      </c>
      <c r="AB771" s="37">
        <v>22</v>
      </c>
      <c r="AC771" s="37">
        <v>2</v>
      </c>
      <c r="AD771" s="37" t="s">
        <v>1483</v>
      </c>
      <c r="AE771" s="37"/>
      <c r="AF771" s="37" t="s">
        <v>1485</v>
      </c>
    </row>
    <row r="772" spans="1:32" customFormat="1" x14ac:dyDescent="0.2">
      <c r="A772" s="37"/>
      <c r="B772" s="37"/>
      <c r="C772" s="37"/>
      <c r="D772" s="37"/>
      <c r="E772" s="37"/>
      <c r="F772" s="37"/>
      <c r="G772" s="37" t="s">
        <v>166</v>
      </c>
      <c r="H772" s="37" t="s">
        <v>166</v>
      </c>
      <c r="I772" s="37" t="s">
        <v>166</v>
      </c>
      <c r="J772" s="37" t="s">
        <v>18</v>
      </c>
      <c r="K772" s="37">
        <v>359</v>
      </c>
      <c r="L772" s="37">
        <v>67</v>
      </c>
      <c r="M772" s="37">
        <v>4</v>
      </c>
      <c r="N772" s="37">
        <v>430</v>
      </c>
      <c r="O772" s="37">
        <v>356</v>
      </c>
      <c r="P772" s="37">
        <v>135</v>
      </c>
      <c r="Q772" s="37">
        <v>921</v>
      </c>
      <c r="R772" s="37">
        <v>9015</v>
      </c>
      <c r="S772" s="37"/>
      <c r="T772" s="37" t="s">
        <v>166</v>
      </c>
      <c r="U772" s="37" t="s">
        <v>166</v>
      </c>
      <c r="V772" s="37" t="s">
        <v>166</v>
      </c>
      <c r="W772" s="37" t="s">
        <v>18</v>
      </c>
      <c r="X772" s="37" t="s">
        <v>166</v>
      </c>
      <c r="Y772" s="37" t="s">
        <v>166</v>
      </c>
      <c r="Z772" s="37" t="s">
        <v>24</v>
      </c>
      <c r="AA772" s="37">
        <v>52</v>
      </c>
      <c r="AB772" s="37">
        <v>22</v>
      </c>
      <c r="AC772" s="37">
        <v>2</v>
      </c>
      <c r="AD772" s="37" t="s">
        <v>1483</v>
      </c>
      <c r="AE772" s="37"/>
      <c r="AF772" s="37" t="s">
        <v>1486</v>
      </c>
    </row>
    <row r="773" spans="1:32" customFormat="1" x14ac:dyDescent="0.2">
      <c r="A773" s="37"/>
      <c r="B773" s="37"/>
      <c r="C773" s="37" t="s">
        <v>24</v>
      </c>
      <c r="D773" s="37">
        <v>52</v>
      </c>
      <c r="E773" s="37">
        <v>22</v>
      </c>
      <c r="F773" s="37">
        <v>3</v>
      </c>
      <c r="G773" s="37">
        <v>5.2</v>
      </c>
      <c r="H773" s="37" t="s">
        <v>181</v>
      </c>
      <c r="I773" s="37" t="s">
        <v>23</v>
      </c>
      <c r="J773" s="37" t="s">
        <v>17</v>
      </c>
      <c r="K773" s="37">
        <v>2</v>
      </c>
      <c r="L773" s="37">
        <v>16</v>
      </c>
      <c r="M773" s="37">
        <v>20</v>
      </c>
      <c r="N773" s="37">
        <v>38</v>
      </c>
      <c r="O773" s="37">
        <v>50</v>
      </c>
      <c r="P773" s="37">
        <v>12</v>
      </c>
      <c r="Q773" s="37">
        <v>100</v>
      </c>
      <c r="R773" s="37">
        <v>2609</v>
      </c>
      <c r="S773" s="37"/>
      <c r="T773" s="37" t="s">
        <v>181</v>
      </c>
      <c r="U773" s="37" t="s">
        <v>195</v>
      </c>
      <c r="V773" s="37">
        <v>55</v>
      </c>
      <c r="W773" s="37" t="s">
        <v>18</v>
      </c>
      <c r="X773" s="37" t="s">
        <v>190</v>
      </c>
      <c r="Y773" s="37">
        <v>1092</v>
      </c>
      <c r="Z773" s="37" t="s">
        <v>24</v>
      </c>
      <c r="AA773" s="37">
        <v>52</v>
      </c>
      <c r="AB773" s="37">
        <v>22</v>
      </c>
      <c r="AC773" s="37">
        <v>3</v>
      </c>
      <c r="AD773" s="37" t="s">
        <v>1487</v>
      </c>
      <c r="AE773" s="37"/>
      <c r="AF773" s="37" t="s">
        <v>1488</v>
      </c>
    </row>
    <row r="774" spans="1:32" customFormat="1" x14ac:dyDescent="0.2">
      <c r="A774" s="37"/>
      <c r="B774" s="37"/>
      <c r="C774" s="37"/>
      <c r="D774" s="37"/>
      <c r="E774" s="37"/>
      <c r="F774" s="37"/>
      <c r="G774" s="37" t="s">
        <v>166</v>
      </c>
      <c r="H774" s="37" t="s">
        <v>166</v>
      </c>
      <c r="I774" s="37" t="s">
        <v>166</v>
      </c>
      <c r="J774" s="37" t="s">
        <v>19</v>
      </c>
      <c r="K774" s="37">
        <v>0</v>
      </c>
      <c r="L774" s="37">
        <v>14</v>
      </c>
      <c r="M774" s="37">
        <v>10</v>
      </c>
      <c r="N774" s="37">
        <v>24</v>
      </c>
      <c r="O774" s="37">
        <v>47</v>
      </c>
      <c r="P774" s="37">
        <v>8</v>
      </c>
      <c r="Q774" s="37">
        <v>79</v>
      </c>
      <c r="R774" s="37">
        <v>1005</v>
      </c>
      <c r="S774" s="37"/>
      <c r="T774" s="37" t="s">
        <v>166</v>
      </c>
      <c r="U774" s="37" t="s">
        <v>166</v>
      </c>
      <c r="V774" s="37" t="s">
        <v>166</v>
      </c>
      <c r="W774" s="37" t="s">
        <v>18</v>
      </c>
      <c r="X774" s="37" t="s">
        <v>166</v>
      </c>
      <c r="Y774" s="37" t="s">
        <v>166</v>
      </c>
      <c r="Z774" s="37" t="s">
        <v>24</v>
      </c>
      <c r="AA774" s="37">
        <v>52</v>
      </c>
      <c r="AB774" s="37">
        <v>22</v>
      </c>
      <c r="AC774" s="37">
        <v>3</v>
      </c>
      <c r="AD774" s="37" t="s">
        <v>1487</v>
      </c>
      <c r="AE774" s="37"/>
      <c r="AF774" s="37" t="s">
        <v>1489</v>
      </c>
    </row>
    <row r="775" spans="1:32" customFormat="1" x14ac:dyDescent="0.2">
      <c r="A775" s="37"/>
      <c r="B775" s="37"/>
      <c r="C775" s="37"/>
      <c r="D775" s="37"/>
      <c r="E775" s="37"/>
      <c r="F775" s="37"/>
      <c r="G775" s="37" t="s">
        <v>166</v>
      </c>
      <c r="H775" s="37" t="s">
        <v>166</v>
      </c>
      <c r="I775" s="37" t="s">
        <v>166</v>
      </c>
      <c r="J775" s="37" t="s">
        <v>18</v>
      </c>
      <c r="K775" s="37">
        <v>177</v>
      </c>
      <c r="L775" s="37">
        <v>107</v>
      </c>
      <c r="M775" s="37">
        <v>15</v>
      </c>
      <c r="N775" s="37">
        <v>299</v>
      </c>
      <c r="O775" s="37">
        <v>310</v>
      </c>
      <c r="P775" s="37">
        <v>113</v>
      </c>
      <c r="Q775" s="37">
        <v>722</v>
      </c>
      <c r="R775" s="37">
        <v>5840</v>
      </c>
      <c r="S775" s="37"/>
      <c r="T775" s="37" t="s">
        <v>166</v>
      </c>
      <c r="U775" s="37" t="s">
        <v>166</v>
      </c>
      <c r="V775" s="37" t="s">
        <v>166</v>
      </c>
      <c r="W775" s="37" t="s">
        <v>18</v>
      </c>
      <c r="X775" s="37" t="s">
        <v>166</v>
      </c>
      <c r="Y775" s="37" t="s">
        <v>166</v>
      </c>
      <c r="Z775" s="37" t="s">
        <v>24</v>
      </c>
      <c r="AA775" s="37">
        <v>52</v>
      </c>
      <c r="AB775" s="37">
        <v>22</v>
      </c>
      <c r="AC775" s="37">
        <v>3</v>
      </c>
      <c r="AD775" s="37" t="s">
        <v>1487</v>
      </c>
      <c r="AE775" s="37"/>
      <c r="AF775" s="37" t="s">
        <v>1490</v>
      </c>
    </row>
    <row r="776" spans="1:32" customFormat="1" x14ac:dyDescent="0.2">
      <c r="A776" s="37"/>
      <c r="B776" s="37"/>
      <c r="C776" s="37" t="s">
        <v>24</v>
      </c>
      <c r="D776" s="37">
        <v>52</v>
      </c>
      <c r="E776" s="37">
        <v>35</v>
      </c>
      <c r="F776" s="37">
        <v>4</v>
      </c>
      <c r="G776" s="37">
        <v>3.6</v>
      </c>
      <c r="H776" s="37" t="s">
        <v>181</v>
      </c>
      <c r="I776" s="37" t="s">
        <v>23</v>
      </c>
      <c r="J776" s="37" t="s">
        <v>17</v>
      </c>
      <c r="K776" s="37">
        <v>14</v>
      </c>
      <c r="L776" s="37">
        <v>24</v>
      </c>
      <c r="M776" s="37">
        <v>6</v>
      </c>
      <c r="N776" s="37">
        <v>44</v>
      </c>
      <c r="O776" s="37">
        <v>34</v>
      </c>
      <c r="P776" s="37">
        <v>10</v>
      </c>
      <c r="Q776" s="37">
        <v>88</v>
      </c>
      <c r="R776" s="37">
        <v>3945</v>
      </c>
      <c r="S776" s="37"/>
      <c r="T776" s="37" t="s">
        <v>181</v>
      </c>
      <c r="U776" s="37" t="s">
        <v>225</v>
      </c>
      <c r="V776" s="37">
        <v>55</v>
      </c>
      <c r="W776" s="37" t="s">
        <v>18</v>
      </c>
      <c r="X776" s="37" t="s">
        <v>190</v>
      </c>
      <c r="Y776" s="37">
        <v>648</v>
      </c>
      <c r="Z776" s="37" t="s">
        <v>24</v>
      </c>
      <c r="AA776" s="37">
        <v>52</v>
      </c>
      <c r="AB776" s="37">
        <v>35</v>
      </c>
      <c r="AC776" s="37">
        <v>4</v>
      </c>
      <c r="AD776" s="37" t="s">
        <v>1491</v>
      </c>
      <c r="AE776" s="37"/>
      <c r="AF776" s="37" t="s">
        <v>1492</v>
      </c>
    </row>
    <row r="777" spans="1:32" customFormat="1" x14ac:dyDescent="0.2">
      <c r="A777" s="37"/>
      <c r="B777" s="37"/>
      <c r="C777" s="37"/>
      <c r="D777" s="37"/>
      <c r="E777" s="37"/>
      <c r="F777" s="37"/>
      <c r="G777" s="37" t="s">
        <v>166</v>
      </c>
      <c r="H777" s="37" t="s">
        <v>166</v>
      </c>
      <c r="I777" s="37" t="s">
        <v>166</v>
      </c>
      <c r="J777" s="37" t="s">
        <v>18</v>
      </c>
      <c r="K777" s="37">
        <v>132</v>
      </c>
      <c r="L777" s="37">
        <v>42</v>
      </c>
      <c r="M777" s="37">
        <v>4</v>
      </c>
      <c r="N777" s="37">
        <v>178</v>
      </c>
      <c r="O777" s="37">
        <v>220</v>
      </c>
      <c r="P777" s="37">
        <v>77</v>
      </c>
      <c r="Q777" s="37">
        <v>475</v>
      </c>
      <c r="R777" s="37">
        <v>3667</v>
      </c>
      <c r="S777" s="37"/>
      <c r="T777" s="37" t="s">
        <v>166</v>
      </c>
      <c r="U777" s="37" t="s">
        <v>166</v>
      </c>
      <c r="V777" s="37" t="s">
        <v>166</v>
      </c>
      <c r="W777" s="37" t="s">
        <v>18</v>
      </c>
      <c r="X777" s="37" t="s">
        <v>166</v>
      </c>
      <c r="Y777" s="37" t="s">
        <v>166</v>
      </c>
      <c r="Z777" s="37" t="s">
        <v>24</v>
      </c>
      <c r="AA777" s="37">
        <v>52</v>
      </c>
      <c r="AB777" s="37">
        <v>35</v>
      </c>
      <c r="AC777" s="37">
        <v>4</v>
      </c>
      <c r="AD777" s="37" t="s">
        <v>1491</v>
      </c>
      <c r="AE777" s="37"/>
      <c r="AF777" s="37" t="s">
        <v>1493</v>
      </c>
    </row>
    <row r="778" spans="1:32" x14ac:dyDescent="0.2">
      <c r="C778" s="37" t="s">
        <v>24</v>
      </c>
      <c r="D778" s="37">
        <v>53</v>
      </c>
      <c r="E778" s="37">
        <v>10</v>
      </c>
      <c r="F778" s="37" t="s">
        <v>296</v>
      </c>
      <c r="G778" s="37">
        <v>4.0999999999999996</v>
      </c>
      <c r="H778" s="37" t="s">
        <v>181</v>
      </c>
      <c r="I778" s="37" t="s">
        <v>23</v>
      </c>
      <c r="J778" s="37" t="s">
        <v>17</v>
      </c>
      <c r="K778" s="37">
        <v>2</v>
      </c>
      <c r="L778" s="37">
        <v>16</v>
      </c>
      <c r="M778" s="37">
        <v>20</v>
      </c>
      <c r="N778" s="37">
        <v>38</v>
      </c>
      <c r="O778" s="37">
        <v>50</v>
      </c>
      <c r="P778" s="37">
        <v>12</v>
      </c>
      <c r="Q778" s="37">
        <v>100</v>
      </c>
      <c r="R778" s="37">
        <v>2609</v>
      </c>
      <c r="T778" s="37" t="s">
        <v>181</v>
      </c>
      <c r="U778" s="37" t="s">
        <v>217</v>
      </c>
      <c r="V778" s="37">
        <v>55</v>
      </c>
      <c r="W778" s="37" t="s">
        <v>18</v>
      </c>
      <c r="X778" s="37" t="s">
        <v>190</v>
      </c>
      <c r="Y778" s="37">
        <v>737.99999999999989</v>
      </c>
      <c r="Z778" s="37" t="s">
        <v>24</v>
      </c>
      <c r="AA778" s="37">
        <v>53</v>
      </c>
      <c r="AB778" s="37">
        <v>10</v>
      </c>
      <c r="AC778" s="37" t="s">
        <v>296</v>
      </c>
      <c r="AD778" s="37" t="s">
        <v>1494</v>
      </c>
      <c r="AF778" s="37" t="s">
        <v>1495</v>
      </c>
    </row>
    <row r="779" spans="1:32" x14ac:dyDescent="0.2">
      <c r="G779" s="37" t="s">
        <v>166</v>
      </c>
      <c r="H779" s="37" t="s">
        <v>166</v>
      </c>
      <c r="I779" s="37" t="s">
        <v>166</v>
      </c>
      <c r="J779" s="37" t="s">
        <v>19</v>
      </c>
      <c r="K779" s="37">
        <v>0</v>
      </c>
      <c r="L779" s="37">
        <v>14</v>
      </c>
      <c r="M779" s="37">
        <v>10</v>
      </c>
      <c r="N779" s="37">
        <v>24</v>
      </c>
      <c r="O779" s="37">
        <v>47</v>
      </c>
      <c r="P779" s="37">
        <v>8</v>
      </c>
      <c r="Q779" s="37">
        <v>79</v>
      </c>
      <c r="R779" s="37">
        <v>1005</v>
      </c>
      <c r="T779" s="37" t="s">
        <v>166</v>
      </c>
      <c r="U779" s="37" t="s">
        <v>166</v>
      </c>
      <c r="V779" s="37" t="s">
        <v>166</v>
      </c>
      <c r="W779" s="37" t="s">
        <v>18</v>
      </c>
      <c r="X779" s="37" t="s">
        <v>166</v>
      </c>
      <c r="Y779" s="37" t="s">
        <v>166</v>
      </c>
      <c r="Z779" s="37" t="s">
        <v>24</v>
      </c>
      <c r="AA779" s="37">
        <v>53</v>
      </c>
      <c r="AB779" s="37">
        <v>10</v>
      </c>
      <c r="AC779" s="37" t="s">
        <v>296</v>
      </c>
      <c r="AD779" s="37" t="s">
        <v>1494</v>
      </c>
      <c r="AF779" s="37" t="s">
        <v>1496</v>
      </c>
    </row>
    <row r="780" spans="1:32" x14ac:dyDescent="0.2">
      <c r="G780" s="37" t="s">
        <v>166</v>
      </c>
      <c r="H780" s="37" t="s">
        <v>166</v>
      </c>
      <c r="I780" s="37" t="s">
        <v>166</v>
      </c>
      <c r="J780" s="37" t="s">
        <v>18</v>
      </c>
      <c r="K780" s="37">
        <v>97</v>
      </c>
      <c r="L780" s="37">
        <v>93</v>
      </c>
      <c r="M780" s="37">
        <v>15</v>
      </c>
      <c r="N780" s="37">
        <v>205</v>
      </c>
      <c r="O780" s="37">
        <v>218</v>
      </c>
      <c r="P780" s="37">
        <v>78</v>
      </c>
      <c r="Q780" s="37">
        <v>501</v>
      </c>
      <c r="R780" s="37">
        <v>3846</v>
      </c>
      <c r="T780" s="37" t="s">
        <v>166</v>
      </c>
      <c r="U780" s="37" t="s">
        <v>166</v>
      </c>
      <c r="V780" s="37" t="s">
        <v>166</v>
      </c>
      <c r="W780" s="37" t="s">
        <v>18</v>
      </c>
      <c r="X780" s="37" t="s">
        <v>166</v>
      </c>
      <c r="Y780" s="37" t="s">
        <v>166</v>
      </c>
      <c r="Z780" s="37" t="s">
        <v>24</v>
      </c>
      <c r="AA780" s="37">
        <v>53</v>
      </c>
      <c r="AB780" s="37">
        <v>10</v>
      </c>
      <c r="AC780" s="37" t="s">
        <v>296</v>
      </c>
      <c r="AD780" s="37" t="s">
        <v>1494</v>
      </c>
      <c r="AF780" s="37" t="s">
        <v>1497</v>
      </c>
    </row>
    <row r="781" spans="1:32" x14ac:dyDescent="0.2">
      <c r="C781" s="37" t="s">
        <v>24</v>
      </c>
      <c r="D781" s="37">
        <v>58</v>
      </c>
      <c r="E781" s="37">
        <v>2</v>
      </c>
      <c r="F781" s="37" t="s">
        <v>296</v>
      </c>
      <c r="G781" s="37">
        <v>3.3</v>
      </c>
      <c r="H781" s="37" t="s">
        <v>181</v>
      </c>
      <c r="I781" s="37" t="s">
        <v>23</v>
      </c>
      <c r="J781" s="37" t="s">
        <v>17</v>
      </c>
      <c r="K781" s="37">
        <v>19</v>
      </c>
      <c r="L781" s="37">
        <v>33</v>
      </c>
      <c r="M781" s="37">
        <v>20</v>
      </c>
      <c r="N781" s="37">
        <v>72</v>
      </c>
      <c r="O781" s="37">
        <v>92</v>
      </c>
      <c r="P781" s="37">
        <v>22</v>
      </c>
      <c r="Q781" s="37">
        <v>186</v>
      </c>
      <c r="R781" s="37">
        <v>6137</v>
      </c>
      <c r="T781" s="37" t="s">
        <v>181</v>
      </c>
      <c r="U781" s="37" t="s">
        <v>358</v>
      </c>
      <c r="V781" s="37">
        <v>80</v>
      </c>
      <c r="W781" s="37" t="s">
        <v>17</v>
      </c>
      <c r="X781" s="37" t="s">
        <v>190</v>
      </c>
      <c r="Y781" s="37">
        <v>495</v>
      </c>
      <c r="Z781" s="37" t="s">
        <v>24</v>
      </c>
      <c r="AA781" s="37">
        <v>58</v>
      </c>
      <c r="AB781" s="37">
        <v>2</v>
      </c>
      <c r="AC781" s="37" t="s">
        <v>296</v>
      </c>
      <c r="AD781" s="37" t="s">
        <v>1498</v>
      </c>
      <c r="AF781" s="37" t="s">
        <v>1499</v>
      </c>
    </row>
    <row r="782" spans="1:32" x14ac:dyDescent="0.2">
      <c r="G782" s="37" t="s">
        <v>166</v>
      </c>
      <c r="H782" s="37" t="s">
        <v>166</v>
      </c>
      <c r="I782" s="37" t="s">
        <v>166</v>
      </c>
      <c r="J782" s="37" t="s">
        <v>178</v>
      </c>
      <c r="K782" s="37">
        <v>0</v>
      </c>
      <c r="L782" s="37">
        <v>12</v>
      </c>
      <c r="M782" s="37">
        <v>6</v>
      </c>
      <c r="N782" s="37">
        <v>18</v>
      </c>
      <c r="O782" s="37">
        <v>16</v>
      </c>
      <c r="P782" s="37">
        <v>6</v>
      </c>
      <c r="Q782" s="37">
        <v>40</v>
      </c>
      <c r="R782" s="37">
        <v>9230</v>
      </c>
      <c r="T782" s="37" t="s">
        <v>166</v>
      </c>
      <c r="U782" s="37" t="s">
        <v>166</v>
      </c>
      <c r="V782" s="37" t="s">
        <v>166</v>
      </c>
      <c r="W782" s="37" t="s">
        <v>17</v>
      </c>
      <c r="X782" s="37" t="s">
        <v>166</v>
      </c>
      <c r="Y782" s="37" t="s">
        <v>166</v>
      </c>
      <c r="Z782" s="37" t="s">
        <v>24</v>
      </c>
      <c r="AA782" s="37">
        <v>58</v>
      </c>
      <c r="AB782" s="37">
        <v>2</v>
      </c>
      <c r="AC782" s="37" t="s">
        <v>296</v>
      </c>
      <c r="AD782" s="37" t="s">
        <v>1498</v>
      </c>
      <c r="AF782" s="37" t="s">
        <v>1500</v>
      </c>
    </row>
    <row r="783" spans="1:32" x14ac:dyDescent="0.2">
      <c r="G783" s="37" t="s">
        <v>166</v>
      </c>
      <c r="H783" s="37" t="s">
        <v>166</v>
      </c>
      <c r="I783" s="37" t="s">
        <v>166</v>
      </c>
      <c r="J783" s="37" t="s">
        <v>19</v>
      </c>
      <c r="K783" s="37">
        <v>0</v>
      </c>
      <c r="L783" s="37">
        <v>14</v>
      </c>
      <c r="M783" s="37">
        <v>10</v>
      </c>
      <c r="N783" s="37">
        <v>24</v>
      </c>
      <c r="O783" s="37">
        <v>47</v>
      </c>
      <c r="P783" s="37">
        <v>8</v>
      </c>
      <c r="Q783" s="37">
        <v>79</v>
      </c>
      <c r="R783" s="37">
        <v>1005</v>
      </c>
      <c r="T783" s="37" t="s">
        <v>166</v>
      </c>
      <c r="U783" s="37" t="s">
        <v>166</v>
      </c>
      <c r="V783" s="37" t="s">
        <v>166</v>
      </c>
      <c r="W783" s="37" t="s">
        <v>17</v>
      </c>
      <c r="X783" s="37" t="s">
        <v>166</v>
      </c>
      <c r="Y783" s="37" t="s">
        <v>166</v>
      </c>
      <c r="Z783" s="37" t="s">
        <v>24</v>
      </c>
      <c r="AA783" s="37">
        <v>58</v>
      </c>
      <c r="AB783" s="37">
        <v>2</v>
      </c>
      <c r="AC783" s="37" t="s">
        <v>296</v>
      </c>
      <c r="AD783" s="37" t="s">
        <v>1498</v>
      </c>
      <c r="AF783" s="37" t="s">
        <v>1501</v>
      </c>
    </row>
    <row r="784" spans="1:32" x14ac:dyDescent="0.2">
      <c r="G784" s="37" t="s">
        <v>166</v>
      </c>
      <c r="H784" s="37" t="s">
        <v>166</v>
      </c>
      <c r="I784" s="37" t="s">
        <v>166</v>
      </c>
      <c r="J784" s="37" t="s">
        <v>18</v>
      </c>
      <c r="K784" s="37">
        <v>13</v>
      </c>
      <c r="L784" s="37">
        <v>34</v>
      </c>
      <c r="M784" s="37">
        <v>4</v>
      </c>
      <c r="N784" s="37">
        <v>51</v>
      </c>
      <c r="O784" s="37">
        <v>54</v>
      </c>
      <c r="P784" s="37">
        <v>18</v>
      </c>
      <c r="Q784" s="37">
        <v>123</v>
      </c>
      <c r="R784" s="37">
        <v>897</v>
      </c>
      <c r="T784" s="37" t="s">
        <v>166</v>
      </c>
      <c r="U784" s="37" t="s">
        <v>166</v>
      </c>
      <c r="V784" s="37" t="s">
        <v>166</v>
      </c>
      <c r="W784" s="37" t="s">
        <v>17</v>
      </c>
      <c r="X784" s="37" t="s">
        <v>166</v>
      </c>
      <c r="Y784" s="37" t="s">
        <v>166</v>
      </c>
      <c r="Z784" s="37" t="s">
        <v>24</v>
      </c>
      <c r="AA784" s="37">
        <v>58</v>
      </c>
      <c r="AB784" s="37">
        <v>2</v>
      </c>
      <c r="AC784" s="37" t="s">
        <v>296</v>
      </c>
      <c r="AD784" s="37" t="s">
        <v>1498</v>
      </c>
      <c r="AF784" s="37" t="s">
        <v>1502</v>
      </c>
    </row>
    <row r="785" spans="3:32" x14ac:dyDescent="0.2">
      <c r="C785" s="37" t="s">
        <v>24</v>
      </c>
      <c r="D785" s="37">
        <v>62</v>
      </c>
      <c r="E785" s="37">
        <v>24</v>
      </c>
      <c r="F785" s="37" t="s">
        <v>296</v>
      </c>
      <c r="G785" s="37">
        <v>4.7</v>
      </c>
      <c r="H785" s="37" t="s">
        <v>181</v>
      </c>
      <c r="I785" s="37" t="s">
        <v>23</v>
      </c>
      <c r="J785" s="37" t="s">
        <v>17</v>
      </c>
      <c r="K785" s="37">
        <v>0</v>
      </c>
      <c r="L785" s="37">
        <v>0</v>
      </c>
      <c r="M785" s="37">
        <v>0</v>
      </c>
      <c r="N785" s="37">
        <v>0</v>
      </c>
      <c r="O785" s="37">
        <v>0</v>
      </c>
      <c r="P785" s="37">
        <v>0</v>
      </c>
      <c r="Q785" s="37">
        <v>0</v>
      </c>
      <c r="R785" s="37">
        <v>0</v>
      </c>
      <c r="T785" s="37" t="s">
        <v>181</v>
      </c>
      <c r="U785" s="37" t="s">
        <v>182</v>
      </c>
      <c r="V785" s="37">
        <v>55</v>
      </c>
      <c r="W785" s="37" t="s">
        <v>18</v>
      </c>
      <c r="X785" s="37" t="s">
        <v>190</v>
      </c>
      <c r="Y785" s="37">
        <v>1128</v>
      </c>
      <c r="Z785" s="37" t="s">
        <v>24</v>
      </c>
      <c r="AA785" s="37">
        <v>62</v>
      </c>
      <c r="AB785" s="37">
        <v>24</v>
      </c>
      <c r="AC785" s="37" t="s">
        <v>296</v>
      </c>
      <c r="AD785" s="37" t="s">
        <v>1503</v>
      </c>
      <c r="AF785" s="37" t="s">
        <v>1504</v>
      </c>
    </row>
    <row r="786" spans="3:32" x14ac:dyDescent="0.2">
      <c r="G786" s="37" t="s">
        <v>166</v>
      </c>
      <c r="H786" s="37" t="s">
        <v>166</v>
      </c>
      <c r="I786" s="37" t="s">
        <v>166</v>
      </c>
      <c r="J786" s="37" t="s">
        <v>178</v>
      </c>
      <c r="K786" s="37">
        <v>0</v>
      </c>
      <c r="L786" s="37">
        <v>12</v>
      </c>
      <c r="M786" s="37">
        <v>6</v>
      </c>
      <c r="N786" s="37">
        <v>18</v>
      </c>
      <c r="O786" s="37">
        <v>16</v>
      </c>
      <c r="P786" s="37">
        <v>6</v>
      </c>
      <c r="Q786" s="37">
        <v>40</v>
      </c>
      <c r="R786" s="37">
        <v>9230</v>
      </c>
      <c r="T786" s="37" t="s">
        <v>166</v>
      </c>
      <c r="U786" s="37" t="s">
        <v>166</v>
      </c>
      <c r="V786" s="37" t="s">
        <v>166</v>
      </c>
      <c r="W786" s="37" t="s">
        <v>18</v>
      </c>
      <c r="X786" s="37" t="s">
        <v>166</v>
      </c>
      <c r="Y786" s="37" t="s">
        <v>166</v>
      </c>
      <c r="Z786" s="37" t="s">
        <v>24</v>
      </c>
      <c r="AA786" s="37">
        <v>62</v>
      </c>
      <c r="AB786" s="37">
        <v>24</v>
      </c>
      <c r="AC786" s="37" t="s">
        <v>296</v>
      </c>
      <c r="AD786" s="37" t="s">
        <v>1503</v>
      </c>
      <c r="AF786" s="37" t="s">
        <v>1505</v>
      </c>
    </row>
    <row r="787" spans="3:32" x14ac:dyDescent="0.2">
      <c r="G787" s="37" t="s">
        <v>166</v>
      </c>
      <c r="H787" s="37" t="s">
        <v>166</v>
      </c>
      <c r="I787" s="37" t="s">
        <v>166</v>
      </c>
      <c r="J787" s="37" t="s">
        <v>19</v>
      </c>
      <c r="K787" s="37">
        <v>7</v>
      </c>
      <c r="L787" s="37">
        <v>42</v>
      </c>
      <c r="M787" s="37">
        <v>11</v>
      </c>
      <c r="N787" s="37">
        <v>60</v>
      </c>
      <c r="O787" s="37">
        <v>100</v>
      </c>
      <c r="P787" s="37">
        <v>22</v>
      </c>
      <c r="Q787" s="37">
        <v>182</v>
      </c>
      <c r="R787" s="37">
        <v>2905</v>
      </c>
      <c r="T787" s="37" t="s">
        <v>166</v>
      </c>
      <c r="U787" s="37" t="s">
        <v>166</v>
      </c>
      <c r="V787" s="37" t="s">
        <v>166</v>
      </c>
      <c r="W787" s="37" t="s">
        <v>18</v>
      </c>
      <c r="X787" s="37" t="s">
        <v>166</v>
      </c>
      <c r="Y787" s="37" t="s">
        <v>166</v>
      </c>
      <c r="Z787" s="37" t="s">
        <v>24</v>
      </c>
      <c r="AA787" s="37">
        <v>62</v>
      </c>
      <c r="AB787" s="37">
        <v>24</v>
      </c>
      <c r="AC787" s="37" t="s">
        <v>296</v>
      </c>
      <c r="AD787" s="37" t="s">
        <v>1503</v>
      </c>
      <c r="AF787" s="37" t="s">
        <v>1506</v>
      </c>
    </row>
    <row r="788" spans="3:32" x14ac:dyDescent="0.2">
      <c r="G788" s="37" t="s">
        <v>166</v>
      </c>
      <c r="H788" s="37" t="s">
        <v>166</v>
      </c>
      <c r="I788" s="37" t="s">
        <v>166</v>
      </c>
      <c r="J788" s="37" t="s">
        <v>18</v>
      </c>
      <c r="K788" s="37">
        <v>191</v>
      </c>
      <c r="L788" s="37">
        <v>154</v>
      </c>
      <c r="M788" s="37">
        <v>13</v>
      </c>
      <c r="N788" s="37">
        <v>358</v>
      </c>
      <c r="O788" s="37">
        <v>328</v>
      </c>
      <c r="P788" s="37">
        <v>121</v>
      </c>
      <c r="Q788" s="37">
        <v>807</v>
      </c>
      <c r="R788" s="37">
        <v>6903</v>
      </c>
      <c r="T788" s="37" t="s">
        <v>166</v>
      </c>
      <c r="U788" s="37" t="s">
        <v>166</v>
      </c>
      <c r="V788" s="37" t="s">
        <v>166</v>
      </c>
      <c r="W788" s="37" t="s">
        <v>18</v>
      </c>
      <c r="X788" s="37" t="s">
        <v>166</v>
      </c>
      <c r="Y788" s="37" t="s">
        <v>166</v>
      </c>
      <c r="Z788" s="37" t="s">
        <v>24</v>
      </c>
      <c r="AA788" s="37">
        <v>62</v>
      </c>
      <c r="AB788" s="37">
        <v>24</v>
      </c>
      <c r="AC788" s="37" t="s">
        <v>296</v>
      </c>
      <c r="AD788" s="37" t="s">
        <v>1503</v>
      </c>
      <c r="AF788" s="37" t="s">
        <v>1507</v>
      </c>
    </row>
    <row r="789" spans="3:32" x14ac:dyDescent="0.2">
      <c r="C789" s="37" t="s">
        <v>24</v>
      </c>
      <c r="D789" s="37">
        <v>63</v>
      </c>
      <c r="E789" s="37">
        <v>12</v>
      </c>
      <c r="F789" s="37" t="s">
        <v>296</v>
      </c>
      <c r="G789" s="37">
        <v>7</v>
      </c>
      <c r="H789" s="37" t="s">
        <v>181</v>
      </c>
      <c r="I789" s="37" t="s">
        <v>23</v>
      </c>
      <c r="J789" s="37" t="s">
        <v>17</v>
      </c>
      <c r="K789" s="37">
        <v>5</v>
      </c>
      <c r="L789" s="37">
        <v>36</v>
      </c>
      <c r="M789" s="37">
        <v>13</v>
      </c>
      <c r="N789" s="37">
        <v>54</v>
      </c>
      <c r="O789" s="37">
        <v>54</v>
      </c>
      <c r="P789" s="37">
        <v>14</v>
      </c>
      <c r="Q789" s="37">
        <v>122</v>
      </c>
      <c r="R789" s="37">
        <v>4267</v>
      </c>
      <c r="T789" s="37" t="s">
        <v>181</v>
      </c>
      <c r="U789" s="37" t="s">
        <v>200</v>
      </c>
      <c r="V789" s="37">
        <v>55</v>
      </c>
      <c r="W789" s="37" t="s">
        <v>18</v>
      </c>
      <c r="X789" s="37" t="s">
        <v>190</v>
      </c>
      <c r="Y789" s="37">
        <v>1400</v>
      </c>
      <c r="Z789" s="37" t="s">
        <v>24</v>
      </c>
      <c r="AA789" s="37">
        <v>63</v>
      </c>
      <c r="AB789" s="37">
        <v>12</v>
      </c>
      <c r="AC789" s="37" t="s">
        <v>296</v>
      </c>
      <c r="AD789" s="37" t="s">
        <v>1508</v>
      </c>
      <c r="AF789" s="37" t="s">
        <v>1509</v>
      </c>
    </row>
    <row r="790" spans="3:32" x14ac:dyDescent="0.2">
      <c r="G790" s="37" t="s">
        <v>166</v>
      </c>
      <c r="H790" s="37" t="s">
        <v>166</v>
      </c>
      <c r="I790" s="37" t="s">
        <v>166</v>
      </c>
      <c r="J790" s="37" t="s">
        <v>178</v>
      </c>
      <c r="K790" s="37">
        <v>0</v>
      </c>
      <c r="L790" s="37">
        <v>12</v>
      </c>
      <c r="M790" s="37">
        <v>6</v>
      </c>
      <c r="N790" s="37">
        <v>18</v>
      </c>
      <c r="O790" s="37">
        <v>16</v>
      </c>
      <c r="P790" s="37">
        <v>6</v>
      </c>
      <c r="Q790" s="37">
        <v>40</v>
      </c>
      <c r="R790" s="37">
        <v>9230</v>
      </c>
      <c r="T790" s="37" t="s">
        <v>166</v>
      </c>
      <c r="U790" s="37" t="s">
        <v>166</v>
      </c>
      <c r="V790" s="37" t="s">
        <v>166</v>
      </c>
      <c r="W790" s="37" t="s">
        <v>18</v>
      </c>
      <c r="X790" s="37" t="s">
        <v>166</v>
      </c>
      <c r="Y790" s="37" t="s">
        <v>166</v>
      </c>
      <c r="Z790" s="37" t="s">
        <v>24</v>
      </c>
      <c r="AA790" s="37">
        <v>63</v>
      </c>
      <c r="AB790" s="37">
        <v>12</v>
      </c>
      <c r="AC790" s="37" t="s">
        <v>296</v>
      </c>
      <c r="AD790" s="37" t="s">
        <v>1508</v>
      </c>
      <c r="AF790" s="37" t="s">
        <v>1510</v>
      </c>
    </row>
    <row r="791" spans="3:32" x14ac:dyDescent="0.2">
      <c r="G791" s="37" t="s">
        <v>166</v>
      </c>
      <c r="H791" s="37" t="s">
        <v>166</v>
      </c>
      <c r="I791" s="37" t="s">
        <v>166</v>
      </c>
      <c r="J791" s="37" t="s">
        <v>19</v>
      </c>
      <c r="K791" s="37">
        <v>7</v>
      </c>
      <c r="L791" s="37">
        <v>58</v>
      </c>
      <c r="M791" s="37">
        <v>14</v>
      </c>
      <c r="N791" s="37">
        <v>79</v>
      </c>
      <c r="O791" s="37">
        <v>130</v>
      </c>
      <c r="P791" s="37">
        <v>28</v>
      </c>
      <c r="Q791" s="37">
        <v>237</v>
      </c>
      <c r="R791" s="37">
        <v>3851</v>
      </c>
      <c r="T791" s="37" t="s">
        <v>166</v>
      </c>
      <c r="U791" s="37" t="s">
        <v>166</v>
      </c>
      <c r="V791" s="37" t="s">
        <v>166</v>
      </c>
      <c r="W791" s="37" t="s">
        <v>18</v>
      </c>
      <c r="X791" s="37" t="s">
        <v>166</v>
      </c>
      <c r="Y791" s="37" t="s">
        <v>166</v>
      </c>
      <c r="Z791" s="37" t="s">
        <v>24</v>
      </c>
      <c r="AA791" s="37">
        <v>63</v>
      </c>
      <c r="AB791" s="37">
        <v>12</v>
      </c>
      <c r="AC791" s="37" t="s">
        <v>296</v>
      </c>
      <c r="AD791" s="37" t="s">
        <v>1508</v>
      </c>
      <c r="AF791" s="37" t="s">
        <v>1511</v>
      </c>
    </row>
    <row r="792" spans="3:32" x14ac:dyDescent="0.2">
      <c r="G792" s="37" t="s">
        <v>166</v>
      </c>
      <c r="H792" s="37" t="s">
        <v>166</v>
      </c>
      <c r="I792" s="37" t="s">
        <v>166</v>
      </c>
      <c r="J792" s="37" t="s">
        <v>18</v>
      </c>
      <c r="K792" s="37">
        <v>277</v>
      </c>
      <c r="L792" s="37">
        <v>61</v>
      </c>
      <c r="M792" s="37">
        <v>5</v>
      </c>
      <c r="N792" s="37">
        <v>343</v>
      </c>
      <c r="O792" s="37">
        <v>406</v>
      </c>
      <c r="P792" s="37">
        <v>142</v>
      </c>
      <c r="Q792" s="37">
        <v>891</v>
      </c>
      <c r="R792" s="37">
        <v>7207</v>
      </c>
      <c r="T792" s="37" t="s">
        <v>166</v>
      </c>
      <c r="U792" s="37" t="s">
        <v>166</v>
      </c>
      <c r="V792" s="37" t="s">
        <v>166</v>
      </c>
      <c r="W792" s="37" t="s">
        <v>18</v>
      </c>
      <c r="X792" s="37" t="s">
        <v>166</v>
      </c>
      <c r="Y792" s="37" t="s">
        <v>166</v>
      </c>
      <c r="Z792" s="37" t="s">
        <v>24</v>
      </c>
      <c r="AA792" s="37">
        <v>63</v>
      </c>
      <c r="AB792" s="37">
        <v>12</v>
      </c>
      <c r="AC792" s="37" t="s">
        <v>296</v>
      </c>
      <c r="AD792" s="37" t="s">
        <v>1508</v>
      </c>
      <c r="AF792" s="37" t="s">
        <v>1512</v>
      </c>
    </row>
    <row r="793" spans="3:32" x14ac:dyDescent="0.2">
      <c r="C793" s="37" t="s">
        <v>24</v>
      </c>
      <c r="D793" s="37">
        <v>63</v>
      </c>
      <c r="E793" s="37">
        <v>12</v>
      </c>
      <c r="F793" s="37">
        <v>2</v>
      </c>
      <c r="G793" s="37">
        <v>8.4</v>
      </c>
      <c r="H793" s="37" t="s">
        <v>181</v>
      </c>
      <c r="I793" s="37" t="s">
        <v>23</v>
      </c>
      <c r="J793" s="37" t="s">
        <v>17</v>
      </c>
      <c r="K793" s="37">
        <v>5</v>
      </c>
      <c r="L793" s="37">
        <v>36</v>
      </c>
      <c r="M793" s="37">
        <v>13</v>
      </c>
      <c r="N793" s="37">
        <v>54</v>
      </c>
      <c r="O793" s="37">
        <v>54</v>
      </c>
      <c r="P793" s="37">
        <v>14</v>
      </c>
      <c r="Q793" s="37">
        <v>122</v>
      </c>
      <c r="R793" s="37">
        <v>4267</v>
      </c>
      <c r="T793" s="37" t="s">
        <v>181</v>
      </c>
      <c r="U793" s="37" t="s">
        <v>200</v>
      </c>
      <c r="V793" s="37">
        <v>55</v>
      </c>
      <c r="W793" s="37" t="s">
        <v>18</v>
      </c>
      <c r="X793" s="37" t="s">
        <v>190</v>
      </c>
      <c r="Y793" s="37">
        <v>1680</v>
      </c>
      <c r="Z793" s="37" t="s">
        <v>24</v>
      </c>
      <c r="AA793" s="37">
        <v>63</v>
      </c>
      <c r="AB793" s="37">
        <v>12</v>
      </c>
      <c r="AC793" s="37">
        <v>2</v>
      </c>
      <c r="AD793" s="37" t="s">
        <v>1513</v>
      </c>
      <c r="AF793" s="37" t="s">
        <v>1514</v>
      </c>
    </row>
    <row r="794" spans="3:32" x14ac:dyDescent="0.2">
      <c r="G794" s="37" t="s">
        <v>166</v>
      </c>
      <c r="H794" s="37" t="s">
        <v>166</v>
      </c>
      <c r="I794" s="37" t="s">
        <v>166</v>
      </c>
      <c r="J794" s="37" t="s">
        <v>178</v>
      </c>
      <c r="K794" s="37">
        <v>0</v>
      </c>
      <c r="L794" s="37">
        <v>12</v>
      </c>
      <c r="M794" s="37">
        <v>6</v>
      </c>
      <c r="N794" s="37">
        <v>18</v>
      </c>
      <c r="O794" s="37">
        <v>16</v>
      </c>
      <c r="P794" s="37">
        <v>6</v>
      </c>
      <c r="Q794" s="37">
        <v>40</v>
      </c>
      <c r="R794" s="37">
        <v>9230</v>
      </c>
      <c r="T794" s="37" t="s">
        <v>166</v>
      </c>
      <c r="U794" s="37" t="s">
        <v>166</v>
      </c>
      <c r="V794" s="37" t="s">
        <v>166</v>
      </c>
      <c r="W794" s="37" t="s">
        <v>18</v>
      </c>
      <c r="X794" s="37" t="s">
        <v>166</v>
      </c>
      <c r="Y794" s="37" t="s">
        <v>166</v>
      </c>
      <c r="Z794" s="37" t="s">
        <v>24</v>
      </c>
      <c r="AA794" s="37">
        <v>63</v>
      </c>
      <c r="AB794" s="37">
        <v>12</v>
      </c>
      <c r="AC794" s="37">
        <v>2</v>
      </c>
      <c r="AD794" s="37" t="s">
        <v>1513</v>
      </c>
      <c r="AF794" s="37" t="s">
        <v>1515</v>
      </c>
    </row>
    <row r="795" spans="3:32" x14ac:dyDescent="0.2">
      <c r="G795" s="37" t="s">
        <v>166</v>
      </c>
      <c r="H795" s="37" t="s">
        <v>166</v>
      </c>
      <c r="I795" s="37" t="s">
        <v>166</v>
      </c>
      <c r="J795" s="37" t="s">
        <v>19</v>
      </c>
      <c r="K795" s="37">
        <v>15</v>
      </c>
      <c r="L795" s="37">
        <v>66</v>
      </c>
      <c r="M795" s="37">
        <v>14</v>
      </c>
      <c r="N795" s="37">
        <v>95</v>
      </c>
      <c r="O795" s="37">
        <v>145</v>
      </c>
      <c r="P795" s="37">
        <v>33</v>
      </c>
      <c r="Q795" s="37">
        <v>273</v>
      </c>
      <c r="R795" s="37">
        <v>4729</v>
      </c>
      <c r="T795" s="37" t="s">
        <v>166</v>
      </c>
      <c r="U795" s="37" t="s">
        <v>166</v>
      </c>
      <c r="V795" s="37" t="s">
        <v>166</v>
      </c>
      <c r="W795" s="37" t="s">
        <v>18</v>
      </c>
      <c r="X795" s="37" t="s">
        <v>166</v>
      </c>
      <c r="Y795" s="37" t="s">
        <v>166</v>
      </c>
      <c r="Z795" s="37" t="s">
        <v>24</v>
      </c>
      <c r="AA795" s="37">
        <v>63</v>
      </c>
      <c r="AB795" s="37">
        <v>12</v>
      </c>
      <c r="AC795" s="37">
        <v>2</v>
      </c>
      <c r="AD795" s="37" t="s">
        <v>1513</v>
      </c>
      <c r="AF795" s="37" t="s">
        <v>1516</v>
      </c>
    </row>
    <row r="796" spans="3:32" x14ac:dyDescent="0.2">
      <c r="G796" s="37" t="s">
        <v>166</v>
      </c>
      <c r="H796" s="37" t="s">
        <v>166</v>
      </c>
      <c r="I796" s="37" t="s">
        <v>166</v>
      </c>
      <c r="J796" s="37" t="s">
        <v>18</v>
      </c>
      <c r="K796" s="37">
        <v>347</v>
      </c>
      <c r="L796" s="37">
        <v>61</v>
      </c>
      <c r="M796" s="37">
        <v>5</v>
      </c>
      <c r="N796" s="37">
        <v>413</v>
      </c>
      <c r="O796" s="37">
        <v>499</v>
      </c>
      <c r="P796" s="37">
        <v>175</v>
      </c>
      <c r="Q796" s="37">
        <v>1087</v>
      </c>
      <c r="R796" s="37">
        <v>8760</v>
      </c>
      <c r="T796" s="37" t="s">
        <v>166</v>
      </c>
      <c r="U796" s="37" t="s">
        <v>166</v>
      </c>
      <c r="V796" s="37" t="s">
        <v>166</v>
      </c>
      <c r="W796" s="37" t="s">
        <v>18</v>
      </c>
      <c r="X796" s="37" t="s">
        <v>166</v>
      </c>
      <c r="Y796" s="37" t="s">
        <v>166</v>
      </c>
      <c r="Z796" s="37" t="s">
        <v>24</v>
      </c>
      <c r="AA796" s="37">
        <v>63</v>
      </c>
      <c r="AB796" s="37">
        <v>12</v>
      </c>
      <c r="AC796" s="37">
        <v>2</v>
      </c>
      <c r="AD796" s="37" t="s">
        <v>1513</v>
      </c>
      <c r="AF796" s="37" t="s">
        <v>1517</v>
      </c>
    </row>
    <row r="797" spans="3:32" x14ac:dyDescent="0.2">
      <c r="C797" s="37" t="s">
        <v>24</v>
      </c>
      <c r="D797" s="37">
        <v>63</v>
      </c>
      <c r="E797" s="37">
        <v>24</v>
      </c>
      <c r="F797" s="37">
        <v>3</v>
      </c>
      <c r="G797" s="37">
        <v>2.2000000000000002</v>
      </c>
      <c r="H797" s="37" t="s">
        <v>181</v>
      </c>
      <c r="I797" s="37" t="s">
        <v>23</v>
      </c>
      <c r="J797" s="37" t="s">
        <v>17</v>
      </c>
      <c r="K797" s="37">
        <v>0</v>
      </c>
      <c r="L797" s="37">
        <v>0</v>
      </c>
      <c r="M797" s="37">
        <v>0</v>
      </c>
      <c r="N797" s="37">
        <v>0</v>
      </c>
      <c r="O797" s="37">
        <v>0</v>
      </c>
      <c r="P797" s="37">
        <v>0</v>
      </c>
      <c r="Q797" s="37">
        <v>0</v>
      </c>
      <c r="R797" s="37">
        <v>0</v>
      </c>
      <c r="T797" s="37" t="s">
        <v>181</v>
      </c>
      <c r="U797" s="37" t="s">
        <v>202</v>
      </c>
      <c r="V797" s="37">
        <v>55</v>
      </c>
      <c r="W797" s="37" t="s">
        <v>18</v>
      </c>
      <c r="X797" s="37" t="s">
        <v>190</v>
      </c>
      <c r="Y797" s="37">
        <v>484.00000000000006</v>
      </c>
      <c r="Z797" s="37" t="s">
        <v>24</v>
      </c>
      <c r="AA797" s="37">
        <v>63</v>
      </c>
      <c r="AB797" s="37">
        <v>24</v>
      </c>
      <c r="AC797" s="37">
        <v>3</v>
      </c>
      <c r="AD797" s="37" t="s">
        <v>1518</v>
      </c>
      <c r="AF797" s="37" t="s">
        <v>1519</v>
      </c>
    </row>
    <row r="798" spans="3:32" x14ac:dyDescent="0.2">
      <c r="G798" s="37" t="s">
        <v>166</v>
      </c>
      <c r="H798" s="37" t="s">
        <v>166</v>
      </c>
      <c r="I798" s="37" t="s">
        <v>166</v>
      </c>
      <c r="J798" s="37" t="s">
        <v>178</v>
      </c>
      <c r="K798" s="37">
        <v>0</v>
      </c>
      <c r="L798" s="37">
        <v>1</v>
      </c>
      <c r="M798" s="37">
        <v>1</v>
      </c>
      <c r="N798" s="37">
        <v>2</v>
      </c>
      <c r="O798" s="37">
        <v>1</v>
      </c>
      <c r="P798" s="37">
        <v>1</v>
      </c>
      <c r="Q798" s="37">
        <v>4</v>
      </c>
      <c r="R798" s="37">
        <v>923</v>
      </c>
      <c r="T798" s="37" t="s">
        <v>166</v>
      </c>
      <c r="U798" s="37" t="s">
        <v>166</v>
      </c>
      <c r="V798" s="37" t="s">
        <v>166</v>
      </c>
      <c r="W798" s="37" t="s">
        <v>18</v>
      </c>
      <c r="X798" s="37" t="s">
        <v>166</v>
      </c>
      <c r="Y798" s="37" t="s">
        <v>166</v>
      </c>
      <c r="Z798" s="37" t="s">
        <v>24</v>
      </c>
      <c r="AA798" s="37">
        <v>63</v>
      </c>
      <c r="AB798" s="37">
        <v>24</v>
      </c>
      <c r="AC798" s="37">
        <v>3</v>
      </c>
      <c r="AD798" s="37" t="s">
        <v>1518</v>
      </c>
      <c r="AF798" s="37" t="s">
        <v>1520</v>
      </c>
    </row>
    <row r="799" spans="3:32" x14ac:dyDescent="0.2">
      <c r="G799" s="37" t="s">
        <v>166</v>
      </c>
      <c r="H799" s="37" t="s">
        <v>166</v>
      </c>
      <c r="I799" s="37" t="s">
        <v>166</v>
      </c>
      <c r="J799" s="37" t="s">
        <v>19</v>
      </c>
      <c r="K799" s="37">
        <v>1</v>
      </c>
      <c r="L799" s="37">
        <v>11</v>
      </c>
      <c r="M799" s="37">
        <v>3</v>
      </c>
      <c r="N799" s="37">
        <v>15</v>
      </c>
      <c r="O799" s="37">
        <v>20</v>
      </c>
      <c r="P799" s="37">
        <v>5</v>
      </c>
      <c r="Q799" s="37">
        <v>40</v>
      </c>
      <c r="R799" s="37">
        <v>684</v>
      </c>
      <c r="T799" s="37" t="s">
        <v>166</v>
      </c>
      <c r="U799" s="37" t="s">
        <v>166</v>
      </c>
      <c r="V799" s="37" t="s">
        <v>166</v>
      </c>
      <c r="W799" s="37" t="s">
        <v>18</v>
      </c>
      <c r="X799" s="37" t="s">
        <v>166</v>
      </c>
      <c r="Y799" s="37" t="s">
        <v>166</v>
      </c>
      <c r="Z799" s="37" t="s">
        <v>24</v>
      </c>
      <c r="AA799" s="37">
        <v>63</v>
      </c>
      <c r="AB799" s="37">
        <v>24</v>
      </c>
      <c r="AC799" s="37">
        <v>3</v>
      </c>
      <c r="AD799" s="37" t="s">
        <v>1518</v>
      </c>
      <c r="AF799" s="37" t="s">
        <v>1521</v>
      </c>
    </row>
    <row r="800" spans="3:32" x14ac:dyDescent="0.2">
      <c r="G800" s="37" t="s">
        <v>166</v>
      </c>
      <c r="H800" s="37" t="s">
        <v>166</v>
      </c>
      <c r="I800" s="37" t="s">
        <v>166</v>
      </c>
      <c r="J800" s="37" t="s">
        <v>18</v>
      </c>
      <c r="K800" s="37">
        <v>101</v>
      </c>
      <c r="L800" s="37">
        <v>59</v>
      </c>
      <c r="M800" s="37">
        <v>5</v>
      </c>
      <c r="N800" s="37">
        <v>165</v>
      </c>
      <c r="O800" s="37">
        <v>182</v>
      </c>
      <c r="P800" s="37">
        <v>65</v>
      </c>
      <c r="Q800" s="37">
        <v>412</v>
      </c>
      <c r="R800" s="37">
        <v>3265</v>
      </c>
      <c r="T800" s="37" t="s">
        <v>166</v>
      </c>
      <c r="U800" s="37" t="s">
        <v>166</v>
      </c>
      <c r="V800" s="37" t="s">
        <v>166</v>
      </c>
      <c r="W800" s="37" t="s">
        <v>18</v>
      </c>
      <c r="X800" s="37" t="s">
        <v>166</v>
      </c>
      <c r="Y800" s="37" t="s">
        <v>166</v>
      </c>
      <c r="Z800" s="37" t="s">
        <v>24</v>
      </c>
      <c r="AA800" s="37">
        <v>63</v>
      </c>
      <c r="AB800" s="37">
        <v>24</v>
      </c>
      <c r="AC800" s="37">
        <v>3</v>
      </c>
      <c r="AD800" s="37" t="s">
        <v>1518</v>
      </c>
      <c r="AF800" s="37" t="s">
        <v>1522</v>
      </c>
    </row>
    <row r="801" spans="3:32" x14ac:dyDescent="0.2">
      <c r="C801" s="37" t="s">
        <v>24</v>
      </c>
      <c r="D801" s="37">
        <v>65</v>
      </c>
      <c r="E801" s="37">
        <v>25</v>
      </c>
      <c r="F801" s="37" t="s">
        <v>296</v>
      </c>
      <c r="G801" s="37">
        <v>1.2</v>
      </c>
      <c r="H801" s="37" t="s">
        <v>181</v>
      </c>
      <c r="I801" s="37" t="s">
        <v>23</v>
      </c>
      <c r="J801" s="37" t="s">
        <v>17</v>
      </c>
      <c r="K801" s="37">
        <v>5</v>
      </c>
      <c r="L801" s="37">
        <v>15</v>
      </c>
      <c r="M801" s="37">
        <v>3</v>
      </c>
      <c r="N801" s="37">
        <v>23</v>
      </c>
      <c r="O801" s="37">
        <v>29</v>
      </c>
      <c r="P801" s="37">
        <v>7</v>
      </c>
      <c r="Q801" s="37">
        <v>59</v>
      </c>
      <c r="R801" s="37">
        <v>2088</v>
      </c>
      <c r="T801" s="37" t="s">
        <v>181</v>
      </c>
      <c r="U801" s="37" t="s">
        <v>360</v>
      </c>
      <c r="V801" s="37">
        <v>100</v>
      </c>
      <c r="W801" s="37" t="s">
        <v>17</v>
      </c>
      <c r="X801" s="37" t="s">
        <v>190</v>
      </c>
      <c r="Y801" s="37">
        <v>180</v>
      </c>
      <c r="Z801" s="37" t="s">
        <v>24</v>
      </c>
      <c r="AA801" s="37">
        <v>65</v>
      </c>
      <c r="AB801" s="37">
        <v>25</v>
      </c>
      <c r="AC801" s="37" t="s">
        <v>296</v>
      </c>
      <c r="AD801" s="37" t="s">
        <v>1523</v>
      </c>
      <c r="AF801" s="37" t="s">
        <v>1524</v>
      </c>
    </row>
    <row r="802" spans="3:32" x14ac:dyDescent="0.2">
      <c r="G802" s="37" t="s">
        <v>166</v>
      </c>
      <c r="H802" s="37" t="s">
        <v>166</v>
      </c>
      <c r="I802" s="37" t="s">
        <v>166</v>
      </c>
      <c r="J802" s="37" t="s">
        <v>178</v>
      </c>
      <c r="K802" s="37">
        <v>0</v>
      </c>
      <c r="L802" s="37">
        <v>10</v>
      </c>
      <c r="M802" s="37">
        <v>3</v>
      </c>
      <c r="N802" s="37">
        <v>13</v>
      </c>
      <c r="O802" s="37">
        <v>14</v>
      </c>
      <c r="P802" s="37">
        <v>5</v>
      </c>
      <c r="Q802" s="37">
        <v>32</v>
      </c>
      <c r="R802" s="37">
        <v>7594</v>
      </c>
      <c r="T802" s="37" t="s">
        <v>166</v>
      </c>
      <c r="U802" s="37" t="s">
        <v>166</v>
      </c>
      <c r="V802" s="37" t="s">
        <v>166</v>
      </c>
      <c r="W802" s="37" t="s">
        <v>17</v>
      </c>
      <c r="X802" s="37" t="s">
        <v>166</v>
      </c>
      <c r="Y802" s="37" t="s">
        <v>166</v>
      </c>
      <c r="Z802" s="37" t="s">
        <v>24</v>
      </c>
      <c r="AA802" s="37">
        <v>65</v>
      </c>
      <c r="AB802" s="37">
        <v>25</v>
      </c>
      <c r="AC802" s="37" t="s">
        <v>296</v>
      </c>
      <c r="AD802" s="37" t="s">
        <v>1523</v>
      </c>
      <c r="AF802" s="37" t="s">
        <v>1525</v>
      </c>
    </row>
    <row r="803" spans="3:32" x14ac:dyDescent="0.2">
      <c r="G803" s="37" t="s">
        <v>166</v>
      </c>
      <c r="H803" s="37" t="s">
        <v>166</v>
      </c>
      <c r="I803" s="37" t="s">
        <v>166</v>
      </c>
      <c r="J803" s="37" t="s">
        <v>19</v>
      </c>
      <c r="K803" s="37">
        <v>1</v>
      </c>
      <c r="L803" s="37">
        <v>7</v>
      </c>
      <c r="M803" s="37">
        <v>1</v>
      </c>
      <c r="N803" s="37">
        <v>9</v>
      </c>
      <c r="O803" s="37">
        <v>15</v>
      </c>
      <c r="P803" s="37">
        <v>3</v>
      </c>
      <c r="Q803" s="37">
        <v>27</v>
      </c>
      <c r="R803" s="37">
        <v>473</v>
      </c>
      <c r="T803" s="37" t="s">
        <v>166</v>
      </c>
      <c r="U803" s="37" t="s">
        <v>166</v>
      </c>
      <c r="V803" s="37" t="s">
        <v>166</v>
      </c>
      <c r="W803" s="37" t="s">
        <v>17</v>
      </c>
      <c r="X803" s="37" t="s">
        <v>166</v>
      </c>
      <c r="Y803" s="37" t="s">
        <v>166</v>
      </c>
      <c r="Z803" s="37" t="s">
        <v>24</v>
      </c>
      <c r="AA803" s="37">
        <v>65</v>
      </c>
      <c r="AB803" s="37">
        <v>25</v>
      </c>
      <c r="AC803" s="37" t="s">
        <v>296</v>
      </c>
      <c r="AD803" s="37" t="s">
        <v>1523</v>
      </c>
      <c r="AF803" s="37" t="s">
        <v>1526</v>
      </c>
    </row>
    <row r="804" spans="3:32" x14ac:dyDescent="0.2">
      <c r="G804" s="37" t="s">
        <v>166</v>
      </c>
      <c r="H804" s="37" t="s">
        <v>166</v>
      </c>
      <c r="I804" s="37" t="s">
        <v>166</v>
      </c>
      <c r="J804" s="37" t="s">
        <v>18</v>
      </c>
      <c r="K804" s="37">
        <v>7</v>
      </c>
      <c r="L804" s="37">
        <v>5</v>
      </c>
      <c r="M804" s="37">
        <v>1</v>
      </c>
      <c r="N804" s="37">
        <v>13</v>
      </c>
      <c r="O804" s="37">
        <v>14</v>
      </c>
      <c r="P804" s="37">
        <v>5</v>
      </c>
      <c r="Q804" s="37">
        <v>32</v>
      </c>
      <c r="R804" s="37">
        <v>261</v>
      </c>
      <c r="T804" s="37" t="s">
        <v>166</v>
      </c>
      <c r="U804" s="37" t="s">
        <v>166</v>
      </c>
      <c r="V804" s="37" t="s">
        <v>166</v>
      </c>
      <c r="W804" s="37" t="s">
        <v>17</v>
      </c>
      <c r="X804" s="37" t="s">
        <v>166</v>
      </c>
      <c r="Y804" s="37" t="s">
        <v>166</v>
      </c>
      <c r="Z804" s="37" t="s">
        <v>24</v>
      </c>
      <c r="AA804" s="37">
        <v>65</v>
      </c>
      <c r="AB804" s="37">
        <v>25</v>
      </c>
      <c r="AC804" s="37" t="s">
        <v>296</v>
      </c>
      <c r="AD804" s="37" t="s">
        <v>1523</v>
      </c>
      <c r="AF804" s="37" t="s">
        <v>1527</v>
      </c>
    </row>
    <row r="805" spans="3:32" x14ac:dyDescent="0.2">
      <c r="C805" s="37" t="s">
        <v>24</v>
      </c>
      <c r="D805" s="37">
        <v>67</v>
      </c>
      <c r="E805" s="37">
        <v>24</v>
      </c>
      <c r="F805" s="37" t="s">
        <v>296</v>
      </c>
      <c r="G805" s="37">
        <v>1</v>
      </c>
      <c r="H805" s="37" t="s">
        <v>181</v>
      </c>
      <c r="I805" s="37" t="s">
        <v>528</v>
      </c>
      <c r="J805" s="37" t="s">
        <v>17</v>
      </c>
      <c r="K805" s="37">
        <v>3</v>
      </c>
      <c r="L805" s="37">
        <v>7</v>
      </c>
      <c r="M805" s="37">
        <v>3</v>
      </c>
      <c r="N805" s="37">
        <v>13</v>
      </c>
      <c r="O805" s="37">
        <v>11</v>
      </c>
      <c r="P805" s="37">
        <v>3</v>
      </c>
      <c r="Q805" s="37">
        <v>27</v>
      </c>
      <c r="R805" s="37">
        <v>1038</v>
      </c>
      <c r="T805" s="37" t="s">
        <v>181</v>
      </c>
      <c r="U805" s="37" t="s">
        <v>200</v>
      </c>
      <c r="V805" s="37">
        <v>55</v>
      </c>
      <c r="W805" s="37" t="s">
        <v>18</v>
      </c>
      <c r="X805" s="37" t="s">
        <v>283</v>
      </c>
      <c r="Y805" s="37">
        <v>250</v>
      </c>
      <c r="Z805" s="37" t="s">
        <v>24</v>
      </c>
      <c r="AA805" s="37">
        <v>67</v>
      </c>
      <c r="AB805" s="37">
        <v>24</v>
      </c>
      <c r="AC805" s="37" t="s">
        <v>296</v>
      </c>
      <c r="AD805" s="37" t="s">
        <v>1528</v>
      </c>
      <c r="AF805" s="37" t="s">
        <v>1529</v>
      </c>
    </row>
    <row r="806" spans="3:32" x14ac:dyDescent="0.2">
      <c r="G806" s="37" t="s">
        <v>166</v>
      </c>
      <c r="H806" s="37" t="s">
        <v>166</v>
      </c>
      <c r="I806" s="37" t="s">
        <v>166</v>
      </c>
      <c r="J806" s="37" t="s">
        <v>19</v>
      </c>
      <c r="K806" s="37">
        <v>5</v>
      </c>
      <c r="L806" s="37">
        <v>12</v>
      </c>
      <c r="M806" s="37">
        <v>2</v>
      </c>
      <c r="N806" s="37">
        <v>19</v>
      </c>
      <c r="O806" s="37">
        <v>29</v>
      </c>
      <c r="P806" s="37">
        <v>7</v>
      </c>
      <c r="Q806" s="37">
        <v>55</v>
      </c>
      <c r="R806" s="37">
        <v>1053</v>
      </c>
      <c r="T806" s="37" t="s">
        <v>166</v>
      </c>
      <c r="U806" s="37" t="s">
        <v>166</v>
      </c>
      <c r="V806" s="37" t="s">
        <v>166</v>
      </c>
      <c r="W806" s="37" t="s">
        <v>18</v>
      </c>
      <c r="X806" s="37" t="s">
        <v>166</v>
      </c>
      <c r="Y806" s="37" t="s">
        <v>166</v>
      </c>
      <c r="Z806" s="37" t="s">
        <v>24</v>
      </c>
      <c r="AA806" s="37">
        <v>67</v>
      </c>
      <c r="AB806" s="37">
        <v>24</v>
      </c>
      <c r="AC806" s="37" t="s">
        <v>296</v>
      </c>
      <c r="AD806" s="37" t="s">
        <v>1528</v>
      </c>
      <c r="AF806" s="37" t="s">
        <v>1530</v>
      </c>
    </row>
    <row r="807" spans="3:32" x14ac:dyDescent="0.2">
      <c r="G807" s="37" t="s">
        <v>166</v>
      </c>
      <c r="H807" s="37" t="s">
        <v>166</v>
      </c>
      <c r="I807" s="37" t="s">
        <v>166</v>
      </c>
      <c r="J807" s="37" t="s">
        <v>18</v>
      </c>
      <c r="K807" s="37">
        <v>50</v>
      </c>
      <c r="L807" s="37">
        <v>33</v>
      </c>
      <c r="M807" s="37">
        <v>3</v>
      </c>
      <c r="N807" s="37">
        <v>86</v>
      </c>
      <c r="O807" s="37">
        <v>80</v>
      </c>
      <c r="P807" s="37">
        <v>29</v>
      </c>
      <c r="Q807" s="37">
        <v>195</v>
      </c>
      <c r="R807" s="37">
        <v>1677</v>
      </c>
      <c r="T807" s="37" t="s">
        <v>166</v>
      </c>
      <c r="U807" s="37" t="s">
        <v>166</v>
      </c>
      <c r="V807" s="37" t="s">
        <v>166</v>
      </c>
      <c r="W807" s="37" t="s">
        <v>18</v>
      </c>
      <c r="X807" s="37" t="s">
        <v>166</v>
      </c>
      <c r="Y807" s="37" t="s">
        <v>166</v>
      </c>
      <c r="Z807" s="37" t="s">
        <v>24</v>
      </c>
      <c r="AA807" s="37">
        <v>67</v>
      </c>
      <c r="AB807" s="37">
        <v>24</v>
      </c>
      <c r="AC807" s="37" t="s">
        <v>296</v>
      </c>
      <c r="AD807" s="37" t="s">
        <v>1528</v>
      </c>
      <c r="AF807" s="37" t="s">
        <v>1531</v>
      </c>
    </row>
    <row r="808" spans="3:32" x14ac:dyDescent="0.2">
      <c r="C808" s="37" t="s">
        <v>24</v>
      </c>
      <c r="D808" s="37">
        <v>73</v>
      </c>
      <c r="E808" s="37">
        <v>22</v>
      </c>
      <c r="F808" s="37" t="s">
        <v>296</v>
      </c>
      <c r="G808" s="37">
        <v>9.6</v>
      </c>
      <c r="H808" s="37" t="s">
        <v>181</v>
      </c>
      <c r="I808" s="37" t="s">
        <v>23</v>
      </c>
      <c r="J808" s="37" t="s">
        <v>17</v>
      </c>
      <c r="K808" s="37">
        <v>9</v>
      </c>
      <c r="L808" s="37">
        <v>22</v>
      </c>
      <c r="M808" s="37">
        <v>10</v>
      </c>
      <c r="N808" s="37">
        <v>41</v>
      </c>
      <c r="O808" s="37">
        <v>53</v>
      </c>
      <c r="P808" s="37">
        <v>13</v>
      </c>
      <c r="Q808" s="37">
        <v>107</v>
      </c>
      <c r="R808" s="37">
        <v>3574</v>
      </c>
      <c r="T808" s="37" t="s">
        <v>181</v>
      </c>
      <c r="U808" s="37" t="s">
        <v>362</v>
      </c>
      <c r="V808" s="37">
        <v>100</v>
      </c>
      <c r="W808" s="37" t="s">
        <v>19</v>
      </c>
      <c r="X808" s="37" t="s">
        <v>190</v>
      </c>
      <c r="Y808" s="37">
        <v>1248</v>
      </c>
      <c r="Z808" s="37" t="s">
        <v>24</v>
      </c>
      <c r="AA808" s="37">
        <v>73</v>
      </c>
      <c r="AB808" s="37">
        <v>22</v>
      </c>
      <c r="AC808" s="37" t="s">
        <v>296</v>
      </c>
      <c r="AD808" s="37" t="s">
        <v>1532</v>
      </c>
      <c r="AF808" s="37" t="s">
        <v>1533</v>
      </c>
    </row>
    <row r="809" spans="3:32" x14ac:dyDescent="0.2">
      <c r="G809" s="37" t="s">
        <v>166</v>
      </c>
      <c r="H809" s="37" t="s">
        <v>166</v>
      </c>
      <c r="I809" s="37" t="s">
        <v>166</v>
      </c>
      <c r="J809" s="37" t="s">
        <v>178</v>
      </c>
      <c r="K809" s="37">
        <v>0</v>
      </c>
      <c r="L809" s="37">
        <v>40</v>
      </c>
      <c r="M809" s="37">
        <v>10</v>
      </c>
      <c r="N809" s="37">
        <v>50</v>
      </c>
      <c r="O809" s="37">
        <v>48</v>
      </c>
      <c r="P809" s="37">
        <v>17</v>
      </c>
      <c r="Q809" s="37">
        <v>115</v>
      </c>
      <c r="R809" s="37">
        <v>28270</v>
      </c>
      <c r="T809" s="37" t="s">
        <v>166</v>
      </c>
      <c r="U809" s="37" t="s">
        <v>166</v>
      </c>
      <c r="V809" s="37" t="s">
        <v>166</v>
      </c>
      <c r="W809" s="37" t="s">
        <v>19</v>
      </c>
      <c r="X809" s="37" t="s">
        <v>166</v>
      </c>
      <c r="Y809" s="37" t="s">
        <v>166</v>
      </c>
      <c r="Z809" s="37" t="s">
        <v>24</v>
      </c>
      <c r="AA809" s="37">
        <v>73</v>
      </c>
      <c r="AB809" s="37">
        <v>22</v>
      </c>
      <c r="AC809" s="37" t="s">
        <v>296</v>
      </c>
      <c r="AD809" s="37" t="s">
        <v>1532</v>
      </c>
      <c r="AF809" s="37" t="s">
        <v>1534</v>
      </c>
    </row>
    <row r="810" spans="3:32" x14ac:dyDescent="0.2">
      <c r="G810" s="37" t="s">
        <v>166</v>
      </c>
      <c r="H810" s="37" t="s">
        <v>166</v>
      </c>
      <c r="I810" s="37" t="s">
        <v>166</v>
      </c>
      <c r="J810" s="37" t="s">
        <v>268</v>
      </c>
      <c r="K810" s="37">
        <v>0</v>
      </c>
      <c r="L810" s="37">
        <v>27</v>
      </c>
      <c r="M810" s="37">
        <v>9</v>
      </c>
      <c r="N810" s="37">
        <v>36</v>
      </c>
      <c r="O810" s="37">
        <v>46</v>
      </c>
      <c r="P810" s="37">
        <v>11</v>
      </c>
      <c r="Q810" s="37">
        <v>93</v>
      </c>
      <c r="R810" s="37">
        <v>19939</v>
      </c>
      <c r="T810" s="37" t="s">
        <v>166</v>
      </c>
      <c r="U810" s="37" t="s">
        <v>166</v>
      </c>
      <c r="V810" s="37" t="s">
        <v>166</v>
      </c>
      <c r="W810" s="37" t="s">
        <v>19</v>
      </c>
      <c r="X810" s="37" t="s">
        <v>166</v>
      </c>
      <c r="Y810" s="37" t="s">
        <v>166</v>
      </c>
      <c r="Z810" s="37" t="s">
        <v>24</v>
      </c>
      <c r="AA810" s="37">
        <v>73</v>
      </c>
      <c r="AB810" s="37">
        <v>22</v>
      </c>
      <c r="AC810" s="37" t="s">
        <v>296</v>
      </c>
      <c r="AD810" s="37" t="s">
        <v>1532</v>
      </c>
      <c r="AF810" s="37" t="s">
        <v>1535</v>
      </c>
    </row>
    <row r="811" spans="3:32" x14ac:dyDescent="0.2">
      <c r="G811" s="37" t="s">
        <v>166</v>
      </c>
      <c r="H811" s="37" t="s">
        <v>166</v>
      </c>
      <c r="I811" s="37" t="s">
        <v>166</v>
      </c>
      <c r="J811" s="37" t="s">
        <v>19</v>
      </c>
      <c r="K811" s="37">
        <v>65</v>
      </c>
      <c r="L811" s="37">
        <v>128</v>
      </c>
      <c r="M811" s="37">
        <v>24</v>
      </c>
      <c r="N811" s="37">
        <v>217</v>
      </c>
      <c r="O811" s="37">
        <v>311</v>
      </c>
      <c r="P811" s="37">
        <v>79</v>
      </c>
      <c r="Q811" s="37">
        <v>607</v>
      </c>
      <c r="R811" s="37">
        <v>11632</v>
      </c>
      <c r="T811" s="37" t="s">
        <v>166</v>
      </c>
      <c r="U811" s="37" t="s">
        <v>166</v>
      </c>
      <c r="V811" s="37" t="s">
        <v>166</v>
      </c>
      <c r="W811" s="37" t="s">
        <v>19</v>
      </c>
      <c r="X811" s="37" t="s">
        <v>166</v>
      </c>
      <c r="Y811" s="37" t="s">
        <v>166</v>
      </c>
      <c r="Z811" s="37" t="s">
        <v>24</v>
      </c>
      <c r="AA811" s="37">
        <v>73</v>
      </c>
      <c r="AB811" s="37">
        <v>22</v>
      </c>
      <c r="AC811" s="37" t="s">
        <v>296</v>
      </c>
      <c r="AD811" s="37" t="s">
        <v>1532</v>
      </c>
      <c r="AF811" s="37" t="s">
        <v>1536</v>
      </c>
    </row>
    <row r="812" spans="3:32" x14ac:dyDescent="0.2">
      <c r="G812" s="37" t="s">
        <v>166</v>
      </c>
      <c r="H812" s="37" t="s">
        <v>166</v>
      </c>
      <c r="I812" s="37" t="s">
        <v>166</v>
      </c>
      <c r="J812" s="37" t="s">
        <v>18</v>
      </c>
      <c r="K812" s="37">
        <v>31</v>
      </c>
      <c r="L812" s="37">
        <v>16</v>
      </c>
      <c r="M812" s="37">
        <v>2</v>
      </c>
      <c r="N812" s="37">
        <v>49</v>
      </c>
      <c r="O812" s="37">
        <v>51</v>
      </c>
      <c r="P812" s="37">
        <v>18</v>
      </c>
      <c r="Q812" s="37">
        <v>118</v>
      </c>
      <c r="R812" s="37">
        <v>968</v>
      </c>
      <c r="T812" s="37" t="s">
        <v>166</v>
      </c>
      <c r="U812" s="37" t="s">
        <v>166</v>
      </c>
      <c r="V812" s="37" t="s">
        <v>166</v>
      </c>
      <c r="W812" s="37" t="s">
        <v>19</v>
      </c>
      <c r="X812" s="37" t="s">
        <v>166</v>
      </c>
      <c r="Y812" s="37" t="s">
        <v>166</v>
      </c>
      <c r="Z812" s="37" t="s">
        <v>24</v>
      </c>
      <c r="AA812" s="37">
        <v>73</v>
      </c>
      <c r="AB812" s="37">
        <v>22</v>
      </c>
      <c r="AC812" s="37" t="s">
        <v>296</v>
      </c>
      <c r="AD812" s="37" t="s">
        <v>1532</v>
      </c>
      <c r="AF812" s="37" t="s">
        <v>1537</v>
      </c>
    </row>
    <row r="813" spans="3:32" x14ac:dyDescent="0.2">
      <c r="C813" s="37" t="s">
        <v>24</v>
      </c>
      <c r="D813" s="37">
        <v>80</v>
      </c>
      <c r="E813" s="37">
        <v>23</v>
      </c>
      <c r="F813" s="37" t="s">
        <v>296</v>
      </c>
      <c r="G813" s="37">
        <v>7.7</v>
      </c>
      <c r="H813" s="37" t="s">
        <v>181</v>
      </c>
      <c r="I813" s="37" t="s">
        <v>23</v>
      </c>
      <c r="J813" s="37" t="s">
        <v>17</v>
      </c>
      <c r="K813" s="37">
        <v>42</v>
      </c>
      <c r="L813" s="37">
        <v>126</v>
      </c>
      <c r="M813" s="37">
        <v>37</v>
      </c>
      <c r="N813" s="37">
        <v>205</v>
      </c>
      <c r="O813" s="37">
        <v>223</v>
      </c>
      <c r="P813" s="37">
        <v>57</v>
      </c>
      <c r="Q813" s="37">
        <v>485</v>
      </c>
      <c r="R813" s="37">
        <v>17858</v>
      </c>
      <c r="T813" s="37" t="s">
        <v>181</v>
      </c>
      <c r="U813" s="37" t="s">
        <v>214</v>
      </c>
      <c r="V813" s="37">
        <v>55</v>
      </c>
      <c r="W813" s="37" t="s">
        <v>18</v>
      </c>
      <c r="X813" s="37" t="s">
        <v>190</v>
      </c>
      <c r="Y813" s="37">
        <v>1925</v>
      </c>
      <c r="Z813" s="37" t="s">
        <v>24</v>
      </c>
      <c r="AA813" s="37">
        <v>80</v>
      </c>
      <c r="AB813" s="37">
        <v>23</v>
      </c>
      <c r="AC813" s="37" t="s">
        <v>296</v>
      </c>
      <c r="AD813" s="37" t="s">
        <v>1538</v>
      </c>
      <c r="AF813" s="37" t="s">
        <v>1539</v>
      </c>
    </row>
    <row r="814" spans="3:32" x14ac:dyDescent="0.2">
      <c r="G814" s="37" t="s">
        <v>166</v>
      </c>
      <c r="H814" s="37" t="s">
        <v>166</v>
      </c>
      <c r="I814" s="37" t="s">
        <v>166</v>
      </c>
      <c r="J814" s="37" t="s">
        <v>19</v>
      </c>
      <c r="K814" s="37">
        <v>11</v>
      </c>
      <c r="L814" s="37">
        <v>38</v>
      </c>
      <c r="M814" s="37">
        <v>5</v>
      </c>
      <c r="N814" s="37">
        <v>54</v>
      </c>
      <c r="O814" s="37">
        <v>90</v>
      </c>
      <c r="P814" s="37">
        <v>21</v>
      </c>
      <c r="Q814" s="37">
        <v>165</v>
      </c>
      <c r="R814" s="37">
        <v>2832</v>
      </c>
      <c r="T814" s="37" t="s">
        <v>166</v>
      </c>
      <c r="U814" s="37" t="s">
        <v>166</v>
      </c>
      <c r="V814" s="37" t="s">
        <v>166</v>
      </c>
      <c r="W814" s="37" t="s">
        <v>18</v>
      </c>
      <c r="X814" s="37" t="s">
        <v>166</v>
      </c>
      <c r="Y814" s="37" t="s">
        <v>166</v>
      </c>
      <c r="Z814" s="37" t="s">
        <v>24</v>
      </c>
      <c r="AA814" s="37">
        <v>80</v>
      </c>
      <c r="AB814" s="37">
        <v>23</v>
      </c>
      <c r="AC814" s="37" t="s">
        <v>296</v>
      </c>
      <c r="AD814" s="37" t="s">
        <v>1538</v>
      </c>
      <c r="AF814" s="37" t="s">
        <v>1540</v>
      </c>
    </row>
    <row r="815" spans="3:32" x14ac:dyDescent="0.2">
      <c r="G815" s="37" t="s">
        <v>166</v>
      </c>
      <c r="H815" s="37" t="s">
        <v>166</v>
      </c>
      <c r="I815" s="37" t="s">
        <v>166</v>
      </c>
      <c r="J815" s="37" t="s">
        <v>18</v>
      </c>
      <c r="K815" s="37">
        <v>226</v>
      </c>
      <c r="L815" s="37">
        <v>218</v>
      </c>
      <c r="M815" s="37">
        <v>17</v>
      </c>
      <c r="N815" s="37">
        <v>461</v>
      </c>
      <c r="O815" s="37">
        <v>384</v>
      </c>
      <c r="P815" s="37">
        <v>146</v>
      </c>
      <c r="Q815" s="37">
        <v>991</v>
      </c>
      <c r="R815" s="37">
        <v>8759</v>
      </c>
      <c r="T815" s="37" t="s">
        <v>166</v>
      </c>
      <c r="U815" s="37" t="s">
        <v>166</v>
      </c>
      <c r="V815" s="37" t="s">
        <v>166</v>
      </c>
      <c r="W815" s="37" t="s">
        <v>18</v>
      </c>
      <c r="X815" s="37" t="s">
        <v>166</v>
      </c>
      <c r="Y815" s="37" t="s">
        <v>166</v>
      </c>
      <c r="Z815" s="37" t="s">
        <v>24</v>
      </c>
      <c r="AA815" s="37">
        <v>80</v>
      </c>
      <c r="AB815" s="37">
        <v>23</v>
      </c>
      <c r="AC815" s="37" t="s">
        <v>296</v>
      </c>
      <c r="AD815" s="37" t="s">
        <v>1538</v>
      </c>
      <c r="AF815" s="37" t="s">
        <v>1541</v>
      </c>
    </row>
    <row r="816" spans="3:32" x14ac:dyDescent="0.2">
      <c r="C816" s="37" t="s">
        <v>24</v>
      </c>
      <c r="D816" s="37">
        <v>82</v>
      </c>
      <c r="E816" s="37">
        <v>12</v>
      </c>
      <c r="F816" s="37" t="s">
        <v>296</v>
      </c>
      <c r="G816" s="37">
        <v>2.7</v>
      </c>
      <c r="H816" s="37" t="s">
        <v>181</v>
      </c>
      <c r="I816" s="37" t="s">
        <v>23</v>
      </c>
      <c r="J816" s="37" t="s">
        <v>17</v>
      </c>
      <c r="K816" s="37">
        <v>8</v>
      </c>
      <c r="L816" s="37">
        <v>14</v>
      </c>
      <c r="M816" s="37">
        <v>4</v>
      </c>
      <c r="N816" s="37">
        <v>26</v>
      </c>
      <c r="O816" s="37">
        <v>29</v>
      </c>
      <c r="P816" s="37">
        <v>8</v>
      </c>
      <c r="Q816" s="37">
        <v>63</v>
      </c>
      <c r="R816" s="37">
        <v>2396</v>
      </c>
      <c r="T816" s="37" t="s">
        <v>181</v>
      </c>
      <c r="U816" s="37" t="s">
        <v>195</v>
      </c>
      <c r="V816" s="37">
        <v>55</v>
      </c>
      <c r="W816" s="37" t="s">
        <v>18</v>
      </c>
      <c r="X816" s="37" t="s">
        <v>190</v>
      </c>
      <c r="Y816" s="37">
        <v>729</v>
      </c>
      <c r="Z816" s="37" t="s">
        <v>24</v>
      </c>
      <c r="AA816" s="37">
        <v>82</v>
      </c>
      <c r="AB816" s="37">
        <v>12</v>
      </c>
      <c r="AC816" s="37" t="s">
        <v>296</v>
      </c>
      <c r="AD816" s="37" t="s">
        <v>1542</v>
      </c>
      <c r="AF816" s="37" t="s">
        <v>1543</v>
      </c>
    </row>
    <row r="817" spans="3:32" x14ac:dyDescent="0.2">
      <c r="G817" s="37" t="s">
        <v>166</v>
      </c>
      <c r="H817" s="37" t="s">
        <v>166</v>
      </c>
      <c r="I817" s="37" t="s">
        <v>166</v>
      </c>
      <c r="J817" s="37" t="s">
        <v>19</v>
      </c>
      <c r="K817" s="37">
        <v>3</v>
      </c>
      <c r="L817" s="37">
        <v>14</v>
      </c>
      <c r="M817" s="37">
        <v>3</v>
      </c>
      <c r="N817" s="37">
        <v>20</v>
      </c>
      <c r="O817" s="37">
        <v>33</v>
      </c>
      <c r="P817" s="37">
        <v>7</v>
      </c>
      <c r="Q817" s="37">
        <v>60</v>
      </c>
      <c r="R817" s="37">
        <v>1000</v>
      </c>
      <c r="T817" s="37" t="s">
        <v>166</v>
      </c>
      <c r="U817" s="37" t="s">
        <v>166</v>
      </c>
      <c r="V817" s="37" t="s">
        <v>166</v>
      </c>
      <c r="W817" s="37" t="s">
        <v>18</v>
      </c>
      <c r="X817" s="37" t="s">
        <v>166</v>
      </c>
      <c r="Y817" s="37" t="s">
        <v>166</v>
      </c>
      <c r="Z817" s="37" t="s">
        <v>24</v>
      </c>
      <c r="AA817" s="37">
        <v>82</v>
      </c>
      <c r="AB817" s="37">
        <v>12</v>
      </c>
      <c r="AC817" s="37" t="s">
        <v>296</v>
      </c>
      <c r="AD817" s="37" t="s">
        <v>1542</v>
      </c>
      <c r="AF817" s="37" t="s">
        <v>1544</v>
      </c>
    </row>
    <row r="818" spans="3:32" x14ac:dyDescent="0.2">
      <c r="G818" s="37" t="s">
        <v>166</v>
      </c>
      <c r="H818" s="37" t="s">
        <v>166</v>
      </c>
      <c r="I818" s="37" t="s">
        <v>166</v>
      </c>
      <c r="J818" s="37" t="s">
        <v>18</v>
      </c>
      <c r="K818" s="37">
        <v>131</v>
      </c>
      <c r="L818" s="37">
        <v>58</v>
      </c>
      <c r="M818" s="37">
        <v>4</v>
      </c>
      <c r="N818" s="37">
        <v>193</v>
      </c>
      <c r="O818" s="37">
        <v>245</v>
      </c>
      <c r="P818" s="37">
        <v>85</v>
      </c>
      <c r="Q818" s="37">
        <v>523</v>
      </c>
      <c r="R818" s="37">
        <v>3926</v>
      </c>
      <c r="T818" s="37" t="s">
        <v>166</v>
      </c>
      <c r="U818" s="37" t="s">
        <v>166</v>
      </c>
      <c r="V818" s="37" t="s">
        <v>166</v>
      </c>
      <c r="W818" s="37" t="s">
        <v>18</v>
      </c>
      <c r="X818" s="37" t="s">
        <v>166</v>
      </c>
      <c r="Y818" s="37" t="s">
        <v>166</v>
      </c>
      <c r="Z818" s="37" t="s">
        <v>24</v>
      </c>
      <c r="AA818" s="37">
        <v>82</v>
      </c>
      <c r="AB818" s="37">
        <v>12</v>
      </c>
      <c r="AC818" s="37" t="s">
        <v>296</v>
      </c>
      <c r="AD818" s="37" t="s">
        <v>1542</v>
      </c>
      <c r="AF818" s="37" t="s">
        <v>1545</v>
      </c>
    </row>
    <row r="819" spans="3:32" x14ac:dyDescent="0.2">
      <c r="C819" s="37" t="s">
        <v>24</v>
      </c>
      <c r="D819" s="37">
        <v>85</v>
      </c>
      <c r="E819" s="37">
        <v>3</v>
      </c>
      <c r="F819" s="37" t="s">
        <v>296</v>
      </c>
      <c r="G819" s="37">
        <v>8.6</v>
      </c>
      <c r="H819" s="37" t="s">
        <v>181</v>
      </c>
      <c r="I819" s="37" t="s">
        <v>23</v>
      </c>
      <c r="J819" s="37" t="s">
        <v>17</v>
      </c>
      <c r="K819" s="37">
        <v>22</v>
      </c>
      <c r="L819" s="37">
        <v>34</v>
      </c>
      <c r="M819" s="37">
        <v>14</v>
      </c>
      <c r="N819" s="37">
        <v>70</v>
      </c>
      <c r="O819" s="37">
        <v>79</v>
      </c>
      <c r="P819" s="37">
        <v>20</v>
      </c>
      <c r="Q819" s="37">
        <v>169</v>
      </c>
      <c r="R819" s="37">
        <v>6250</v>
      </c>
      <c r="T819" s="37" t="s">
        <v>181</v>
      </c>
      <c r="U819" s="37" t="s">
        <v>221</v>
      </c>
      <c r="V819" s="37">
        <v>55</v>
      </c>
      <c r="W819" s="37" t="s">
        <v>18</v>
      </c>
      <c r="X819" s="37" t="s">
        <v>190</v>
      </c>
      <c r="Y819" s="37">
        <v>2236</v>
      </c>
      <c r="Z819" s="37" t="s">
        <v>24</v>
      </c>
      <c r="AA819" s="37">
        <v>85</v>
      </c>
      <c r="AB819" s="37">
        <v>3</v>
      </c>
      <c r="AC819" s="37" t="s">
        <v>296</v>
      </c>
      <c r="AD819" s="37" t="s">
        <v>1546</v>
      </c>
      <c r="AF819" s="37" t="s">
        <v>1547</v>
      </c>
    </row>
    <row r="820" spans="3:32" x14ac:dyDescent="0.2">
      <c r="G820" s="37" t="s">
        <v>166</v>
      </c>
      <c r="H820" s="37" t="s">
        <v>166</v>
      </c>
      <c r="I820" s="37" t="s">
        <v>166</v>
      </c>
      <c r="J820" s="37" t="s">
        <v>19</v>
      </c>
      <c r="K820" s="37">
        <v>0</v>
      </c>
      <c r="L820" s="37">
        <v>2</v>
      </c>
      <c r="M820" s="37">
        <v>2</v>
      </c>
      <c r="N820" s="37">
        <v>4</v>
      </c>
      <c r="O820" s="37">
        <v>7</v>
      </c>
      <c r="P820" s="37">
        <v>1</v>
      </c>
      <c r="Q820" s="37">
        <v>12</v>
      </c>
      <c r="R820" s="37">
        <v>131</v>
      </c>
      <c r="T820" s="37" t="s">
        <v>166</v>
      </c>
      <c r="U820" s="37" t="s">
        <v>166</v>
      </c>
      <c r="V820" s="37" t="s">
        <v>166</v>
      </c>
      <c r="W820" s="37" t="s">
        <v>18</v>
      </c>
      <c r="X820" s="37" t="s">
        <v>166</v>
      </c>
      <c r="Y820" s="37" t="s">
        <v>166</v>
      </c>
      <c r="Z820" s="37" t="s">
        <v>24</v>
      </c>
      <c r="AA820" s="37">
        <v>85</v>
      </c>
      <c r="AB820" s="37">
        <v>3</v>
      </c>
      <c r="AC820" s="37" t="s">
        <v>296</v>
      </c>
      <c r="AD820" s="37" t="s">
        <v>1546</v>
      </c>
      <c r="AF820" s="37" t="s">
        <v>1548</v>
      </c>
    </row>
    <row r="821" spans="3:32" x14ac:dyDescent="0.2">
      <c r="G821" s="37" t="s">
        <v>166</v>
      </c>
      <c r="H821" s="37" t="s">
        <v>166</v>
      </c>
      <c r="I821" s="37" t="s">
        <v>166</v>
      </c>
      <c r="J821" s="37" t="s">
        <v>18</v>
      </c>
      <c r="K821" s="37">
        <v>501</v>
      </c>
      <c r="L821" s="37">
        <v>178</v>
      </c>
      <c r="M821" s="37">
        <v>19</v>
      </c>
      <c r="N821" s="37">
        <v>698</v>
      </c>
      <c r="O821" s="37">
        <v>732</v>
      </c>
      <c r="P821" s="37">
        <v>264</v>
      </c>
      <c r="Q821" s="37">
        <v>1694</v>
      </c>
      <c r="R821" s="37">
        <v>14212</v>
      </c>
      <c r="T821" s="37" t="s">
        <v>166</v>
      </c>
      <c r="U821" s="37" t="s">
        <v>166</v>
      </c>
      <c r="V821" s="37" t="s">
        <v>166</v>
      </c>
      <c r="W821" s="37" t="s">
        <v>18</v>
      </c>
      <c r="X821" s="37" t="s">
        <v>166</v>
      </c>
      <c r="Y821" s="37" t="s">
        <v>166</v>
      </c>
      <c r="Z821" s="37" t="s">
        <v>24</v>
      </c>
      <c r="AA821" s="37">
        <v>85</v>
      </c>
      <c r="AB821" s="37">
        <v>3</v>
      </c>
      <c r="AC821" s="37" t="s">
        <v>296</v>
      </c>
      <c r="AD821" s="37" t="s">
        <v>1546</v>
      </c>
      <c r="AF821" s="37" t="s">
        <v>1549</v>
      </c>
    </row>
    <row r="822" spans="3:32" x14ac:dyDescent="0.2">
      <c r="C822" s="37" t="s">
        <v>24</v>
      </c>
      <c r="D822" s="37">
        <v>89</v>
      </c>
      <c r="E822" s="37">
        <v>9</v>
      </c>
      <c r="F822" s="37" t="s">
        <v>296</v>
      </c>
      <c r="G822" s="37">
        <v>4.2</v>
      </c>
      <c r="H822" s="37" t="s">
        <v>181</v>
      </c>
      <c r="I822" s="37" t="s">
        <v>23</v>
      </c>
      <c r="J822" s="37" t="s">
        <v>17</v>
      </c>
      <c r="K822" s="37">
        <v>67</v>
      </c>
      <c r="L822" s="37">
        <v>142</v>
      </c>
      <c r="M822" s="37">
        <v>41</v>
      </c>
      <c r="N822" s="37">
        <v>250</v>
      </c>
      <c r="O822" s="37">
        <v>266</v>
      </c>
      <c r="P822" s="37">
        <v>68</v>
      </c>
      <c r="Q822" s="37">
        <v>584</v>
      </c>
      <c r="R822" s="37">
        <v>22404</v>
      </c>
      <c r="T822" s="37" t="s">
        <v>181</v>
      </c>
      <c r="U822" s="37" t="s">
        <v>248</v>
      </c>
      <c r="V822" s="37">
        <v>55</v>
      </c>
      <c r="W822" s="37" t="s">
        <v>18</v>
      </c>
      <c r="X822" s="37" t="s">
        <v>190</v>
      </c>
      <c r="Y822" s="37">
        <v>1008</v>
      </c>
      <c r="Z822" s="37" t="s">
        <v>24</v>
      </c>
      <c r="AA822" s="37">
        <v>89</v>
      </c>
      <c r="AB822" s="37">
        <v>9</v>
      </c>
      <c r="AC822" s="37" t="s">
        <v>296</v>
      </c>
      <c r="AD822" s="37" t="s">
        <v>1550</v>
      </c>
      <c r="AF822" s="37" t="s">
        <v>1551</v>
      </c>
    </row>
    <row r="823" spans="3:32" x14ac:dyDescent="0.2">
      <c r="G823" s="37" t="s">
        <v>166</v>
      </c>
      <c r="H823" s="37" t="s">
        <v>166</v>
      </c>
      <c r="I823" s="37" t="s">
        <v>166</v>
      </c>
      <c r="J823" s="37" t="s">
        <v>19</v>
      </c>
      <c r="K823" s="37">
        <v>0</v>
      </c>
      <c r="L823" s="37">
        <v>33</v>
      </c>
      <c r="M823" s="37">
        <v>13</v>
      </c>
      <c r="N823" s="37">
        <v>46</v>
      </c>
      <c r="O823" s="37">
        <v>85</v>
      </c>
      <c r="P823" s="37">
        <v>16</v>
      </c>
      <c r="Q823" s="37">
        <v>147</v>
      </c>
      <c r="R823" s="37">
        <v>2052</v>
      </c>
      <c r="T823" s="37" t="s">
        <v>166</v>
      </c>
      <c r="U823" s="37" t="s">
        <v>166</v>
      </c>
      <c r="V823" s="37" t="s">
        <v>166</v>
      </c>
      <c r="W823" s="37" t="s">
        <v>18</v>
      </c>
      <c r="X823" s="37" t="s">
        <v>166</v>
      </c>
      <c r="Y823" s="37" t="s">
        <v>166</v>
      </c>
      <c r="Z823" s="37" t="s">
        <v>24</v>
      </c>
      <c r="AA823" s="37">
        <v>89</v>
      </c>
      <c r="AB823" s="37">
        <v>9</v>
      </c>
      <c r="AC823" s="37" t="s">
        <v>296</v>
      </c>
      <c r="AD823" s="37" t="s">
        <v>1550</v>
      </c>
      <c r="AF823" s="37" t="s">
        <v>1552</v>
      </c>
    </row>
    <row r="824" spans="3:32" x14ac:dyDescent="0.2">
      <c r="G824" s="37" t="s">
        <v>166</v>
      </c>
      <c r="H824" s="37" t="s">
        <v>166</v>
      </c>
      <c r="I824" s="37" t="s">
        <v>166</v>
      </c>
      <c r="J824" s="37" t="s">
        <v>18</v>
      </c>
      <c r="K824" s="37">
        <v>200</v>
      </c>
      <c r="L824" s="37">
        <v>94</v>
      </c>
      <c r="M824" s="37">
        <v>8</v>
      </c>
      <c r="N824" s="37">
        <v>302</v>
      </c>
      <c r="O824" s="37">
        <v>326</v>
      </c>
      <c r="P824" s="37">
        <v>116</v>
      </c>
      <c r="Q824" s="37">
        <v>744</v>
      </c>
      <c r="R824" s="37">
        <v>6055</v>
      </c>
      <c r="T824" s="37" t="s">
        <v>166</v>
      </c>
      <c r="U824" s="37" t="s">
        <v>166</v>
      </c>
      <c r="V824" s="37" t="s">
        <v>166</v>
      </c>
      <c r="W824" s="37" t="s">
        <v>18</v>
      </c>
      <c r="X824" s="37" t="s">
        <v>166</v>
      </c>
      <c r="Y824" s="37" t="s">
        <v>166</v>
      </c>
      <c r="Z824" s="37" t="s">
        <v>24</v>
      </c>
      <c r="AA824" s="37">
        <v>89</v>
      </c>
      <c r="AB824" s="37">
        <v>9</v>
      </c>
      <c r="AC824" s="37" t="s">
        <v>296</v>
      </c>
      <c r="AD824" s="37" t="s">
        <v>1550</v>
      </c>
      <c r="AF824" s="37" t="s">
        <v>1553</v>
      </c>
    </row>
    <row r="825" spans="3:32" x14ac:dyDescent="0.2">
      <c r="C825" s="37" t="s">
        <v>24</v>
      </c>
      <c r="D825" s="37">
        <v>90</v>
      </c>
      <c r="E825" s="37">
        <v>5</v>
      </c>
      <c r="F825" s="37" t="s">
        <v>296</v>
      </c>
      <c r="G825" s="37">
        <v>5.4</v>
      </c>
      <c r="H825" s="37" t="s">
        <v>181</v>
      </c>
      <c r="I825" s="37" t="s">
        <v>23</v>
      </c>
      <c r="J825" s="37" t="s">
        <v>17</v>
      </c>
      <c r="K825" s="37">
        <v>9</v>
      </c>
      <c r="L825" s="37">
        <v>31</v>
      </c>
      <c r="M825" s="37">
        <v>16</v>
      </c>
      <c r="N825" s="37">
        <v>56</v>
      </c>
      <c r="O825" s="37">
        <v>68</v>
      </c>
      <c r="P825" s="37">
        <v>16</v>
      </c>
      <c r="Q825" s="37">
        <v>140</v>
      </c>
      <c r="R825" s="37">
        <v>4555</v>
      </c>
      <c r="T825" s="37" t="s">
        <v>181</v>
      </c>
      <c r="U825" s="37" t="s">
        <v>195</v>
      </c>
      <c r="V825" s="37">
        <v>55</v>
      </c>
      <c r="W825" s="37" t="s">
        <v>18</v>
      </c>
      <c r="X825" s="37" t="s">
        <v>190</v>
      </c>
      <c r="Y825" s="37">
        <v>1566</v>
      </c>
      <c r="Z825" s="37" t="s">
        <v>24</v>
      </c>
      <c r="AA825" s="37">
        <v>90</v>
      </c>
      <c r="AB825" s="37">
        <v>5</v>
      </c>
      <c r="AC825" s="37" t="s">
        <v>296</v>
      </c>
      <c r="AD825" s="37" t="s">
        <v>1554</v>
      </c>
      <c r="AF825" s="37" t="s">
        <v>1555</v>
      </c>
    </row>
    <row r="826" spans="3:32" x14ac:dyDescent="0.2">
      <c r="G826" s="37" t="s">
        <v>166</v>
      </c>
      <c r="H826" s="37" t="s">
        <v>166</v>
      </c>
      <c r="I826" s="37" t="s">
        <v>166</v>
      </c>
      <c r="J826" s="37" t="s">
        <v>19</v>
      </c>
      <c r="K826" s="37">
        <v>0</v>
      </c>
      <c r="L826" s="37">
        <v>27</v>
      </c>
      <c r="M826" s="37">
        <v>11</v>
      </c>
      <c r="N826" s="37">
        <v>38</v>
      </c>
      <c r="O826" s="37">
        <v>75</v>
      </c>
      <c r="P826" s="37">
        <v>14</v>
      </c>
      <c r="Q826" s="37">
        <v>127</v>
      </c>
      <c r="R826" s="37">
        <v>1728</v>
      </c>
      <c r="T826" s="37" t="s">
        <v>166</v>
      </c>
      <c r="U826" s="37" t="s">
        <v>166</v>
      </c>
      <c r="V826" s="37" t="s">
        <v>166</v>
      </c>
      <c r="W826" s="37" t="s">
        <v>18</v>
      </c>
      <c r="X826" s="37" t="s">
        <v>166</v>
      </c>
      <c r="Y826" s="37" t="s">
        <v>166</v>
      </c>
      <c r="Z826" s="37" t="s">
        <v>24</v>
      </c>
      <c r="AA826" s="37">
        <v>90</v>
      </c>
      <c r="AB826" s="37">
        <v>5</v>
      </c>
      <c r="AC826" s="37" t="s">
        <v>296</v>
      </c>
      <c r="AD826" s="37" t="s">
        <v>1554</v>
      </c>
      <c r="AF826" s="37" t="s">
        <v>1556</v>
      </c>
    </row>
    <row r="827" spans="3:32" x14ac:dyDescent="0.2">
      <c r="G827" s="37" t="s">
        <v>166</v>
      </c>
      <c r="H827" s="37" t="s">
        <v>166</v>
      </c>
      <c r="I827" s="37" t="s">
        <v>166</v>
      </c>
      <c r="J827" s="37" t="s">
        <v>18</v>
      </c>
      <c r="K827" s="37">
        <v>401</v>
      </c>
      <c r="L827" s="37">
        <v>55</v>
      </c>
      <c r="M827" s="37">
        <v>4</v>
      </c>
      <c r="N827" s="37">
        <v>460</v>
      </c>
      <c r="O827" s="37">
        <v>479</v>
      </c>
      <c r="P827" s="37">
        <v>173</v>
      </c>
      <c r="Q827" s="37">
        <v>1112</v>
      </c>
      <c r="R827" s="37">
        <v>9792</v>
      </c>
      <c r="T827" s="37" t="s">
        <v>166</v>
      </c>
      <c r="U827" s="37" t="s">
        <v>166</v>
      </c>
      <c r="V827" s="37" t="s">
        <v>166</v>
      </c>
      <c r="W827" s="37" t="s">
        <v>18</v>
      </c>
      <c r="X827" s="37" t="s">
        <v>166</v>
      </c>
      <c r="Y827" s="37" t="s">
        <v>166</v>
      </c>
      <c r="Z827" s="37" t="s">
        <v>24</v>
      </c>
      <c r="AA827" s="37">
        <v>90</v>
      </c>
      <c r="AB827" s="37">
        <v>5</v>
      </c>
      <c r="AC827" s="37" t="s">
        <v>296</v>
      </c>
      <c r="AD827" s="37" t="s">
        <v>1554</v>
      </c>
      <c r="AF827" s="37" t="s">
        <v>1557</v>
      </c>
    </row>
    <row r="828" spans="3:32" x14ac:dyDescent="0.2">
      <c r="C828" s="37" t="s">
        <v>24</v>
      </c>
      <c r="D828" s="37">
        <v>90</v>
      </c>
      <c r="E828" s="37">
        <v>8</v>
      </c>
      <c r="F828" s="37">
        <v>2</v>
      </c>
      <c r="G828" s="37">
        <v>2.8</v>
      </c>
      <c r="H828" s="37" t="s">
        <v>181</v>
      </c>
      <c r="I828" s="37" t="s">
        <v>23</v>
      </c>
      <c r="J828" s="37" t="s">
        <v>17</v>
      </c>
      <c r="K828" s="37">
        <v>2</v>
      </c>
      <c r="L828" s="37">
        <v>18</v>
      </c>
      <c r="M828" s="37">
        <v>7</v>
      </c>
      <c r="N828" s="37">
        <v>27</v>
      </c>
      <c r="O828" s="37">
        <v>27</v>
      </c>
      <c r="P828" s="37">
        <v>7</v>
      </c>
      <c r="Q828" s="37">
        <v>61</v>
      </c>
      <c r="R828" s="37">
        <v>2112</v>
      </c>
      <c r="T828" s="37" t="s">
        <v>181</v>
      </c>
      <c r="U828" s="37" t="s">
        <v>227</v>
      </c>
      <c r="V828" s="37">
        <v>55</v>
      </c>
      <c r="W828" s="37" t="s">
        <v>18</v>
      </c>
      <c r="X828" s="37" t="s">
        <v>190</v>
      </c>
      <c r="Y828" s="37">
        <v>728</v>
      </c>
      <c r="Z828" s="37" t="s">
        <v>24</v>
      </c>
      <c r="AA828" s="37">
        <v>90</v>
      </c>
      <c r="AB828" s="37">
        <v>8</v>
      </c>
      <c r="AC828" s="37">
        <v>2</v>
      </c>
      <c r="AD828" s="37" t="s">
        <v>1558</v>
      </c>
      <c r="AF828" s="37" t="s">
        <v>1559</v>
      </c>
    </row>
    <row r="829" spans="3:32" x14ac:dyDescent="0.2">
      <c r="G829" s="37" t="s">
        <v>166</v>
      </c>
      <c r="H829" s="37" t="s">
        <v>166</v>
      </c>
      <c r="I829" s="37" t="s">
        <v>166</v>
      </c>
      <c r="J829" s="37" t="s">
        <v>178</v>
      </c>
      <c r="K829" s="37">
        <v>0</v>
      </c>
      <c r="L829" s="37">
        <v>1</v>
      </c>
      <c r="M829" s="37">
        <v>1</v>
      </c>
      <c r="N829" s="37">
        <v>2</v>
      </c>
      <c r="O829" s="37">
        <v>3</v>
      </c>
      <c r="P829" s="37">
        <v>1</v>
      </c>
      <c r="Q829" s="37">
        <v>6</v>
      </c>
      <c r="R829" s="37">
        <v>968</v>
      </c>
      <c r="T829" s="37" t="s">
        <v>166</v>
      </c>
      <c r="U829" s="37" t="s">
        <v>166</v>
      </c>
      <c r="V829" s="37" t="s">
        <v>166</v>
      </c>
      <c r="W829" s="37" t="s">
        <v>18</v>
      </c>
      <c r="X829" s="37" t="s">
        <v>166</v>
      </c>
      <c r="Y829" s="37" t="s">
        <v>166</v>
      </c>
      <c r="Z829" s="37" t="s">
        <v>24</v>
      </c>
      <c r="AA829" s="37">
        <v>90</v>
      </c>
      <c r="AB829" s="37">
        <v>8</v>
      </c>
      <c r="AC829" s="37">
        <v>2</v>
      </c>
      <c r="AD829" s="37" t="s">
        <v>1558</v>
      </c>
      <c r="AF829" s="37" t="s">
        <v>1560</v>
      </c>
    </row>
    <row r="830" spans="3:32" x14ac:dyDescent="0.2">
      <c r="G830" s="37" t="s">
        <v>166</v>
      </c>
      <c r="H830" s="37" t="s">
        <v>166</v>
      </c>
      <c r="I830" s="37" t="s">
        <v>166</v>
      </c>
      <c r="J830" s="37" t="s">
        <v>18</v>
      </c>
      <c r="K830" s="37">
        <v>155</v>
      </c>
      <c r="L830" s="37">
        <v>59</v>
      </c>
      <c r="M830" s="37">
        <v>4</v>
      </c>
      <c r="N830" s="37">
        <v>218</v>
      </c>
      <c r="O830" s="37">
        <v>263</v>
      </c>
      <c r="P830" s="37">
        <v>92</v>
      </c>
      <c r="Q830" s="37">
        <v>573</v>
      </c>
      <c r="R830" s="37">
        <v>4460</v>
      </c>
      <c r="T830" s="37" t="s">
        <v>166</v>
      </c>
      <c r="U830" s="37" t="s">
        <v>166</v>
      </c>
      <c r="V830" s="37" t="s">
        <v>166</v>
      </c>
      <c r="W830" s="37" t="s">
        <v>18</v>
      </c>
      <c r="X830" s="37" t="s">
        <v>166</v>
      </c>
      <c r="Y830" s="37" t="s">
        <v>166</v>
      </c>
      <c r="Z830" s="37" t="s">
        <v>24</v>
      </c>
      <c r="AA830" s="37">
        <v>90</v>
      </c>
      <c r="AB830" s="37">
        <v>8</v>
      </c>
      <c r="AC830" s="37">
        <v>2</v>
      </c>
      <c r="AD830" s="37" t="s">
        <v>1558</v>
      </c>
      <c r="AF830" s="37" t="s">
        <v>1561</v>
      </c>
    </row>
    <row r="831" spans="3:32" x14ac:dyDescent="0.2">
      <c r="C831" s="37" t="s">
        <v>24</v>
      </c>
      <c r="D831" s="37">
        <v>90</v>
      </c>
      <c r="E831" s="37">
        <v>12</v>
      </c>
      <c r="F831" s="37">
        <v>3</v>
      </c>
      <c r="G831" s="37">
        <v>3.7</v>
      </c>
      <c r="H831" s="37" t="s">
        <v>181</v>
      </c>
      <c r="I831" s="37" t="s">
        <v>23</v>
      </c>
      <c r="J831" s="37" t="s">
        <v>17</v>
      </c>
      <c r="K831" s="37">
        <v>17</v>
      </c>
      <c r="L831" s="37">
        <v>31</v>
      </c>
      <c r="M831" s="37">
        <v>7</v>
      </c>
      <c r="N831" s="37">
        <v>55</v>
      </c>
      <c r="O831" s="37">
        <v>56</v>
      </c>
      <c r="P831" s="37">
        <v>15</v>
      </c>
      <c r="Q831" s="37">
        <v>126</v>
      </c>
      <c r="R831" s="37">
        <v>4975</v>
      </c>
      <c r="T831" s="37" t="s">
        <v>181</v>
      </c>
      <c r="U831" s="37" t="s">
        <v>340</v>
      </c>
      <c r="V831" s="37">
        <v>45</v>
      </c>
      <c r="W831" s="37" t="s">
        <v>18</v>
      </c>
      <c r="X831" s="37" t="s">
        <v>190</v>
      </c>
      <c r="Y831" s="37">
        <v>740</v>
      </c>
      <c r="Z831" s="37" t="s">
        <v>24</v>
      </c>
      <c r="AA831" s="37">
        <v>90</v>
      </c>
      <c r="AB831" s="37">
        <v>12</v>
      </c>
      <c r="AC831" s="37">
        <v>3</v>
      </c>
      <c r="AD831" s="37" t="s">
        <v>1562</v>
      </c>
      <c r="AF831" s="37" t="s">
        <v>1563</v>
      </c>
    </row>
    <row r="832" spans="3:32" x14ac:dyDescent="0.2">
      <c r="G832" s="37" t="s">
        <v>166</v>
      </c>
      <c r="H832" s="37" t="s">
        <v>166</v>
      </c>
      <c r="I832" s="37" t="s">
        <v>166</v>
      </c>
      <c r="J832" s="37" t="s">
        <v>178</v>
      </c>
      <c r="K832" s="37">
        <v>0</v>
      </c>
      <c r="L832" s="37">
        <v>8</v>
      </c>
      <c r="M832" s="37">
        <v>13</v>
      </c>
      <c r="N832" s="37">
        <v>21</v>
      </c>
      <c r="O832" s="37">
        <v>30</v>
      </c>
      <c r="P832" s="37">
        <v>7</v>
      </c>
      <c r="Q832" s="37">
        <v>58</v>
      </c>
      <c r="R832" s="37">
        <v>9677</v>
      </c>
      <c r="T832" s="37" t="s">
        <v>166</v>
      </c>
      <c r="U832" s="37" t="s">
        <v>166</v>
      </c>
      <c r="V832" s="37" t="s">
        <v>166</v>
      </c>
      <c r="W832" s="37" t="s">
        <v>18</v>
      </c>
      <c r="X832" s="37" t="s">
        <v>166</v>
      </c>
      <c r="Y832" s="37" t="s">
        <v>166</v>
      </c>
      <c r="Z832" s="37" t="s">
        <v>24</v>
      </c>
      <c r="AA832" s="37">
        <v>90</v>
      </c>
      <c r="AB832" s="37">
        <v>12</v>
      </c>
      <c r="AC832" s="37">
        <v>3</v>
      </c>
      <c r="AD832" s="37" t="s">
        <v>1562</v>
      </c>
      <c r="AF832" s="37" t="s">
        <v>1564</v>
      </c>
    </row>
    <row r="833" spans="3:32" x14ac:dyDescent="0.2">
      <c r="G833" s="37" t="s">
        <v>166</v>
      </c>
      <c r="H833" s="37" t="s">
        <v>166</v>
      </c>
      <c r="I833" s="37" t="s">
        <v>166</v>
      </c>
      <c r="J833" s="37" t="s">
        <v>19</v>
      </c>
      <c r="K833" s="37">
        <v>3</v>
      </c>
      <c r="L833" s="37">
        <v>38</v>
      </c>
      <c r="M833" s="37">
        <v>13</v>
      </c>
      <c r="N833" s="37">
        <v>54</v>
      </c>
      <c r="O833" s="37">
        <v>107</v>
      </c>
      <c r="P833" s="37">
        <v>20</v>
      </c>
      <c r="Q833" s="37">
        <v>181</v>
      </c>
      <c r="R833" s="37">
        <v>2504</v>
      </c>
      <c r="T833" s="37" t="s">
        <v>166</v>
      </c>
      <c r="U833" s="37" t="s">
        <v>166</v>
      </c>
      <c r="V833" s="37" t="s">
        <v>166</v>
      </c>
      <c r="W833" s="37" t="s">
        <v>18</v>
      </c>
      <c r="X833" s="37" t="s">
        <v>166</v>
      </c>
      <c r="Y833" s="37" t="s">
        <v>166</v>
      </c>
      <c r="Z833" s="37" t="s">
        <v>24</v>
      </c>
      <c r="AA833" s="37">
        <v>90</v>
      </c>
      <c r="AB833" s="37">
        <v>12</v>
      </c>
      <c r="AC833" s="37">
        <v>3</v>
      </c>
      <c r="AD833" s="37" t="s">
        <v>1562</v>
      </c>
      <c r="AF833" s="37" t="s">
        <v>1565</v>
      </c>
    </row>
    <row r="834" spans="3:32" x14ac:dyDescent="0.2">
      <c r="G834" s="37" t="s">
        <v>166</v>
      </c>
      <c r="H834" s="37" t="s">
        <v>166</v>
      </c>
      <c r="I834" s="37" t="s">
        <v>166</v>
      </c>
      <c r="J834" s="37" t="s">
        <v>18</v>
      </c>
      <c r="K834" s="37">
        <v>57</v>
      </c>
      <c r="L834" s="37">
        <v>46</v>
      </c>
      <c r="M834" s="37">
        <v>8</v>
      </c>
      <c r="N834" s="37">
        <v>111</v>
      </c>
      <c r="O834" s="37">
        <v>108</v>
      </c>
      <c r="P834" s="37">
        <v>40</v>
      </c>
      <c r="Q834" s="37">
        <v>259</v>
      </c>
      <c r="R834" s="37">
        <v>2091</v>
      </c>
      <c r="T834" s="37" t="s">
        <v>166</v>
      </c>
      <c r="U834" s="37" t="s">
        <v>166</v>
      </c>
      <c r="V834" s="37" t="s">
        <v>166</v>
      </c>
      <c r="W834" s="37" t="s">
        <v>18</v>
      </c>
      <c r="X834" s="37" t="s">
        <v>166</v>
      </c>
      <c r="Y834" s="37" t="s">
        <v>166</v>
      </c>
      <c r="Z834" s="37" t="s">
        <v>24</v>
      </c>
      <c r="AA834" s="37">
        <v>90</v>
      </c>
      <c r="AB834" s="37">
        <v>12</v>
      </c>
      <c r="AC834" s="37">
        <v>3</v>
      </c>
      <c r="AD834" s="37" t="s">
        <v>1562</v>
      </c>
      <c r="AF834" s="37" t="s">
        <v>1566</v>
      </c>
    </row>
    <row r="835" spans="3:32" x14ac:dyDescent="0.2">
      <c r="C835" s="37" t="s">
        <v>24</v>
      </c>
      <c r="D835" s="37">
        <v>91</v>
      </c>
      <c r="E835" s="37">
        <v>9</v>
      </c>
      <c r="F835" s="37" t="s">
        <v>296</v>
      </c>
      <c r="G835" s="37">
        <v>6.1</v>
      </c>
      <c r="H835" s="37" t="s">
        <v>181</v>
      </c>
      <c r="I835" s="37" t="s">
        <v>23</v>
      </c>
      <c r="J835" s="37" t="s">
        <v>17</v>
      </c>
      <c r="K835" s="37">
        <v>28</v>
      </c>
      <c r="L835" s="37">
        <v>58</v>
      </c>
      <c r="M835" s="37">
        <v>16</v>
      </c>
      <c r="N835" s="37">
        <v>102</v>
      </c>
      <c r="O835" s="37">
        <v>122</v>
      </c>
      <c r="P835" s="37">
        <v>30</v>
      </c>
      <c r="Q835" s="37">
        <v>254</v>
      </c>
      <c r="R835" s="37">
        <v>9285</v>
      </c>
      <c r="T835" s="37" t="s">
        <v>181</v>
      </c>
      <c r="U835" s="37" t="s">
        <v>230</v>
      </c>
      <c r="V835" s="37">
        <v>55</v>
      </c>
      <c r="W835" s="37" t="s">
        <v>18</v>
      </c>
      <c r="X835" s="37" t="s">
        <v>190</v>
      </c>
      <c r="Y835" s="37">
        <v>1525</v>
      </c>
      <c r="Z835" s="37" t="s">
        <v>24</v>
      </c>
      <c r="AA835" s="37">
        <v>91</v>
      </c>
      <c r="AB835" s="37">
        <v>9</v>
      </c>
      <c r="AC835" s="37" t="s">
        <v>296</v>
      </c>
      <c r="AD835" s="37" t="s">
        <v>1567</v>
      </c>
      <c r="AF835" s="37" t="s">
        <v>1568</v>
      </c>
    </row>
    <row r="836" spans="3:32" x14ac:dyDescent="0.2">
      <c r="G836" s="37" t="s">
        <v>166</v>
      </c>
      <c r="H836" s="37" t="s">
        <v>166</v>
      </c>
      <c r="I836" s="37" t="s">
        <v>166</v>
      </c>
      <c r="J836" s="37" t="s">
        <v>178</v>
      </c>
      <c r="K836" s="37">
        <v>0</v>
      </c>
      <c r="L836" s="37">
        <v>32</v>
      </c>
      <c r="M836" s="37">
        <v>17</v>
      </c>
      <c r="N836" s="37">
        <v>49</v>
      </c>
      <c r="O836" s="37">
        <v>62</v>
      </c>
      <c r="P836" s="37">
        <v>17</v>
      </c>
      <c r="Q836" s="37">
        <v>128</v>
      </c>
      <c r="R836" s="37">
        <v>26223</v>
      </c>
      <c r="T836" s="37" t="s">
        <v>166</v>
      </c>
      <c r="U836" s="37" t="s">
        <v>166</v>
      </c>
      <c r="V836" s="37" t="s">
        <v>166</v>
      </c>
      <c r="W836" s="37" t="s">
        <v>18</v>
      </c>
      <c r="X836" s="37" t="s">
        <v>166</v>
      </c>
      <c r="Y836" s="37" t="s">
        <v>166</v>
      </c>
      <c r="Z836" s="37" t="s">
        <v>24</v>
      </c>
      <c r="AA836" s="37">
        <v>91</v>
      </c>
      <c r="AB836" s="37">
        <v>9</v>
      </c>
      <c r="AC836" s="37" t="s">
        <v>296</v>
      </c>
      <c r="AD836" s="37" t="s">
        <v>1567</v>
      </c>
      <c r="AF836" s="37" t="s">
        <v>1569</v>
      </c>
    </row>
    <row r="837" spans="3:32" x14ac:dyDescent="0.2">
      <c r="G837" s="37" t="s">
        <v>166</v>
      </c>
      <c r="H837" s="37" t="s">
        <v>166</v>
      </c>
      <c r="I837" s="37" t="s">
        <v>166</v>
      </c>
      <c r="J837" s="37" t="s">
        <v>19</v>
      </c>
      <c r="K837" s="37">
        <v>0</v>
      </c>
      <c r="L837" s="37">
        <v>27</v>
      </c>
      <c r="M837" s="37">
        <v>11</v>
      </c>
      <c r="N837" s="37">
        <v>38</v>
      </c>
      <c r="O837" s="37">
        <v>75</v>
      </c>
      <c r="P837" s="37">
        <v>14</v>
      </c>
      <c r="Q837" s="37">
        <v>127</v>
      </c>
      <c r="R837" s="37">
        <v>1728</v>
      </c>
      <c r="T837" s="37" t="s">
        <v>166</v>
      </c>
      <c r="U837" s="37" t="s">
        <v>166</v>
      </c>
      <c r="V837" s="37" t="s">
        <v>166</v>
      </c>
      <c r="W837" s="37" t="s">
        <v>18</v>
      </c>
      <c r="X837" s="37" t="s">
        <v>166</v>
      </c>
      <c r="Y837" s="37" t="s">
        <v>166</v>
      </c>
      <c r="Z837" s="37" t="s">
        <v>24</v>
      </c>
      <c r="AA837" s="37">
        <v>91</v>
      </c>
      <c r="AB837" s="37">
        <v>9</v>
      </c>
      <c r="AC837" s="37" t="s">
        <v>296</v>
      </c>
      <c r="AD837" s="37" t="s">
        <v>1567</v>
      </c>
      <c r="AF837" s="37" t="s">
        <v>1570</v>
      </c>
    </row>
    <row r="838" spans="3:32" x14ac:dyDescent="0.2">
      <c r="G838" s="37" t="s">
        <v>166</v>
      </c>
      <c r="H838" s="37" t="s">
        <v>166</v>
      </c>
      <c r="I838" s="37" t="s">
        <v>166</v>
      </c>
      <c r="J838" s="37" t="s">
        <v>18</v>
      </c>
      <c r="K838" s="37">
        <v>275</v>
      </c>
      <c r="L838" s="37">
        <v>55</v>
      </c>
      <c r="M838" s="37">
        <v>4</v>
      </c>
      <c r="N838" s="37">
        <v>334</v>
      </c>
      <c r="O838" s="37">
        <v>335</v>
      </c>
      <c r="P838" s="37">
        <v>122</v>
      </c>
      <c r="Q838" s="37">
        <v>791</v>
      </c>
      <c r="R838" s="37">
        <v>7019</v>
      </c>
      <c r="T838" s="37" t="s">
        <v>166</v>
      </c>
      <c r="U838" s="37" t="s">
        <v>166</v>
      </c>
      <c r="V838" s="37" t="s">
        <v>166</v>
      </c>
      <c r="W838" s="37" t="s">
        <v>18</v>
      </c>
      <c r="X838" s="37" t="s">
        <v>166</v>
      </c>
      <c r="Y838" s="37" t="s">
        <v>166</v>
      </c>
      <c r="Z838" s="37" t="s">
        <v>24</v>
      </c>
      <c r="AA838" s="37">
        <v>91</v>
      </c>
      <c r="AB838" s="37">
        <v>9</v>
      </c>
      <c r="AC838" s="37" t="s">
        <v>296</v>
      </c>
      <c r="AD838" s="37" t="s">
        <v>1567</v>
      </c>
      <c r="AF838" s="37" t="s">
        <v>1571</v>
      </c>
    </row>
    <row r="839" spans="3:32" x14ac:dyDescent="0.2">
      <c r="C839" s="37" t="s">
        <v>24</v>
      </c>
      <c r="D839" s="37">
        <v>91</v>
      </c>
      <c r="E839" s="37">
        <v>14</v>
      </c>
      <c r="F839" s="37">
        <v>2</v>
      </c>
      <c r="G839" s="37">
        <v>8.6999999999999993</v>
      </c>
      <c r="H839" s="37" t="s">
        <v>181</v>
      </c>
      <c r="I839" s="37" t="s">
        <v>23</v>
      </c>
      <c r="J839" s="37" t="s">
        <v>17</v>
      </c>
      <c r="K839" s="37">
        <v>28</v>
      </c>
      <c r="L839" s="37">
        <v>58</v>
      </c>
      <c r="M839" s="37">
        <v>16</v>
      </c>
      <c r="N839" s="37">
        <v>102</v>
      </c>
      <c r="O839" s="37">
        <v>122</v>
      </c>
      <c r="P839" s="37">
        <v>30</v>
      </c>
      <c r="Q839" s="37">
        <v>254</v>
      </c>
      <c r="R839" s="37">
        <v>9285</v>
      </c>
      <c r="T839" s="37" t="s">
        <v>181</v>
      </c>
      <c r="U839" s="37" t="s">
        <v>183</v>
      </c>
      <c r="V839" s="37">
        <v>55</v>
      </c>
      <c r="W839" s="37" t="s">
        <v>18</v>
      </c>
      <c r="X839" s="37" t="s">
        <v>190</v>
      </c>
      <c r="Y839" s="37">
        <v>2175</v>
      </c>
      <c r="Z839" s="37" t="s">
        <v>24</v>
      </c>
      <c r="AA839" s="37">
        <v>91</v>
      </c>
      <c r="AB839" s="37">
        <v>14</v>
      </c>
      <c r="AC839" s="37">
        <v>2</v>
      </c>
      <c r="AD839" s="37" t="s">
        <v>1572</v>
      </c>
      <c r="AF839" s="37" t="s">
        <v>1573</v>
      </c>
    </row>
    <row r="840" spans="3:32" x14ac:dyDescent="0.2">
      <c r="G840" s="37" t="s">
        <v>166</v>
      </c>
      <c r="H840" s="37" t="s">
        <v>166</v>
      </c>
      <c r="I840" s="37" t="s">
        <v>166</v>
      </c>
      <c r="J840" s="37" t="s">
        <v>178</v>
      </c>
      <c r="K840" s="37">
        <v>0</v>
      </c>
      <c r="L840" s="37">
        <v>32</v>
      </c>
      <c r="M840" s="37">
        <v>17</v>
      </c>
      <c r="N840" s="37">
        <v>49</v>
      </c>
      <c r="O840" s="37">
        <v>62</v>
      </c>
      <c r="P840" s="37">
        <v>17</v>
      </c>
      <c r="Q840" s="37">
        <v>128</v>
      </c>
      <c r="R840" s="37">
        <v>26223</v>
      </c>
      <c r="T840" s="37" t="s">
        <v>166</v>
      </c>
      <c r="U840" s="37" t="s">
        <v>166</v>
      </c>
      <c r="V840" s="37" t="s">
        <v>166</v>
      </c>
      <c r="W840" s="37" t="s">
        <v>18</v>
      </c>
      <c r="X840" s="37" t="s">
        <v>166</v>
      </c>
      <c r="Y840" s="37" t="s">
        <v>166</v>
      </c>
      <c r="Z840" s="37" t="s">
        <v>24</v>
      </c>
      <c r="AA840" s="37">
        <v>91</v>
      </c>
      <c r="AB840" s="37">
        <v>14</v>
      </c>
      <c r="AC840" s="37">
        <v>2</v>
      </c>
      <c r="AD840" s="37" t="s">
        <v>1572</v>
      </c>
      <c r="AF840" s="37" t="s">
        <v>1574</v>
      </c>
    </row>
    <row r="841" spans="3:32" x14ac:dyDescent="0.2">
      <c r="G841" s="37" t="s">
        <v>166</v>
      </c>
      <c r="H841" s="37" t="s">
        <v>166</v>
      </c>
      <c r="I841" s="37" t="s">
        <v>166</v>
      </c>
      <c r="J841" s="37" t="s">
        <v>19</v>
      </c>
      <c r="K841" s="37">
        <v>35</v>
      </c>
      <c r="L841" s="37">
        <v>72</v>
      </c>
      <c r="M841" s="37">
        <v>11</v>
      </c>
      <c r="N841" s="37">
        <v>118</v>
      </c>
      <c r="O841" s="37">
        <v>200</v>
      </c>
      <c r="P841" s="37">
        <v>47</v>
      </c>
      <c r="Q841" s="37">
        <v>365</v>
      </c>
      <c r="R841" s="37">
        <v>6373</v>
      </c>
      <c r="T841" s="37" t="s">
        <v>166</v>
      </c>
      <c r="U841" s="37" t="s">
        <v>166</v>
      </c>
      <c r="V841" s="37" t="s">
        <v>166</v>
      </c>
      <c r="W841" s="37" t="s">
        <v>18</v>
      </c>
      <c r="X841" s="37" t="s">
        <v>166</v>
      </c>
      <c r="Y841" s="37" t="s">
        <v>166</v>
      </c>
      <c r="Z841" s="37" t="s">
        <v>24</v>
      </c>
      <c r="AA841" s="37">
        <v>91</v>
      </c>
      <c r="AB841" s="37">
        <v>14</v>
      </c>
      <c r="AC841" s="37">
        <v>2</v>
      </c>
      <c r="AD841" s="37" t="s">
        <v>1572</v>
      </c>
      <c r="AF841" s="37" t="s">
        <v>1575</v>
      </c>
    </row>
    <row r="842" spans="3:32" x14ac:dyDescent="0.2">
      <c r="G842" s="37" t="s">
        <v>166</v>
      </c>
      <c r="H842" s="37" t="s">
        <v>166</v>
      </c>
      <c r="I842" s="37" t="s">
        <v>166</v>
      </c>
      <c r="J842" s="37" t="s">
        <v>18</v>
      </c>
      <c r="K842" s="37">
        <v>424</v>
      </c>
      <c r="L842" s="37">
        <v>145</v>
      </c>
      <c r="M842" s="37">
        <v>22</v>
      </c>
      <c r="N842" s="37">
        <v>591</v>
      </c>
      <c r="O842" s="37">
        <v>595</v>
      </c>
      <c r="P842" s="37">
        <v>216</v>
      </c>
      <c r="Q842" s="37">
        <v>1402</v>
      </c>
      <c r="R842" s="37">
        <v>11980</v>
      </c>
      <c r="T842" s="37" t="s">
        <v>166</v>
      </c>
      <c r="U842" s="37" t="s">
        <v>166</v>
      </c>
      <c r="V842" s="37" t="s">
        <v>166</v>
      </c>
      <c r="W842" s="37" t="s">
        <v>18</v>
      </c>
      <c r="X842" s="37" t="s">
        <v>166</v>
      </c>
      <c r="Y842" s="37" t="s">
        <v>166</v>
      </c>
      <c r="Z842" s="37" t="s">
        <v>24</v>
      </c>
      <c r="AA842" s="37">
        <v>91</v>
      </c>
      <c r="AB842" s="37">
        <v>14</v>
      </c>
      <c r="AC842" s="37">
        <v>2</v>
      </c>
      <c r="AD842" s="37" t="s">
        <v>1572</v>
      </c>
      <c r="AF842" s="37" t="s">
        <v>1576</v>
      </c>
    </row>
    <row r="843" spans="3:32" x14ac:dyDescent="0.2">
      <c r="C843" s="37" t="s">
        <v>24</v>
      </c>
      <c r="D843" s="37">
        <v>95</v>
      </c>
      <c r="E843" s="37">
        <v>11</v>
      </c>
      <c r="F843" s="37" t="s">
        <v>296</v>
      </c>
      <c r="G843" s="37">
        <v>3.8</v>
      </c>
      <c r="H843" s="37" t="s">
        <v>181</v>
      </c>
      <c r="I843" s="37" t="s">
        <v>23</v>
      </c>
      <c r="J843" s="37" t="s">
        <v>17</v>
      </c>
      <c r="K843" s="37">
        <v>9</v>
      </c>
      <c r="L843" s="37">
        <v>24</v>
      </c>
      <c r="M843" s="37">
        <v>5</v>
      </c>
      <c r="N843" s="37">
        <v>38</v>
      </c>
      <c r="O843" s="37">
        <v>34</v>
      </c>
      <c r="P843" s="37">
        <v>10</v>
      </c>
      <c r="Q843" s="37">
        <v>82</v>
      </c>
      <c r="R843" s="37">
        <v>3355</v>
      </c>
      <c r="T843" s="37" t="s">
        <v>181</v>
      </c>
      <c r="U843" s="37" t="s">
        <v>195</v>
      </c>
      <c r="V843" s="37">
        <v>55</v>
      </c>
      <c r="W843" s="37" t="s">
        <v>18</v>
      </c>
      <c r="X843" s="37" t="s">
        <v>190</v>
      </c>
      <c r="Y843" s="37">
        <v>912</v>
      </c>
      <c r="Z843" s="37" t="s">
        <v>24</v>
      </c>
      <c r="AA843" s="37">
        <v>95</v>
      </c>
      <c r="AB843" s="37">
        <v>11</v>
      </c>
      <c r="AC843" s="37" t="s">
        <v>296</v>
      </c>
      <c r="AD843" s="37" t="s">
        <v>1577</v>
      </c>
      <c r="AF843" s="37" t="s">
        <v>1578</v>
      </c>
    </row>
    <row r="844" spans="3:32" x14ac:dyDescent="0.2">
      <c r="G844" s="37" t="s">
        <v>166</v>
      </c>
      <c r="H844" s="37" t="s">
        <v>166</v>
      </c>
      <c r="I844" s="37" t="s">
        <v>166</v>
      </c>
      <c r="J844" s="37" t="s">
        <v>19</v>
      </c>
      <c r="K844" s="37">
        <v>7</v>
      </c>
      <c r="L844" s="37">
        <v>14</v>
      </c>
      <c r="M844" s="37">
        <v>3</v>
      </c>
      <c r="N844" s="37">
        <v>24</v>
      </c>
      <c r="O844" s="37">
        <v>49</v>
      </c>
      <c r="P844" s="37">
        <v>11</v>
      </c>
      <c r="Q844" s="37">
        <v>84</v>
      </c>
      <c r="R844" s="37">
        <v>1291</v>
      </c>
      <c r="T844" s="37" t="s">
        <v>166</v>
      </c>
      <c r="U844" s="37" t="s">
        <v>166</v>
      </c>
      <c r="V844" s="37" t="s">
        <v>166</v>
      </c>
      <c r="W844" s="37" t="s">
        <v>18</v>
      </c>
      <c r="X844" s="37" t="s">
        <v>166</v>
      </c>
      <c r="Y844" s="37" t="s">
        <v>166</v>
      </c>
      <c r="Z844" s="37" t="s">
        <v>24</v>
      </c>
      <c r="AA844" s="37">
        <v>95</v>
      </c>
      <c r="AB844" s="37">
        <v>11</v>
      </c>
      <c r="AC844" s="37" t="s">
        <v>296</v>
      </c>
      <c r="AD844" s="37" t="s">
        <v>1577</v>
      </c>
      <c r="AF844" s="37" t="s">
        <v>1579</v>
      </c>
    </row>
    <row r="845" spans="3:32" x14ac:dyDescent="0.2">
      <c r="G845" s="37" t="s">
        <v>166</v>
      </c>
      <c r="H845" s="37" t="s">
        <v>166</v>
      </c>
      <c r="I845" s="37" t="s">
        <v>166</v>
      </c>
      <c r="J845" s="37" t="s">
        <v>18</v>
      </c>
      <c r="K845" s="37">
        <v>195</v>
      </c>
      <c r="L845" s="37">
        <v>74</v>
      </c>
      <c r="M845" s="37">
        <v>13</v>
      </c>
      <c r="N845" s="37">
        <v>282</v>
      </c>
      <c r="O845" s="37">
        <v>262</v>
      </c>
      <c r="P845" s="37">
        <v>97</v>
      </c>
      <c r="Q845" s="37">
        <v>641</v>
      </c>
      <c r="R845" s="37">
        <v>5644</v>
      </c>
      <c r="T845" s="37" t="s">
        <v>166</v>
      </c>
      <c r="U845" s="37" t="s">
        <v>166</v>
      </c>
      <c r="V845" s="37" t="s">
        <v>166</v>
      </c>
      <c r="W845" s="37" t="s">
        <v>18</v>
      </c>
      <c r="X845" s="37" t="s">
        <v>166</v>
      </c>
      <c r="Y845" s="37" t="s">
        <v>166</v>
      </c>
      <c r="Z845" s="37" t="s">
        <v>24</v>
      </c>
      <c r="AA845" s="37">
        <v>95</v>
      </c>
      <c r="AB845" s="37">
        <v>11</v>
      </c>
      <c r="AC845" s="37" t="s">
        <v>296</v>
      </c>
      <c r="AD845" s="37" t="s">
        <v>1577</v>
      </c>
      <c r="AF845" s="37" t="s">
        <v>1580</v>
      </c>
    </row>
    <row r="846" spans="3:32" x14ac:dyDescent="0.2">
      <c r="C846" s="37" t="s">
        <v>24</v>
      </c>
      <c r="D846" s="37">
        <v>96</v>
      </c>
      <c r="E846" s="37">
        <v>5</v>
      </c>
      <c r="F846" s="37" t="s">
        <v>296</v>
      </c>
      <c r="G846" s="37">
        <v>5.6</v>
      </c>
      <c r="H846" s="37" t="s">
        <v>181</v>
      </c>
      <c r="I846" s="37" t="s">
        <v>23</v>
      </c>
      <c r="J846" s="37" t="s">
        <v>17</v>
      </c>
      <c r="K846" s="37">
        <v>14</v>
      </c>
      <c r="L846" s="37">
        <v>27</v>
      </c>
      <c r="M846" s="37">
        <v>5</v>
      </c>
      <c r="N846" s="37">
        <v>46</v>
      </c>
      <c r="O846" s="37">
        <v>46</v>
      </c>
      <c r="P846" s="37">
        <v>12</v>
      </c>
      <c r="Q846" s="37">
        <v>104</v>
      </c>
      <c r="R846" s="37">
        <v>4236</v>
      </c>
      <c r="T846" s="37" t="s">
        <v>181</v>
      </c>
      <c r="U846" s="37" t="s">
        <v>332</v>
      </c>
      <c r="V846" s="37">
        <v>55</v>
      </c>
      <c r="W846" s="37" t="s">
        <v>18</v>
      </c>
      <c r="X846" s="37" t="s">
        <v>190</v>
      </c>
      <c r="Y846" s="37">
        <v>1232</v>
      </c>
      <c r="Z846" s="37" t="s">
        <v>24</v>
      </c>
      <c r="AA846" s="37">
        <v>96</v>
      </c>
      <c r="AB846" s="37">
        <v>5</v>
      </c>
      <c r="AC846" s="37" t="s">
        <v>296</v>
      </c>
      <c r="AD846" s="37" t="s">
        <v>1581</v>
      </c>
      <c r="AF846" s="37" t="s">
        <v>1582</v>
      </c>
    </row>
    <row r="847" spans="3:32" x14ac:dyDescent="0.2">
      <c r="G847" s="37" t="s">
        <v>166</v>
      </c>
      <c r="H847" s="37" t="s">
        <v>166</v>
      </c>
      <c r="I847" s="37" t="s">
        <v>166</v>
      </c>
      <c r="J847" s="37" t="s">
        <v>178</v>
      </c>
      <c r="K847" s="37">
        <v>0</v>
      </c>
      <c r="L847" s="37">
        <v>28</v>
      </c>
      <c r="M847" s="37">
        <v>10</v>
      </c>
      <c r="N847" s="37">
        <v>38</v>
      </c>
      <c r="O847" s="37">
        <v>47</v>
      </c>
      <c r="P847" s="37">
        <v>13</v>
      </c>
      <c r="Q847" s="37">
        <v>98</v>
      </c>
      <c r="R847" s="37">
        <v>21140</v>
      </c>
      <c r="T847" s="37" t="s">
        <v>166</v>
      </c>
      <c r="U847" s="37" t="s">
        <v>166</v>
      </c>
      <c r="V847" s="37" t="s">
        <v>166</v>
      </c>
      <c r="W847" s="37" t="s">
        <v>18</v>
      </c>
      <c r="X847" s="37" t="s">
        <v>166</v>
      </c>
      <c r="Y847" s="37" t="s">
        <v>166</v>
      </c>
      <c r="Z847" s="37" t="s">
        <v>24</v>
      </c>
      <c r="AA847" s="37">
        <v>96</v>
      </c>
      <c r="AB847" s="37">
        <v>5</v>
      </c>
      <c r="AC847" s="37" t="s">
        <v>296</v>
      </c>
      <c r="AD847" s="37" t="s">
        <v>1581</v>
      </c>
      <c r="AF847" s="37" t="s">
        <v>1583</v>
      </c>
    </row>
    <row r="848" spans="3:32" x14ac:dyDescent="0.2">
      <c r="G848" s="37" t="s">
        <v>166</v>
      </c>
      <c r="H848" s="37" t="s">
        <v>166</v>
      </c>
      <c r="I848" s="37" t="s">
        <v>166</v>
      </c>
      <c r="J848" s="37" t="s">
        <v>268</v>
      </c>
      <c r="K848" s="37">
        <v>0</v>
      </c>
      <c r="L848" s="37">
        <v>3</v>
      </c>
      <c r="M848" s="37">
        <v>5</v>
      </c>
      <c r="N848" s="37">
        <v>8</v>
      </c>
      <c r="O848" s="37">
        <v>9</v>
      </c>
      <c r="P848" s="37">
        <v>3</v>
      </c>
      <c r="Q848" s="37">
        <v>20</v>
      </c>
      <c r="R848" s="37">
        <v>3337</v>
      </c>
      <c r="T848" s="37" t="s">
        <v>166</v>
      </c>
      <c r="U848" s="37" t="s">
        <v>166</v>
      </c>
      <c r="V848" s="37" t="s">
        <v>166</v>
      </c>
      <c r="W848" s="37" t="s">
        <v>18</v>
      </c>
      <c r="X848" s="37" t="s">
        <v>166</v>
      </c>
      <c r="Y848" s="37" t="s">
        <v>166</v>
      </c>
      <c r="Z848" s="37" t="s">
        <v>24</v>
      </c>
      <c r="AA848" s="37">
        <v>96</v>
      </c>
      <c r="AB848" s="37">
        <v>5</v>
      </c>
      <c r="AC848" s="37" t="s">
        <v>296</v>
      </c>
      <c r="AD848" s="37" t="s">
        <v>1581</v>
      </c>
      <c r="AF848" s="37" t="s">
        <v>1584</v>
      </c>
    </row>
    <row r="849" spans="3:32" x14ac:dyDescent="0.2">
      <c r="G849" s="37" t="s">
        <v>166</v>
      </c>
      <c r="H849" s="37" t="s">
        <v>166</v>
      </c>
      <c r="I849" s="37" t="s">
        <v>166</v>
      </c>
      <c r="J849" s="37" t="s">
        <v>19</v>
      </c>
      <c r="K849" s="37">
        <v>8</v>
      </c>
      <c r="L849" s="37">
        <v>50</v>
      </c>
      <c r="M849" s="37">
        <v>8</v>
      </c>
      <c r="N849" s="37">
        <v>66</v>
      </c>
      <c r="O849" s="37">
        <v>119</v>
      </c>
      <c r="P849" s="37">
        <v>26</v>
      </c>
      <c r="Q849" s="37">
        <v>211</v>
      </c>
      <c r="R849" s="37">
        <v>3326</v>
      </c>
      <c r="T849" s="37" t="s">
        <v>166</v>
      </c>
      <c r="U849" s="37" t="s">
        <v>166</v>
      </c>
      <c r="V849" s="37" t="s">
        <v>166</v>
      </c>
      <c r="W849" s="37" t="s">
        <v>18</v>
      </c>
      <c r="X849" s="37" t="s">
        <v>166</v>
      </c>
      <c r="Y849" s="37" t="s">
        <v>166</v>
      </c>
      <c r="Z849" s="37" t="s">
        <v>24</v>
      </c>
      <c r="AA849" s="37">
        <v>96</v>
      </c>
      <c r="AB849" s="37">
        <v>5</v>
      </c>
      <c r="AC849" s="37" t="s">
        <v>296</v>
      </c>
      <c r="AD849" s="37" t="s">
        <v>1581</v>
      </c>
      <c r="AF849" s="37" t="s">
        <v>1585</v>
      </c>
    </row>
    <row r="850" spans="3:32" x14ac:dyDescent="0.2">
      <c r="G850" s="37" t="s">
        <v>166</v>
      </c>
      <c r="H850" s="37" t="s">
        <v>166</v>
      </c>
      <c r="I850" s="37" t="s">
        <v>166</v>
      </c>
      <c r="J850" s="37" t="s">
        <v>18</v>
      </c>
      <c r="K850" s="37">
        <v>195</v>
      </c>
      <c r="L850" s="37">
        <v>74</v>
      </c>
      <c r="M850" s="37">
        <v>13</v>
      </c>
      <c r="N850" s="37">
        <v>282</v>
      </c>
      <c r="O850" s="37">
        <v>262</v>
      </c>
      <c r="P850" s="37">
        <v>97</v>
      </c>
      <c r="Q850" s="37">
        <v>641</v>
      </c>
      <c r="R850" s="37">
        <v>5644</v>
      </c>
      <c r="T850" s="37" t="s">
        <v>166</v>
      </c>
      <c r="U850" s="37" t="s">
        <v>166</v>
      </c>
      <c r="V850" s="37" t="s">
        <v>166</v>
      </c>
      <c r="W850" s="37" t="s">
        <v>18</v>
      </c>
      <c r="X850" s="37" t="s">
        <v>166</v>
      </c>
      <c r="Y850" s="37" t="s">
        <v>166</v>
      </c>
      <c r="Z850" s="37" t="s">
        <v>24</v>
      </c>
      <c r="AA850" s="37">
        <v>96</v>
      </c>
      <c r="AB850" s="37">
        <v>5</v>
      </c>
      <c r="AC850" s="37" t="s">
        <v>296</v>
      </c>
      <c r="AD850" s="37" t="s">
        <v>1581</v>
      </c>
      <c r="AF850" s="37" t="s">
        <v>1586</v>
      </c>
    </row>
    <row r="851" spans="3:32" x14ac:dyDescent="0.2">
      <c r="C851" s="37" t="s">
        <v>24</v>
      </c>
      <c r="D851" s="37">
        <v>97</v>
      </c>
      <c r="E851" s="37">
        <v>3</v>
      </c>
      <c r="F851" s="37" t="s">
        <v>296</v>
      </c>
      <c r="G851" s="37">
        <v>1.7</v>
      </c>
      <c r="H851" s="37" t="s">
        <v>181</v>
      </c>
      <c r="I851" s="37" t="s">
        <v>23</v>
      </c>
      <c r="J851" s="37" t="s">
        <v>17</v>
      </c>
      <c r="K851" s="37">
        <v>1</v>
      </c>
      <c r="L851" s="37">
        <v>3</v>
      </c>
      <c r="M851" s="37">
        <v>1</v>
      </c>
      <c r="N851" s="37">
        <v>5</v>
      </c>
      <c r="O851" s="37">
        <v>4</v>
      </c>
      <c r="P851" s="37">
        <v>1</v>
      </c>
      <c r="Q851" s="37">
        <v>10</v>
      </c>
      <c r="R851" s="37">
        <v>424</v>
      </c>
      <c r="T851" s="37" t="s">
        <v>181</v>
      </c>
      <c r="U851" s="37" t="s">
        <v>242</v>
      </c>
      <c r="V851" s="37">
        <v>45</v>
      </c>
      <c r="W851" s="37" t="s">
        <v>18</v>
      </c>
      <c r="X851" s="37" t="s">
        <v>190</v>
      </c>
      <c r="Y851" s="37">
        <v>323</v>
      </c>
      <c r="Z851" s="37" t="s">
        <v>24</v>
      </c>
      <c r="AA851" s="37">
        <v>97</v>
      </c>
      <c r="AB851" s="37">
        <v>3</v>
      </c>
      <c r="AC851" s="37" t="s">
        <v>296</v>
      </c>
      <c r="AD851" s="37" t="s">
        <v>1587</v>
      </c>
      <c r="AF851" s="37" t="s">
        <v>1588</v>
      </c>
    </row>
    <row r="852" spans="3:32" x14ac:dyDescent="0.2">
      <c r="G852" s="37" t="s">
        <v>166</v>
      </c>
      <c r="H852" s="37" t="s">
        <v>166</v>
      </c>
      <c r="I852" s="37" t="s">
        <v>166</v>
      </c>
      <c r="J852" s="37" t="s">
        <v>19</v>
      </c>
      <c r="K852" s="37">
        <v>5</v>
      </c>
      <c r="L852" s="37">
        <v>16</v>
      </c>
      <c r="M852" s="37">
        <v>2</v>
      </c>
      <c r="N852" s="37">
        <v>23</v>
      </c>
      <c r="O852" s="37">
        <v>46</v>
      </c>
      <c r="P852" s="37">
        <v>10</v>
      </c>
      <c r="Q852" s="37">
        <v>79</v>
      </c>
      <c r="R852" s="37">
        <v>1219</v>
      </c>
      <c r="T852" s="37" t="s">
        <v>166</v>
      </c>
      <c r="U852" s="37" t="s">
        <v>166</v>
      </c>
      <c r="V852" s="37" t="s">
        <v>166</v>
      </c>
      <c r="W852" s="37" t="s">
        <v>18</v>
      </c>
      <c r="X852" s="37" t="s">
        <v>166</v>
      </c>
      <c r="Y852" s="37" t="s">
        <v>166</v>
      </c>
      <c r="Z852" s="37" t="s">
        <v>24</v>
      </c>
      <c r="AA852" s="37">
        <v>97</v>
      </c>
      <c r="AB852" s="37">
        <v>3</v>
      </c>
      <c r="AC852" s="37" t="s">
        <v>296</v>
      </c>
      <c r="AD852" s="37" t="s">
        <v>1587</v>
      </c>
      <c r="AF852" s="37" t="s">
        <v>1589</v>
      </c>
    </row>
    <row r="853" spans="3:32" x14ac:dyDescent="0.2">
      <c r="G853" s="37" t="s">
        <v>166</v>
      </c>
      <c r="H853" s="37" t="s">
        <v>166</v>
      </c>
      <c r="I853" s="37" t="s">
        <v>166</v>
      </c>
      <c r="J853" s="37" t="s">
        <v>18</v>
      </c>
      <c r="K853" s="37">
        <v>30</v>
      </c>
      <c r="L853" s="37">
        <v>46</v>
      </c>
      <c r="M853" s="37">
        <v>4</v>
      </c>
      <c r="N853" s="37">
        <v>80</v>
      </c>
      <c r="O853" s="37">
        <v>84</v>
      </c>
      <c r="P853" s="37">
        <v>31</v>
      </c>
      <c r="Q853" s="37">
        <v>195</v>
      </c>
      <c r="R853" s="37">
        <v>1484</v>
      </c>
      <c r="T853" s="37" t="s">
        <v>166</v>
      </c>
      <c r="U853" s="37" t="s">
        <v>166</v>
      </c>
      <c r="V853" s="37" t="s">
        <v>166</v>
      </c>
      <c r="W853" s="37" t="s">
        <v>18</v>
      </c>
      <c r="X853" s="37" t="s">
        <v>166</v>
      </c>
      <c r="Y853" s="37" t="s">
        <v>166</v>
      </c>
      <c r="Z853" s="37" t="s">
        <v>24</v>
      </c>
      <c r="AA853" s="37">
        <v>97</v>
      </c>
      <c r="AB853" s="37">
        <v>3</v>
      </c>
      <c r="AC853" s="37" t="s">
        <v>296</v>
      </c>
      <c r="AD853" s="37" t="s">
        <v>1587</v>
      </c>
      <c r="AF853" s="37" t="s">
        <v>1590</v>
      </c>
    </row>
    <row r="854" spans="3:32" x14ac:dyDescent="0.2">
      <c r="C854" s="37" t="s">
        <v>24</v>
      </c>
      <c r="D854" s="37">
        <v>97</v>
      </c>
      <c r="E854" s="37">
        <v>11</v>
      </c>
      <c r="F854" s="37">
        <v>2</v>
      </c>
      <c r="G854" s="37">
        <v>1.7</v>
      </c>
      <c r="H854" s="37" t="s">
        <v>181</v>
      </c>
      <c r="I854" s="37" t="s">
        <v>23</v>
      </c>
      <c r="J854" s="37" t="s">
        <v>17</v>
      </c>
      <c r="K854" s="37">
        <v>0</v>
      </c>
      <c r="L854" s="37">
        <v>0</v>
      </c>
      <c r="M854" s="37">
        <v>0</v>
      </c>
      <c r="N854" s="37">
        <v>0</v>
      </c>
      <c r="O854" s="37">
        <v>0</v>
      </c>
      <c r="P854" s="37">
        <v>0</v>
      </c>
      <c r="Q854" s="37">
        <v>0</v>
      </c>
      <c r="R854" s="37">
        <v>0</v>
      </c>
      <c r="T854" s="37" t="s">
        <v>181</v>
      </c>
      <c r="U854" s="37" t="s">
        <v>211</v>
      </c>
      <c r="V854" s="37">
        <v>55</v>
      </c>
      <c r="W854" s="37" t="s">
        <v>18</v>
      </c>
      <c r="X854" s="37" t="s">
        <v>190</v>
      </c>
      <c r="Y854" s="37">
        <v>510</v>
      </c>
      <c r="Z854" s="37" t="s">
        <v>24</v>
      </c>
      <c r="AA854" s="37">
        <v>97</v>
      </c>
      <c r="AB854" s="37">
        <v>11</v>
      </c>
      <c r="AC854" s="37">
        <v>2</v>
      </c>
      <c r="AD854" s="37" t="s">
        <v>1591</v>
      </c>
      <c r="AF854" s="37" t="s">
        <v>1592</v>
      </c>
    </row>
    <row r="855" spans="3:32" x14ac:dyDescent="0.2">
      <c r="G855" s="37" t="s">
        <v>166</v>
      </c>
      <c r="H855" s="37" t="s">
        <v>166</v>
      </c>
      <c r="I855" s="37" t="s">
        <v>166</v>
      </c>
      <c r="J855" s="37" t="s">
        <v>18</v>
      </c>
      <c r="K855" s="37">
        <v>119</v>
      </c>
      <c r="L855" s="37">
        <v>46</v>
      </c>
      <c r="M855" s="37">
        <v>4</v>
      </c>
      <c r="N855" s="37">
        <v>169</v>
      </c>
      <c r="O855" s="37">
        <v>212</v>
      </c>
      <c r="P855" s="37">
        <v>74</v>
      </c>
      <c r="Q855" s="37">
        <v>455</v>
      </c>
      <c r="R855" s="37">
        <v>3456</v>
      </c>
      <c r="T855" s="37" t="s">
        <v>166</v>
      </c>
      <c r="U855" s="37" t="s">
        <v>166</v>
      </c>
      <c r="V855" s="37" t="s">
        <v>166</v>
      </c>
      <c r="W855" s="37" t="s">
        <v>18</v>
      </c>
      <c r="X855" s="37" t="s">
        <v>166</v>
      </c>
      <c r="Y855" s="37" t="s">
        <v>166</v>
      </c>
      <c r="Z855" s="37" t="s">
        <v>24</v>
      </c>
      <c r="AA855" s="37">
        <v>97</v>
      </c>
      <c r="AB855" s="37">
        <v>11</v>
      </c>
      <c r="AC855" s="37">
        <v>2</v>
      </c>
      <c r="AD855" s="37" t="s">
        <v>1591</v>
      </c>
      <c r="AF855" s="37" t="s">
        <v>1593</v>
      </c>
    </row>
    <row r="856" spans="3:32" x14ac:dyDescent="0.2">
      <c r="C856" s="37" t="s">
        <v>24</v>
      </c>
      <c r="D856" s="37">
        <v>99</v>
      </c>
      <c r="E856" s="37">
        <v>5</v>
      </c>
      <c r="F856" s="37" t="s">
        <v>296</v>
      </c>
      <c r="G856" s="37">
        <v>2.5</v>
      </c>
      <c r="H856" s="37" t="s">
        <v>181</v>
      </c>
      <c r="I856" s="37" t="s">
        <v>23</v>
      </c>
      <c r="J856" s="37" t="s">
        <v>17</v>
      </c>
      <c r="K856" s="37">
        <v>6</v>
      </c>
      <c r="L856" s="37">
        <v>21</v>
      </c>
      <c r="M856" s="37">
        <v>7</v>
      </c>
      <c r="N856" s="37">
        <v>34</v>
      </c>
      <c r="O856" s="37">
        <v>40</v>
      </c>
      <c r="P856" s="37">
        <v>9</v>
      </c>
      <c r="Q856" s="37">
        <v>83</v>
      </c>
      <c r="R856" s="37">
        <v>2874</v>
      </c>
      <c r="T856" s="37" t="s">
        <v>181</v>
      </c>
      <c r="U856" s="37" t="s">
        <v>292</v>
      </c>
      <c r="V856" s="37">
        <v>45</v>
      </c>
      <c r="W856" s="37" t="s">
        <v>18</v>
      </c>
      <c r="X856" s="37" t="s">
        <v>190</v>
      </c>
      <c r="Y856" s="37">
        <v>500</v>
      </c>
      <c r="Z856" s="37" t="s">
        <v>24</v>
      </c>
      <c r="AA856" s="37">
        <v>99</v>
      </c>
      <c r="AB856" s="37">
        <v>5</v>
      </c>
      <c r="AC856" s="37" t="s">
        <v>296</v>
      </c>
      <c r="AD856" s="37" t="s">
        <v>1594</v>
      </c>
      <c r="AF856" s="37" t="s">
        <v>1595</v>
      </c>
    </row>
    <row r="857" spans="3:32" x14ac:dyDescent="0.2">
      <c r="G857" s="37" t="s">
        <v>166</v>
      </c>
      <c r="H857" s="37" t="s">
        <v>166</v>
      </c>
      <c r="I857" s="37" t="s">
        <v>166</v>
      </c>
      <c r="J857" s="37" t="s">
        <v>19</v>
      </c>
      <c r="K857" s="37">
        <v>1</v>
      </c>
      <c r="L857" s="37">
        <v>22</v>
      </c>
      <c r="M857" s="37">
        <v>6</v>
      </c>
      <c r="N857" s="37">
        <v>29</v>
      </c>
      <c r="O857" s="37">
        <v>45</v>
      </c>
      <c r="P857" s="37">
        <v>10</v>
      </c>
      <c r="Q857" s="37">
        <v>84</v>
      </c>
      <c r="R857" s="37">
        <v>1379</v>
      </c>
      <c r="T857" s="37" t="s">
        <v>166</v>
      </c>
      <c r="U857" s="37" t="s">
        <v>166</v>
      </c>
      <c r="V857" s="37" t="s">
        <v>166</v>
      </c>
      <c r="W857" s="37" t="s">
        <v>18</v>
      </c>
      <c r="X857" s="37" t="s">
        <v>166</v>
      </c>
      <c r="Y857" s="37" t="s">
        <v>166</v>
      </c>
      <c r="Z857" s="37" t="s">
        <v>24</v>
      </c>
      <c r="AA857" s="37">
        <v>99</v>
      </c>
      <c r="AB857" s="37">
        <v>5</v>
      </c>
      <c r="AC857" s="37" t="s">
        <v>296</v>
      </c>
      <c r="AD857" s="37" t="s">
        <v>1594</v>
      </c>
      <c r="AF857" s="37" t="s">
        <v>1596</v>
      </c>
    </row>
    <row r="858" spans="3:32" x14ac:dyDescent="0.2">
      <c r="G858" s="37" t="s">
        <v>166</v>
      </c>
      <c r="H858" s="37" t="s">
        <v>166</v>
      </c>
      <c r="I858" s="37" t="s">
        <v>166</v>
      </c>
      <c r="J858" s="37" t="s">
        <v>18</v>
      </c>
      <c r="K858" s="37">
        <v>55</v>
      </c>
      <c r="L858" s="37">
        <v>46</v>
      </c>
      <c r="M858" s="37">
        <v>4</v>
      </c>
      <c r="N858" s="37">
        <v>105</v>
      </c>
      <c r="O858" s="37">
        <v>117</v>
      </c>
      <c r="P858" s="37">
        <v>42</v>
      </c>
      <c r="Q858" s="37">
        <v>264</v>
      </c>
      <c r="R858" s="37">
        <v>2036</v>
      </c>
      <c r="T858" s="37" t="s">
        <v>166</v>
      </c>
      <c r="U858" s="37" t="s">
        <v>166</v>
      </c>
      <c r="V858" s="37" t="s">
        <v>166</v>
      </c>
      <c r="W858" s="37" t="s">
        <v>18</v>
      </c>
      <c r="X858" s="37" t="s">
        <v>166</v>
      </c>
      <c r="Y858" s="37" t="s">
        <v>166</v>
      </c>
      <c r="Z858" s="37" t="s">
        <v>24</v>
      </c>
      <c r="AA858" s="37">
        <v>99</v>
      </c>
      <c r="AB858" s="37">
        <v>5</v>
      </c>
      <c r="AC858" s="37" t="s">
        <v>296</v>
      </c>
      <c r="AD858" s="37" t="s">
        <v>1594</v>
      </c>
      <c r="AF858" s="37" t="s">
        <v>1597</v>
      </c>
    </row>
    <row r="859" spans="3:32" x14ac:dyDescent="0.2">
      <c r="C859" s="37" t="s">
        <v>24</v>
      </c>
      <c r="D859" s="37">
        <v>102</v>
      </c>
      <c r="E859" s="37">
        <v>7</v>
      </c>
      <c r="F859" s="37" t="s">
        <v>296</v>
      </c>
      <c r="G859" s="37">
        <v>3.3</v>
      </c>
      <c r="H859" s="37" t="s">
        <v>181</v>
      </c>
      <c r="I859" s="37" t="s">
        <v>23</v>
      </c>
      <c r="J859" s="37" t="s">
        <v>17</v>
      </c>
      <c r="K859" s="37">
        <v>4</v>
      </c>
      <c r="L859" s="37">
        <v>12</v>
      </c>
      <c r="M859" s="37">
        <v>7</v>
      </c>
      <c r="N859" s="37">
        <v>23</v>
      </c>
      <c r="O859" s="37">
        <v>31</v>
      </c>
      <c r="P859" s="37">
        <v>7</v>
      </c>
      <c r="Q859" s="37">
        <v>61</v>
      </c>
      <c r="R859" s="37">
        <v>1828</v>
      </c>
      <c r="T859" s="37" t="s">
        <v>181</v>
      </c>
      <c r="U859" s="37" t="s">
        <v>370</v>
      </c>
      <c r="V859" s="37">
        <v>50</v>
      </c>
      <c r="W859" s="37" t="s">
        <v>18</v>
      </c>
      <c r="X859" s="37" t="s">
        <v>190</v>
      </c>
      <c r="Y859" s="37">
        <v>627</v>
      </c>
      <c r="Z859" s="37" t="s">
        <v>24</v>
      </c>
      <c r="AA859" s="37">
        <v>102</v>
      </c>
      <c r="AB859" s="37">
        <v>7</v>
      </c>
      <c r="AC859" s="37" t="s">
        <v>296</v>
      </c>
      <c r="AD859" s="37" t="s">
        <v>1598</v>
      </c>
      <c r="AF859" s="37" t="s">
        <v>1599</v>
      </c>
    </row>
    <row r="860" spans="3:32" x14ac:dyDescent="0.2">
      <c r="G860" s="37" t="s">
        <v>166</v>
      </c>
      <c r="H860" s="37" t="s">
        <v>166</v>
      </c>
      <c r="I860" s="37" t="s">
        <v>166</v>
      </c>
      <c r="J860" s="37" t="s">
        <v>178</v>
      </c>
      <c r="K860" s="37">
        <v>0</v>
      </c>
      <c r="L860" s="37">
        <v>39</v>
      </c>
      <c r="M860" s="37">
        <v>10</v>
      </c>
      <c r="N860" s="37">
        <v>49</v>
      </c>
      <c r="O860" s="37">
        <v>47</v>
      </c>
      <c r="P860" s="37">
        <v>16</v>
      </c>
      <c r="Q860" s="37">
        <v>112</v>
      </c>
      <c r="R860" s="37">
        <v>27537</v>
      </c>
      <c r="T860" s="37" t="s">
        <v>166</v>
      </c>
      <c r="U860" s="37" t="s">
        <v>166</v>
      </c>
      <c r="V860" s="37" t="s">
        <v>166</v>
      </c>
      <c r="W860" s="37" t="s">
        <v>18</v>
      </c>
      <c r="X860" s="37" t="s">
        <v>166</v>
      </c>
      <c r="Y860" s="37" t="s">
        <v>166</v>
      </c>
      <c r="Z860" s="37" t="s">
        <v>24</v>
      </c>
      <c r="AA860" s="37">
        <v>102</v>
      </c>
      <c r="AB860" s="37">
        <v>7</v>
      </c>
      <c r="AC860" s="37" t="s">
        <v>296</v>
      </c>
      <c r="AD860" s="37" t="s">
        <v>1598</v>
      </c>
      <c r="AF860" s="37" t="s">
        <v>1600</v>
      </c>
    </row>
    <row r="861" spans="3:32" x14ac:dyDescent="0.2">
      <c r="G861" s="37" t="s">
        <v>166</v>
      </c>
      <c r="H861" s="37" t="s">
        <v>166</v>
      </c>
      <c r="I861" s="37" t="s">
        <v>166</v>
      </c>
      <c r="J861" s="37" t="s">
        <v>268</v>
      </c>
      <c r="K861" s="37">
        <v>0</v>
      </c>
      <c r="L861" s="37">
        <v>16</v>
      </c>
      <c r="M861" s="37">
        <v>9</v>
      </c>
      <c r="N861" s="37">
        <v>25</v>
      </c>
      <c r="O861" s="37">
        <v>26</v>
      </c>
      <c r="P861" s="37">
        <v>7</v>
      </c>
      <c r="Q861" s="37">
        <v>58</v>
      </c>
      <c r="R861" s="37">
        <v>13312</v>
      </c>
      <c r="T861" s="37" t="s">
        <v>166</v>
      </c>
      <c r="U861" s="37" t="s">
        <v>166</v>
      </c>
      <c r="V861" s="37" t="s">
        <v>166</v>
      </c>
      <c r="W861" s="37" t="s">
        <v>18</v>
      </c>
      <c r="X861" s="37" t="s">
        <v>166</v>
      </c>
      <c r="Y861" s="37" t="s">
        <v>166</v>
      </c>
      <c r="Z861" s="37" t="s">
        <v>24</v>
      </c>
      <c r="AA861" s="37">
        <v>102</v>
      </c>
      <c r="AB861" s="37">
        <v>7</v>
      </c>
      <c r="AC861" s="37" t="s">
        <v>296</v>
      </c>
      <c r="AD861" s="37" t="s">
        <v>1598</v>
      </c>
      <c r="AF861" s="37" t="s">
        <v>1601</v>
      </c>
    </row>
    <row r="862" spans="3:32" x14ac:dyDescent="0.2">
      <c r="G862" s="37" t="s">
        <v>166</v>
      </c>
      <c r="H862" s="37" t="s">
        <v>166</v>
      </c>
      <c r="I862" s="37" t="s">
        <v>166</v>
      </c>
      <c r="J862" s="37" t="s">
        <v>19</v>
      </c>
      <c r="K862" s="37">
        <v>4</v>
      </c>
      <c r="L862" s="37">
        <v>28</v>
      </c>
      <c r="M862" s="37">
        <v>6</v>
      </c>
      <c r="N862" s="37">
        <v>38</v>
      </c>
      <c r="O862" s="37">
        <v>55</v>
      </c>
      <c r="P862" s="37">
        <v>13</v>
      </c>
      <c r="Q862" s="37">
        <v>106</v>
      </c>
      <c r="R862" s="37">
        <v>1867</v>
      </c>
      <c r="T862" s="37" t="s">
        <v>166</v>
      </c>
      <c r="U862" s="37" t="s">
        <v>166</v>
      </c>
      <c r="V862" s="37" t="s">
        <v>166</v>
      </c>
      <c r="W862" s="37" t="s">
        <v>18</v>
      </c>
      <c r="X862" s="37" t="s">
        <v>166</v>
      </c>
      <c r="Y862" s="37" t="s">
        <v>166</v>
      </c>
      <c r="Z862" s="37" t="s">
        <v>24</v>
      </c>
      <c r="AA862" s="37">
        <v>102</v>
      </c>
      <c r="AB862" s="37">
        <v>7</v>
      </c>
      <c r="AC862" s="37" t="s">
        <v>296</v>
      </c>
      <c r="AD862" s="37" t="s">
        <v>1598</v>
      </c>
      <c r="AF862" s="37" t="s">
        <v>1602</v>
      </c>
    </row>
    <row r="863" spans="3:32" x14ac:dyDescent="0.2">
      <c r="G863" s="37" t="s">
        <v>166</v>
      </c>
      <c r="H863" s="37" t="s">
        <v>166</v>
      </c>
      <c r="I863" s="37" t="s">
        <v>166</v>
      </c>
      <c r="J863" s="37" t="s">
        <v>18</v>
      </c>
      <c r="K863" s="37">
        <v>33</v>
      </c>
      <c r="L863" s="37">
        <v>49</v>
      </c>
      <c r="M863" s="37">
        <v>4</v>
      </c>
      <c r="N863" s="37">
        <v>86</v>
      </c>
      <c r="O863" s="37">
        <v>100</v>
      </c>
      <c r="P863" s="37">
        <v>35</v>
      </c>
      <c r="Q863" s="37">
        <v>221</v>
      </c>
      <c r="R863" s="37">
        <v>1590</v>
      </c>
      <c r="T863" s="37" t="s">
        <v>166</v>
      </c>
      <c r="U863" s="37" t="s">
        <v>166</v>
      </c>
      <c r="V863" s="37" t="s">
        <v>166</v>
      </c>
      <c r="W863" s="37" t="s">
        <v>18</v>
      </c>
      <c r="X863" s="37" t="s">
        <v>166</v>
      </c>
      <c r="Y863" s="37" t="s">
        <v>166</v>
      </c>
      <c r="Z863" s="37" t="s">
        <v>24</v>
      </c>
      <c r="AA863" s="37">
        <v>102</v>
      </c>
      <c r="AB863" s="37">
        <v>7</v>
      </c>
      <c r="AC863" s="37" t="s">
        <v>296</v>
      </c>
      <c r="AD863" s="37" t="s">
        <v>1598</v>
      </c>
      <c r="AF863" s="37" t="s">
        <v>1603</v>
      </c>
    </row>
    <row r="864" spans="3:32" x14ac:dyDescent="0.2">
      <c r="C864" s="37" t="s">
        <v>24</v>
      </c>
      <c r="D864" s="37">
        <v>104</v>
      </c>
      <c r="E864" s="37">
        <v>8</v>
      </c>
      <c r="F864" s="37" t="s">
        <v>296</v>
      </c>
      <c r="G864" s="37">
        <v>1.7</v>
      </c>
      <c r="H864" s="37" t="s">
        <v>181</v>
      </c>
      <c r="I864" s="37" t="s">
        <v>23</v>
      </c>
      <c r="J864" s="37" t="s">
        <v>17</v>
      </c>
      <c r="K864" s="37">
        <v>0</v>
      </c>
      <c r="L864" s="37">
        <v>1</v>
      </c>
      <c r="M864" s="37">
        <v>1</v>
      </c>
      <c r="N864" s="37">
        <v>2</v>
      </c>
      <c r="O864" s="37">
        <v>3</v>
      </c>
      <c r="P864" s="37">
        <v>1</v>
      </c>
      <c r="Q864" s="37">
        <v>6</v>
      </c>
      <c r="R864" s="37">
        <v>183</v>
      </c>
      <c r="T864" s="37" t="s">
        <v>181</v>
      </c>
      <c r="U864" s="37" t="s">
        <v>346</v>
      </c>
      <c r="V864" s="37">
        <v>50</v>
      </c>
      <c r="W864" s="37" t="s">
        <v>18</v>
      </c>
      <c r="X864" s="37" t="s">
        <v>190</v>
      </c>
      <c r="Y864" s="37">
        <v>391</v>
      </c>
      <c r="Z864" s="37" t="s">
        <v>24</v>
      </c>
      <c r="AA864" s="37">
        <v>104</v>
      </c>
      <c r="AB864" s="37">
        <v>8</v>
      </c>
      <c r="AC864" s="37" t="s">
        <v>296</v>
      </c>
      <c r="AD864" s="37" t="s">
        <v>1604</v>
      </c>
      <c r="AF864" s="37" t="s">
        <v>1605</v>
      </c>
    </row>
    <row r="865" spans="3:32" x14ac:dyDescent="0.2">
      <c r="G865" s="37" t="s">
        <v>166</v>
      </c>
      <c r="H865" s="37" t="s">
        <v>166</v>
      </c>
      <c r="I865" s="37" t="s">
        <v>166</v>
      </c>
      <c r="J865" s="37" t="s">
        <v>178</v>
      </c>
      <c r="K865" s="37">
        <v>3</v>
      </c>
      <c r="L865" s="37">
        <v>9</v>
      </c>
      <c r="M865" s="37">
        <v>1</v>
      </c>
      <c r="N865" s="37">
        <v>13</v>
      </c>
      <c r="O865" s="37">
        <v>14</v>
      </c>
      <c r="P865" s="37">
        <v>4</v>
      </c>
      <c r="Q865" s="37">
        <v>31</v>
      </c>
      <c r="R865" s="37">
        <v>8130</v>
      </c>
      <c r="T865" s="37" t="s">
        <v>166</v>
      </c>
      <c r="U865" s="37" t="s">
        <v>166</v>
      </c>
      <c r="V865" s="37" t="s">
        <v>166</v>
      </c>
      <c r="W865" s="37" t="s">
        <v>18</v>
      </c>
      <c r="X865" s="37" t="s">
        <v>166</v>
      </c>
      <c r="Y865" s="37" t="s">
        <v>166</v>
      </c>
      <c r="Z865" s="37" t="s">
        <v>24</v>
      </c>
      <c r="AA865" s="37">
        <v>104</v>
      </c>
      <c r="AB865" s="37">
        <v>8</v>
      </c>
      <c r="AC865" s="37" t="s">
        <v>296</v>
      </c>
      <c r="AD865" s="37" t="s">
        <v>1604</v>
      </c>
      <c r="AF865" s="37" t="s">
        <v>1606</v>
      </c>
    </row>
    <row r="866" spans="3:32" x14ac:dyDescent="0.2">
      <c r="G866" s="37" t="s">
        <v>166</v>
      </c>
      <c r="H866" s="37" t="s">
        <v>166</v>
      </c>
      <c r="I866" s="37" t="s">
        <v>166</v>
      </c>
      <c r="J866" s="37" t="s">
        <v>19</v>
      </c>
      <c r="K866" s="37">
        <v>0</v>
      </c>
      <c r="L866" s="37">
        <v>6</v>
      </c>
      <c r="M866" s="37">
        <v>2</v>
      </c>
      <c r="N866" s="37">
        <v>8</v>
      </c>
      <c r="O866" s="37">
        <v>18</v>
      </c>
      <c r="P866" s="37">
        <v>3</v>
      </c>
      <c r="Q866" s="37">
        <v>29</v>
      </c>
      <c r="R866" s="37">
        <v>420</v>
      </c>
      <c r="T866" s="37" t="s">
        <v>166</v>
      </c>
      <c r="U866" s="37" t="s">
        <v>166</v>
      </c>
      <c r="V866" s="37" t="s">
        <v>166</v>
      </c>
      <c r="W866" s="37" t="s">
        <v>18</v>
      </c>
      <c r="X866" s="37" t="s">
        <v>166</v>
      </c>
      <c r="Y866" s="37" t="s">
        <v>166</v>
      </c>
      <c r="Z866" s="37" t="s">
        <v>24</v>
      </c>
      <c r="AA866" s="37">
        <v>104</v>
      </c>
      <c r="AB866" s="37">
        <v>8</v>
      </c>
      <c r="AC866" s="37" t="s">
        <v>296</v>
      </c>
      <c r="AD866" s="37" t="s">
        <v>1604</v>
      </c>
      <c r="AF866" s="37" t="s">
        <v>1607</v>
      </c>
    </row>
    <row r="867" spans="3:32" x14ac:dyDescent="0.2">
      <c r="G867" s="37" t="s">
        <v>166</v>
      </c>
      <c r="H867" s="37" t="s">
        <v>166</v>
      </c>
      <c r="I867" s="37" t="s">
        <v>166</v>
      </c>
      <c r="J867" s="37" t="s">
        <v>18</v>
      </c>
      <c r="K867" s="37">
        <v>44</v>
      </c>
      <c r="L867" s="37">
        <v>53</v>
      </c>
      <c r="M867" s="37">
        <v>4</v>
      </c>
      <c r="N867" s="37">
        <v>101</v>
      </c>
      <c r="O867" s="37">
        <v>118</v>
      </c>
      <c r="P867" s="37">
        <v>42</v>
      </c>
      <c r="Q867" s="37">
        <v>261</v>
      </c>
      <c r="R867" s="37">
        <v>1901</v>
      </c>
      <c r="T867" s="37" t="s">
        <v>166</v>
      </c>
      <c r="U867" s="37" t="s">
        <v>166</v>
      </c>
      <c r="V867" s="37" t="s">
        <v>166</v>
      </c>
      <c r="W867" s="37" t="s">
        <v>18</v>
      </c>
      <c r="X867" s="37" t="s">
        <v>166</v>
      </c>
      <c r="Y867" s="37" t="s">
        <v>166</v>
      </c>
      <c r="Z867" s="37" t="s">
        <v>24</v>
      </c>
      <c r="AA867" s="37">
        <v>104</v>
      </c>
      <c r="AB867" s="37">
        <v>8</v>
      </c>
      <c r="AC867" s="37" t="s">
        <v>296</v>
      </c>
      <c r="AD867" s="37" t="s">
        <v>1604</v>
      </c>
      <c r="AF867" s="37" t="s">
        <v>1608</v>
      </c>
    </row>
    <row r="868" spans="3:32" x14ac:dyDescent="0.2">
      <c r="C868" s="37" t="s">
        <v>24</v>
      </c>
      <c r="D868" s="37">
        <v>107</v>
      </c>
      <c r="E868" s="37">
        <v>2</v>
      </c>
      <c r="F868" s="37" t="s">
        <v>296</v>
      </c>
      <c r="G868" s="37">
        <v>1.4</v>
      </c>
      <c r="H868" s="37" t="s">
        <v>181</v>
      </c>
      <c r="I868" s="37" t="s">
        <v>23</v>
      </c>
      <c r="J868" s="37" t="s">
        <v>17</v>
      </c>
      <c r="K868" s="37">
        <v>3</v>
      </c>
      <c r="L868" s="37">
        <v>10</v>
      </c>
      <c r="M868" s="37">
        <v>3</v>
      </c>
      <c r="N868" s="37">
        <v>16</v>
      </c>
      <c r="O868" s="37">
        <v>20</v>
      </c>
      <c r="P868" s="37">
        <v>5</v>
      </c>
      <c r="Q868" s="37">
        <v>41</v>
      </c>
      <c r="R868" s="37">
        <v>1380</v>
      </c>
      <c r="T868" s="37" t="s">
        <v>181</v>
      </c>
      <c r="U868" s="37" t="s">
        <v>371</v>
      </c>
      <c r="V868" s="37">
        <v>70</v>
      </c>
      <c r="W868" s="37" t="s">
        <v>40</v>
      </c>
      <c r="X868" s="37" t="s">
        <v>190</v>
      </c>
      <c r="Y868" s="37">
        <v>237.99999999999997</v>
      </c>
      <c r="Z868" s="37" t="s">
        <v>24</v>
      </c>
      <c r="AA868" s="37">
        <v>107</v>
      </c>
      <c r="AB868" s="37">
        <v>2</v>
      </c>
      <c r="AC868" s="37" t="s">
        <v>296</v>
      </c>
      <c r="AD868" s="37" t="s">
        <v>1609</v>
      </c>
      <c r="AF868" s="37" t="s">
        <v>1610</v>
      </c>
    </row>
    <row r="869" spans="3:32" x14ac:dyDescent="0.2">
      <c r="G869" s="37" t="s">
        <v>166</v>
      </c>
      <c r="H869" s="37" t="s">
        <v>166</v>
      </c>
      <c r="I869" s="37" t="s">
        <v>166</v>
      </c>
      <c r="J869" s="37" t="s">
        <v>40</v>
      </c>
      <c r="K869" s="37">
        <v>12</v>
      </c>
      <c r="L869" s="37">
        <v>50</v>
      </c>
      <c r="M869" s="37">
        <v>6</v>
      </c>
      <c r="N869" s="37">
        <v>68</v>
      </c>
      <c r="O869" s="37">
        <v>75</v>
      </c>
      <c r="P869" s="37">
        <v>26</v>
      </c>
      <c r="Q869" s="37">
        <v>169</v>
      </c>
      <c r="R869" s="37">
        <v>3483</v>
      </c>
      <c r="T869" s="37" t="s">
        <v>166</v>
      </c>
      <c r="U869" s="37" t="s">
        <v>166</v>
      </c>
      <c r="V869" s="37" t="s">
        <v>166</v>
      </c>
      <c r="W869" s="37" t="s">
        <v>40</v>
      </c>
      <c r="X869" s="37" t="s">
        <v>166</v>
      </c>
      <c r="Y869" s="37" t="s">
        <v>166</v>
      </c>
      <c r="Z869" s="37" t="s">
        <v>24</v>
      </c>
      <c r="AA869" s="37">
        <v>107</v>
      </c>
      <c r="AB869" s="37">
        <v>2</v>
      </c>
      <c r="AC869" s="37" t="s">
        <v>296</v>
      </c>
      <c r="AD869" s="37" t="s">
        <v>1609</v>
      </c>
      <c r="AF869" s="37" t="s">
        <v>1611</v>
      </c>
    </row>
    <row r="870" spans="3:32" x14ac:dyDescent="0.2">
      <c r="C870" s="37" t="s">
        <v>24</v>
      </c>
      <c r="D870" s="37">
        <v>110</v>
      </c>
      <c r="E870" s="37">
        <v>11</v>
      </c>
      <c r="F870" s="37" t="s">
        <v>296</v>
      </c>
      <c r="G870" s="37">
        <v>1.6</v>
      </c>
      <c r="H870" s="37" t="s">
        <v>181</v>
      </c>
      <c r="I870" s="37" t="s">
        <v>23</v>
      </c>
      <c r="J870" s="37" t="s">
        <v>17</v>
      </c>
      <c r="K870" s="37">
        <v>1</v>
      </c>
      <c r="L870" s="37">
        <v>6</v>
      </c>
      <c r="M870" s="37">
        <v>3</v>
      </c>
      <c r="N870" s="37">
        <v>10</v>
      </c>
      <c r="O870" s="37">
        <v>13</v>
      </c>
      <c r="P870" s="37">
        <v>4</v>
      </c>
      <c r="Q870" s="37">
        <v>27</v>
      </c>
      <c r="R870" s="37">
        <v>752</v>
      </c>
      <c r="T870" s="37" t="s">
        <v>181</v>
      </c>
      <c r="U870" s="37" t="s">
        <v>308</v>
      </c>
      <c r="V870" s="37">
        <v>70</v>
      </c>
      <c r="W870" s="37" t="s">
        <v>40</v>
      </c>
      <c r="X870" s="37" t="s">
        <v>190</v>
      </c>
      <c r="Y870" s="37">
        <v>272</v>
      </c>
      <c r="Z870" s="37" t="s">
        <v>24</v>
      </c>
      <c r="AA870" s="37">
        <v>110</v>
      </c>
      <c r="AB870" s="37">
        <v>11</v>
      </c>
      <c r="AC870" s="37" t="s">
        <v>296</v>
      </c>
      <c r="AD870" s="37" t="s">
        <v>1612</v>
      </c>
      <c r="AF870" s="37" t="s">
        <v>1613</v>
      </c>
    </row>
    <row r="871" spans="3:32" x14ac:dyDescent="0.2">
      <c r="G871" s="37" t="s">
        <v>166</v>
      </c>
      <c r="H871" s="37" t="s">
        <v>166</v>
      </c>
      <c r="I871" s="37" t="s">
        <v>166</v>
      </c>
      <c r="J871" s="37" t="s">
        <v>372</v>
      </c>
      <c r="K871" s="37">
        <v>0</v>
      </c>
      <c r="L871" s="37">
        <v>17</v>
      </c>
      <c r="M871" s="37">
        <v>5</v>
      </c>
      <c r="N871" s="37">
        <v>22</v>
      </c>
      <c r="O871" s="37">
        <v>18</v>
      </c>
      <c r="P871" s="37">
        <v>7</v>
      </c>
      <c r="Q871" s="37">
        <v>47</v>
      </c>
      <c r="R871" s="37">
        <v>964</v>
      </c>
      <c r="T871" s="37" t="s">
        <v>166</v>
      </c>
      <c r="U871" s="37" t="s">
        <v>166</v>
      </c>
      <c r="V871" s="37" t="s">
        <v>166</v>
      </c>
      <c r="W871" s="37" t="s">
        <v>40</v>
      </c>
      <c r="X871" s="37" t="s">
        <v>166</v>
      </c>
      <c r="Y871" s="37" t="s">
        <v>166</v>
      </c>
      <c r="Z871" s="37" t="s">
        <v>24</v>
      </c>
      <c r="AA871" s="37">
        <v>110</v>
      </c>
      <c r="AB871" s="37">
        <v>11</v>
      </c>
      <c r="AC871" s="37" t="s">
        <v>296</v>
      </c>
      <c r="AD871" s="37" t="s">
        <v>1612</v>
      </c>
      <c r="AF871" s="37" t="s">
        <v>1614</v>
      </c>
    </row>
    <row r="872" spans="3:32" x14ac:dyDescent="0.2">
      <c r="G872" s="37" t="s">
        <v>166</v>
      </c>
      <c r="H872" s="37" t="s">
        <v>166</v>
      </c>
      <c r="I872" s="37" t="s">
        <v>166</v>
      </c>
      <c r="J872" s="37" t="s">
        <v>40</v>
      </c>
      <c r="K872" s="37">
        <v>11</v>
      </c>
      <c r="L872" s="37">
        <v>42</v>
      </c>
      <c r="M872" s="37">
        <v>5</v>
      </c>
      <c r="N872" s="37">
        <v>58</v>
      </c>
      <c r="O872" s="37">
        <v>64</v>
      </c>
      <c r="P872" s="37">
        <v>23</v>
      </c>
      <c r="Q872" s="37">
        <v>145</v>
      </c>
      <c r="R872" s="37">
        <v>2979</v>
      </c>
      <c r="T872" s="37" t="s">
        <v>166</v>
      </c>
      <c r="U872" s="37" t="s">
        <v>166</v>
      </c>
      <c r="V872" s="37" t="s">
        <v>166</v>
      </c>
      <c r="W872" s="37" t="s">
        <v>40</v>
      </c>
      <c r="X872" s="37" t="s">
        <v>166</v>
      </c>
      <c r="Y872" s="37" t="s">
        <v>166</v>
      </c>
      <c r="Z872" s="37" t="s">
        <v>24</v>
      </c>
      <c r="AA872" s="37">
        <v>110</v>
      </c>
      <c r="AB872" s="37">
        <v>11</v>
      </c>
      <c r="AC872" s="37" t="s">
        <v>296</v>
      </c>
      <c r="AD872" s="37" t="s">
        <v>1612</v>
      </c>
      <c r="AF872" s="37" t="s">
        <v>1615</v>
      </c>
    </row>
    <row r="873" spans="3:32" x14ac:dyDescent="0.2">
      <c r="G873" s="37" t="s">
        <v>166</v>
      </c>
      <c r="H873" s="37" t="s">
        <v>166</v>
      </c>
      <c r="I873" s="37" t="s">
        <v>166</v>
      </c>
      <c r="J873" s="37" t="s">
        <v>18</v>
      </c>
      <c r="K873" s="37">
        <v>0</v>
      </c>
      <c r="L873" s="37">
        <v>7</v>
      </c>
      <c r="M873" s="37">
        <v>2</v>
      </c>
      <c r="N873" s="37">
        <v>9</v>
      </c>
      <c r="O873" s="37">
        <v>12</v>
      </c>
      <c r="P873" s="37">
        <v>3</v>
      </c>
      <c r="Q873" s="37">
        <v>24</v>
      </c>
      <c r="R873" s="37">
        <v>138</v>
      </c>
      <c r="T873" s="37" t="s">
        <v>166</v>
      </c>
      <c r="U873" s="37" t="s">
        <v>166</v>
      </c>
      <c r="V873" s="37" t="s">
        <v>166</v>
      </c>
      <c r="W873" s="37" t="s">
        <v>40</v>
      </c>
      <c r="X873" s="37" t="s">
        <v>166</v>
      </c>
      <c r="Y873" s="37" t="s">
        <v>166</v>
      </c>
      <c r="Z873" s="37" t="s">
        <v>24</v>
      </c>
      <c r="AA873" s="37">
        <v>110</v>
      </c>
      <c r="AB873" s="37">
        <v>11</v>
      </c>
      <c r="AC873" s="37" t="s">
        <v>296</v>
      </c>
      <c r="AD873" s="37" t="s">
        <v>1612</v>
      </c>
      <c r="AF873" s="37" t="s">
        <v>1616</v>
      </c>
    </row>
    <row r="874" spans="3:32" x14ac:dyDescent="0.2">
      <c r="C874" s="37" t="s">
        <v>24</v>
      </c>
      <c r="D874" s="37">
        <v>112</v>
      </c>
      <c r="E874" s="37">
        <v>4</v>
      </c>
      <c r="F874" s="37" t="s">
        <v>296</v>
      </c>
      <c r="G874" s="37">
        <v>2.2000000000000002</v>
      </c>
      <c r="H874" s="37" t="s">
        <v>181</v>
      </c>
      <c r="I874" s="37" t="s">
        <v>23</v>
      </c>
      <c r="J874" s="37" t="s">
        <v>17</v>
      </c>
      <c r="K874" s="37">
        <v>11</v>
      </c>
      <c r="L874" s="37">
        <v>39</v>
      </c>
      <c r="M874" s="37">
        <v>7</v>
      </c>
      <c r="N874" s="37">
        <v>57</v>
      </c>
      <c r="O874" s="37">
        <v>68</v>
      </c>
      <c r="P874" s="37">
        <v>16</v>
      </c>
      <c r="Q874" s="37">
        <v>141</v>
      </c>
      <c r="R874" s="37">
        <v>5131</v>
      </c>
      <c r="T874" s="37" t="s">
        <v>181</v>
      </c>
      <c r="U874" s="37" t="s">
        <v>361</v>
      </c>
      <c r="V874" s="37">
        <v>70</v>
      </c>
      <c r="W874" s="37" t="s">
        <v>17</v>
      </c>
      <c r="X874" s="37" t="s">
        <v>190</v>
      </c>
      <c r="Y874" s="37">
        <v>330</v>
      </c>
      <c r="Z874" s="37" t="s">
        <v>24</v>
      </c>
      <c r="AA874" s="37">
        <v>112</v>
      </c>
      <c r="AB874" s="37">
        <v>4</v>
      </c>
      <c r="AC874" s="37" t="s">
        <v>296</v>
      </c>
      <c r="AD874" s="37" t="s">
        <v>1617</v>
      </c>
      <c r="AF874" s="37" t="s">
        <v>1618</v>
      </c>
    </row>
    <row r="875" spans="3:32" x14ac:dyDescent="0.2">
      <c r="G875" s="37" t="s">
        <v>166</v>
      </c>
      <c r="H875" s="37" t="s">
        <v>166</v>
      </c>
      <c r="I875" s="37" t="s">
        <v>166</v>
      </c>
      <c r="J875" s="37" t="s">
        <v>178</v>
      </c>
      <c r="K875" s="37">
        <v>0</v>
      </c>
      <c r="L875" s="37">
        <v>8</v>
      </c>
      <c r="M875" s="37">
        <v>4</v>
      </c>
      <c r="N875" s="37">
        <v>12</v>
      </c>
      <c r="O875" s="37">
        <v>13</v>
      </c>
      <c r="P875" s="37">
        <v>4</v>
      </c>
      <c r="Q875" s="37">
        <v>29</v>
      </c>
      <c r="R875" s="37">
        <v>6376</v>
      </c>
      <c r="T875" s="37" t="s">
        <v>166</v>
      </c>
      <c r="U875" s="37" t="s">
        <v>166</v>
      </c>
      <c r="V875" s="37" t="s">
        <v>166</v>
      </c>
      <c r="W875" s="37" t="s">
        <v>17</v>
      </c>
      <c r="X875" s="37" t="s">
        <v>166</v>
      </c>
      <c r="Y875" s="37" t="s">
        <v>166</v>
      </c>
      <c r="Z875" s="37" t="s">
        <v>24</v>
      </c>
      <c r="AA875" s="37">
        <v>112</v>
      </c>
      <c r="AB875" s="37">
        <v>4</v>
      </c>
      <c r="AC875" s="37" t="s">
        <v>296</v>
      </c>
      <c r="AD875" s="37" t="s">
        <v>1617</v>
      </c>
      <c r="AF875" s="37" t="s">
        <v>1619</v>
      </c>
    </row>
    <row r="876" spans="3:32" x14ac:dyDescent="0.2">
      <c r="G876" s="37" t="s">
        <v>166</v>
      </c>
      <c r="H876" s="37" t="s">
        <v>166</v>
      </c>
      <c r="I876" s="37" t="s">
        <v>166</v>
      </c>
      <c r="J876" s="37" t="s">
        <v>19</v>
      </c>
      <c r="K876" s="37">
        <v>2</v>
      </c>
      <c r="L876" s="37">
        <v>13</v>
      </c>
      <c r="M876" s="37">
        <v>2</v>
      </c>
      <c r="N876" s="37">
        <v>17</v>
      </c>
      <c r="O876" s="37">
        <v>31</v>
      </c>
      <c r="P876" s="37">
        <v>7</v>
      </c>
      <c r="Q876" s="37">
        <v>55</v>
      </c>
      <c r="R876" s="37">
        <v>889</v>
      </c>
      <c r="T876" s="37" t="s">
        <v>166</v>
      </c>
      <c r="U876" s="37" t="s">
        <v>166</v>
      </c>
      <c r="V876" s="37" t="s">
        <v>166</v>
      </c>
      <c r="W876" s="37" t="s">
        <v>17</v>
      </c>
      <c r="X876" s="37" t="s">
        <v>166</v>
      </c>
      <c r="Y876" s="37" t="s">
        <v>166</v>
      </c>
      <c r="Z876" s="37" t="s">
        <v>24</v>
      </c>
      <c r="AA876" s="37">
        <v>112</v>
      </c>
      <c r="AB876" s="37">
        <v>4</v>
      </c>
      <c r="AC876" s="37" t="s">
        <v>296</v>
      </c>
      <c r="AD876" s="37" t="s">
        <v>1617</v>
      </c>
      <c r="AF876" s="37" t="s">
        <v>1620</v>
      </c>
    </row>
    <row r="877" spans="3:32" x14ac:dyDescent="0.2">
      <c r="G877" s="37" t="s">
        <v>166</v>
      </c>
      <c r="H877" s="37" t="s">
        <v>166</v>
      </c>
      <c r="I877" s="37" t="s">
        <v>166</v>
      </c>
      <c r="J877" s="37" t="s">
        <v>18</v>
      </c>
      <c r="K877" s="37">
        <v>7</v>
      </c>
      <c r="L877" s="37">
        <v>16</v>
      </c>
      <c r="M877" s="37">
        <v>2</v>
      </c>
      <c r="N877" s="37">
        <v>25</v>
      </c>
      <c r="O877" s="37">
        <v>26</v>
      </c>
      <c r="P877" s="37">
        <v>10</v>
      </c>
      <c r="Q877" s="37">
        <v>61</v>
      </c>
      <c r="R877" s="37">
        <v>434</v>
      </c>
      <c r="T877" s="37" t="s">
        <v>166</v>
      </c>
      <c r="U877" s="37" t="s">
        <v>166</v>
      </c>
      <c r="V877" s="37" t="s">
        <v>166</v>
      </c>
      <c r="W877" s="37" t="s">
        <v>17</v>
      </c>
      <c r="X877" s="37" t="s">
        <v>166</v>
      </c>
      <c r="Y877" s="37" t="s">
        <v>166</v>
      </c>
      <c r="Z877" s="37" t="s">
        <v>24</v>
      </c>
      <c r="AA877" s="37">
        <v>112</v>
      </c>
      <c r="AB877" s="37">
        <v>4</v>
      </c>
      <c r="AC877" s="37" t="s">
        <v>296</v>
      </c>
      <c r="AD877" s="37" t="s">
        <v>1617</v>
      </c>
      <c r="AF877" s="37" t="s">
        <v>1621</v>
      </c>
    </row>
    <row r="878" spans="3:32" x14ac:dyDescent="0.2">
      <c r="C878" s="37" t="s">
        <v>24</v>
      </c>
      <c r="D878" s="37">
        <v>112</v>
      </c>
      <c r="E878" s="37">
        <v>14</v>
      </c>
      <c r="F878" s="37">
        <v>2</v>
      </c>
      <c r="G878" s="37">
        <v>1.6</v>
      </c>
      <c r="H878" s="37" t="s">
        <v>181</v>
      </c>
      <c r="I878" s="37" t="s">
        <v>23</v>
      </c>
      <c r="J878" s="37" t="s">
        <v>17</v>
      </c>
      <c r="K878" s="37">
        <v>6</v>
      </c>
      <c r="L878" s="37">
        <v>29</v>
      </c>
      <c r="M878" s="37">
        <v>7</v>
      </c>
      <c r="N878" s="37">
        <v>42</v>
      </c>
      <c r="O878" s="37">
        <v>54</v>
      </c>
      <c r="P878" s="37">
        <v>13</v>
      </c>
      <c r="Q878" s="37">
        <v>109</v>
      </c>
      <c r="R878" s="37">
        <v>3718</v>
      </c>
      <c r="T878" s="37" t="s">
        <v>181</v>
      </c>
      <c r="U878" s="37" t="s">
        <v>361</v>
      </c>
      <c r="V878" s="37">
        <v>80</v>
      </c>
      <c r="W878" s="37" t="s">
        <v>17</v>
      </c>
      <c r="X878" s="37" t="s">
        <v>190</v>
      </c>
      <c r="Y878" s="37">
        <v>256</v>
      </c>
      <c r="Z878" s="37" t="s">
        <v>24</v>
      </c>
      <c r="AA878" s="37">
        <v>112</v>
      </c>
      <c r="AB878" s="37">
        <v>14</v>
      </c>
      <c r="AC878" s="37">
        <v>2</v>
      </c>
      <c r="AD878" s="37" t="s">
        <v>1622</v>
      </c>
      <c r="AF878" s="37" t="s">
        <v>1623</v>
      </c>
    </row>
    <row r="879" spans="3:32" x14ac:dyDescent="0.2">
      <c r="G879" s="37" t="s">
        <v>166</v>
      </c>
      <c r="H879" s="37" t="s">
        <v>166</v>
      </c>
      <c r="I879" s="37" t="s">
        <v>166</v>
      </c>
      <c r="J879" s="37" t="s">
        <v>178</v>
      </c>
      <c r="K879" s="37">
        <v>0</v>
      </c>
      <c r="L879" s="37">
        <v>8</v>
      </c>
      <c r="M879" s="37">
        <v>4</v>
      </c>
      <c r="N879" s="37">
        <v>12</v>
      </c>
      <c r="O879" s="37">
        <v>13</v>
      </c>
      <c r="P879" s="37">
        <v>4</v>
      </c>
      <c r="Q879" s="37">
        <v>29</v>
      </c>
      <c r="R879" s="37">
        <v>6376</v>
      </c>
      <c r="T879" s="37" t="s">
        <v>166</v>
      </c>
      <c r="U879" s="37" t="s">
        <v>166</v>
      </c>
      <c r="V879" s="37" t="s">
        <v>166</v>
      </c>
      <c r="W879" s="37" t="s">
        <v>17</v>
      </c>
      <c r="X879" s="37" t="s">
        <v>166</v>
      </c>
      <c r="Y879" s="37" t="s">
        <v>166</v>
      </c>
      <c r="Z879" s="37" t="s">
        <v>24</v>
      </c>
      <c r="AA879" s="37">
        <v>112</v>
      </c>
      <c r="AB879" s="37">
        <v>14</v>
      </c>
      <c r="AC879" s="37">
        <v>2</v>
      </c>
      <c r="AD879" s="37" t="s">
        <v>1622</v>
      </c>
      <c r="AF879" s="37" t="s">
        <v>1624</v>
      </c>
    </row>
    <row r="880" spans="3:32" x14ac:dyDescent="0.2">
      <c r="G880" s="37" t="s">
        <v>166</v>
      </c>
      <c r="H880" s="37" t="s">
        <v>166</v>
      </c>
      <c r="I880" s="37" t="s">
        <v>166</v>
      </c>
      <c r="J880" s="37" t="s">
        <v>19</v>
      </c>
      <c r="K880" s="37">
        <v>2</v>
      </c>
      <c r="L880" s="37">
        <v>9</v>
      </c>
      <c r="M880" s="37">
        <v>2</v>
      </c>
      <c r="N880" s="37">
        <v>13</v>
      </c>
      <c r="O880" s="37">
        <v>25</v>
      </c>
      <c r="P880" s="37">
        <v>5</v>
      </c>
      <c r="Q880" s="37">
        <v>43</v>
      </c>
      <c r="R880" s="37">
        <v>616</v>
      </c>
      <c r="T880" s="37" t="s">
        <v>166</v>
      </c>
      <c r="U880" s="37" t="s">
        <v>166</v>
      </c>
      <c r="V880" s="37" t="s">
        <v>166</v>
      </c>
      <c r="W880" s="37" t="s">
        <v>17</v>
      </c>
      <c r="X880" s="37" t="s">
        <v>166</v>
      </c>
      <c r="Y880" s="37" t="s">
        <v>166</v>
      </c>
      <c r="Z880" s="37" t="s">
        <v>24</v>
      </c>
      <c r="AA880" s="37">
        <v>112</v>
      </c>
      <c r="AB880" s="37">
        <v>14</v>
      </c>
      <c r="AC880" s="37">
        <v>2</v>
      </c>
      <c r="AD880" s="37" t="s">
        <v>1622</v>
      </c>
      <c r="AF880" s="37" t="s">
        <v>1625</v>
      </c>
    </row>
    <row r="881" spans="3:32" x14ac:dyDescent="0.2">
      <c r="G881" s="37" t="s">
        <v>166</v>
      </c>
      <c r="H881" s="37" t="s">
        <v>166</v>
      </c>
      <c r="I881" s="37" t="s">
        <v>166</v>
      </c>
      <c r="J881" s="37" t="s">
        <v>18</v>
      </c>
      <c r="K881" s="37">
        <v>5</v>
      </c>
      <c r="L881" s="37">
        <v>11</v>
      </c>
      <c r="M881" s="37">
        <v>2</v>
      </c>
      <c r="N881" s="37">
        <v>18</v>
      </c>
      <c r="O881" s="37">
        <v>20</v>
      </c>
      <c r="P881" s="37">
        <v>7</v>
      </c>
      <c r="Q881" s="37">
        <v>45</v>
      </c>
      <c r="R881" s="37">
        <v>315</v>
      </c>
      <c r="T881" s="37" t="s">
        <v>166</v>
      </c>
      <c r="U881" s="37" t="s">
        <v>166</v>
      </c>
      <c r="V881" s="37" t="s">
        <v>166</v>
      </c>
      <c r="W881" s="37" t="s">
        <v>17</v>
      </c>
      <c r="X881" s="37" t="s">
        <v>166</v>
      </c>
      <c r="Y881" s="37" t="s">
        <v>166</v>
      </c>
      <c r="Z881" s="37" t="s">
        <v>24</v>
      </c>
      <c r="AA881" s="37">
        <v>112</v>
      </c>
      <c r="AB881" s="37">
        <v>14</v>
      </c>
      <c r="AC881" s="37">
        <v>2</v>
      </c>
      <c r="AD881" s="37" t="s">
        <v>1622</v>
      </c>
      <c r="AF881" s="37" t="s">
        <v>1626</v>
      </c>
    </row>
    <row r="882" spans="3:32" x14ac:dyDescent="0.2">
      <c r="C882" s="37" t="s">
        <v>24</v>
      </c>
      <c r="D882" s="37">
        <v>113</v>
      </c>
      <c r="E882" s="37">
        <v>16</v>
      </c>
      <c r="F882" s="37" t="s">
        <v>296</v>
      </c>
      <c r="G882" s="37">
        <v>1.3</v>
      </c>
      <c r="H882" s="37" t="s">
        <v>181</v>
      </c>
      <c r="I882" s="37" t="s">
        <v>23</v>
      </c>
      <c r="J882" s="37" t="s">
        <v>17</v>
      </c>
      <c r="K882" s="37">
        <v>5</v>
      </c>
      <c r="L882" s="37">
        <v>23</v>
      </c>
      <c r="M882" s="37">
        <v>6</v>
      </c>
      <c r="N882" s="37">
        <v>34</v>
      </c>
      <c r="O882" s="37">
        <v>47</v>
      </c>
      <c r="P882" s="37">
        <v>10</v>
      </c>
      <c r="Q882" s="37">
        <v>91</v>
      </c>
      <c r="R882" s="37">
        <v>3022</v>
      </c>
      <c r="T882" s="37" t="s">
        <v>181</v>
      </c>
      <c r="U882" s="37" t="s">
        <v>374</v>
      </c>
      <c r="V882" s="37">
        <v>85</v>
      </c>
      <c r="W882" s="37" t="s">
        <v>17</v>
      </c>
      <c r="X882" s="37" t="s">
        <v>190</v>
      </c>
      <c r="Y882" s="37">
        <v>156</v>
      </c>
      <c r="Z882" s="37" t="s">
        <v>24</v>
      </c>
      <c r="AA882" s="37">
        <v>113</v>
      </c>
      <c r="AB882" s="37">
        <v>16</v>
      </c>
      <c r="AC882" s="37" t="s">
        <v>296</v>
      </c>
      <c r="AD882" s="37" t="s">
        <v>1627</v>
      </c>
      <c r="AF882" s="37" t="s">
        <v>1628</v>
      </c>
    </row>
    <row r="883" spans="3:32" x14ac:dyDescent="0.2">
      <c r="G883" s="37" t="s">
        <v>166</v>
      </c>
      <c r="H883" s="37" t="s">
        <v>166</v>
      </c>
      <c r="I883" s="37" t="s">
        <v>166</v>
      </c>
      <c r="J883" s="37" t="s">
        <v>178</v>
      </c>
      <c r="K883" s="37">
        <v>0</v>
      </c>
      <c r="L883" s="37">
        <v>6</v>
      </c>
      <c r="M883" s="37">
        <v>2</v>
      </c>
      <c r="N883" s="37">
        <v>8</v>
      </c>
      <c r="O883" s="37">
        <v>3</v>
      </c>
      <c r="P883" s="37">
        <v>3</v>
      </c>
      <c r="Q883" s="37">
        <v>14</v>
      </c>
      <c r="R883" s="37">
        <v>3959</v>
      </c>
      <c r="T883" s="37" t="s">
        <v>166</v>
      </c>
      <c r="U883" s="37" t="s">
        <v>166</v>
      </c>
      <c r="V883" s="37" t="s">
        <v>166</v>
      </c>
      <c r="W883" s="37" t="s">
        <v>17</v>
      </c>
      <c r="X883" s="37" t="s">
        <v>166</v>
      </c>
      <c r="Y883" s="37" t="s">
        <v>166</v>
      </c>
      <c r="Z883" s="37" t="s">
        <v>24</v>
      </c>
      <c r="AA883" s="37">
        <v>113</v>
      </c>
      <c r="AB883" s="37">
        <v>16</v>
      </c>
      <c r="AC883" s="37" t="s">
        <v>296</v>
      </c>
      <c r="AD883" s="37" t="s">
        <v>1627</v>
      </c>
      <c r="AF883" s="37" t="s">
        <v>1629</v>
      </c>
    </row>
    <row r="884" spans="3:32" x14ac:dyDescent="0.2">
      <c r="G884" s="37" t="s">
        <v>166</v>
      </c>
      <c r="H884" s="37" t="s">
        <v>166</v>
      </c>
      <c r="I884" s="37" t="s">
        <v>166</v>
      </c>
      <c r="J884" s="37" t="s">
        <v>19</v>
      </c>
      <c r="K884" s="37">
        <v>1</v>
      </c>
      <c r="L884" s="37">
        <v>3</v>
      </c>
      <c r="M884" s="37">
        <v>0</v>
      </c>
      <c r="N884" s="37">
        <v>4</v>
      </c>
      <c r="O884" s="37">
        <v>7</v>
      </c>
      <c r="P884" s="37">
        <v>1</v>
      </c>
      <c r="Q884" s="37">
        <v>12</v>
      </c>
      <c r="R884" s="37">
        <v>224</v>
      </c>
      <c r="T884" s="37" t="s">
        <v>166</v>
      </c>
      <c r="U884" s="37" t="s">
        <v>166</v>
      </c>
      <c r="V884" s="37" t="s">
        <v>166</v>
      </c>
      <c r="W884" s="37" t="s">
        <v>17</v>
      </c>
      <c r="X884" s="37" t="s">
        <v>166</v>
      </c>
      <c r="Y884" s="37" t="s">
        <v>166</v>
      </c>
      <c r="Z884" s="37" t="s">
        <v>24</v>
      </c>
      <c r="AA884" s="37">
        <v>113</v>
      </c>
      <c r="AB884" s="37">
        <v>16</v>
      </c>
      <c r="AC884" s="37" t="s">
        <v>296</v>
      </c>
      <c r="AD884" s="37" t="s">
        <v>1627</v>
      </c>
      <c r="AF884" s="37" t="s">
        <v>1630</v>
      </c>
    </row>
    <row r="885" spans="3:32" x14ac:dyDescent="0.2">
      <c r="G885" s="37" t="s">
        <v>166</v>
      </c>
      <c r="H885" s="37" t="s">
        <v>166</v>
      </c>
      <c r="I885" s="37" t="s">
        <v>166</v>
      </c>
      <c r="J885" s="37" t="s">
        <v>18</v>
      </c>
      <c r="K885" s="37">
        <v>2</v>
      </c>
      <c r="L885" s="37">
        <v>4</v>
      </c>
      <c r="M885" s="37">
        <v>0</v>
      </c>
      <c r="N885" s="37">
        <v>6</v>
      </c>
      <c r="O885" s="37">
        <v>7</v>
      </c>
      <c r="P885" s="37">
        <v>3</v>
      </c>
      <c r="Q885" s="37">
        <v>16</v>
      </c>
      <c r="R885" s="37">
        <v>115</v>
      </c>
      <c r="T885" s="37" t="s">
        <v>166</v>
      </c>
      <c r="U885" s="37" t="s">
        <v>166</v>
      </c>
      <c r="V885" s="37" t="s">
        <v>166</v>
      </c>
      <c r="W885" s="37" t="s">
        <v>17</v>
      </c>
      <c r="X885" s="37" t="s">
        <v>166</v>
      </c>
      <c r="Y885" s="37" t="s">
        <v>166</v>
      </c>
      <c r="Z885" s="37" t="s">
        <v>24</v>
      </c>
      <c r="AA885" s="37">
        <v>113</v>
      </c>
      <c r="AB885" s="37">
        <v>16</v>
      </c>
      <c r="AC885" s="37" t="s">
        <v>296</v>
      </c>
      <c r="AD885" s="37" t="s">
        <v>1627</v>
      </c>
      <c r="AF885" s="37" t="s">
        <v>1631</v>
      </c>
    </row>
    <row r="886" spans="3:32" x14ac:dyDescent="0.2">
      <c r="C886" s="37" t="s">
        <v>24</v>
      </c>
      <c r="D886" s="37">
        <v>123</v>
      </c>
      <c r="E886" s="37">
        <v>23</v>
      </c>
      <c r="F886" s="37" t="s">
        <v>296</v>
      </c>
      <c r="G886" s="37">
        <v>1.4</v>
      </c>
      <c r="H886" s="37" t="s">
        <v>181</v>
      </c>
      <c r="I886" s="37" t="s">
        <v>23</v>
      </c>
      <c r="J886" s="37" t="s">
        <v>17</v>
      </c>
      <c r="K886" s="37">
        <v>5</v>
      </c>
      <c r="L886" s="37">
        <v>23</v>
      </c>
      <c r="M886" s="37">
        <v>6</v>
      </c>
      <c r="N886" s="37">
        <v>34</v>
      </c>
      <c r="O886" s="37">
        <v>47</v>
      </c>
      <c r="P886" s="37">
        <v>10</v>
      </c>
      <c r="Q886" s="37">
        <v>91</v>
      </c>
      <c r="R886" s="37">
        <v>3022</v>
      </c>
      <c r="T886" s="37" t="s">
        <v>181</v>
      </c>
      <c r="U886" s="37" t="s">
        <v>350</v>
      </c>
      <c r="V886" s="37">
        <v>80</v>
      </c>
      <c r="W886" s="37" t="s">
        <v>17</v>
      </c>
      <c r="X886" s="37" t="s">
        <v>190</v>
      </c>
      <c r="Y886" s="37">
        <v>224</v>
      </c>
      <c r="Z886" s="37" t="s">
        <v>24</v>
      </c>
      <c r="AA886" s="37">
        <v>123</v>
      </c>
      <c r="AB886" s="37">
        <v>23</v>
      </c>
      <c r="AC886" s="37" t="s">
        <v>296</v>
      </c>
      <c r="AD886" s="37" t="s">
        <v>1632</v>
      </c>
      <c r="AF886" s="37" t="s">
        <v>1633</v>
      </c>
    </row>
    <row r="887" spans="3:32" x14ac:dyDescent="0.2">
      <c r="G887" s="37" t="s">
        <v>166</v>
      </c>
      <c r="H887" s="37" t="s">
        <v>166</v>
      </c>
      <c r="I887" s="37" t="s">
        <v>166</v>
      </c>
      <c r="J887" s="37" t="s">
        <v>178</v>
      </c>
      <c r="K887" s="37">
        <v>1</v>
      </c>
      <c r="L887" s="37">
        <v>7</v>
      </c>
      <c r="M887" s="37">
        <v>2</v>
      </c>
      <c r="N887" s="37">
        <v>10</v>
      </c>
      <c r="O887" s="37">
        <v>6</v>
      </c>
      <c r="P887" s="37">
        <v>3</v>
      </c>
      <c r="Q887" s="37">
        <v>19</v>
      </c>
      <c r="R887" s="37">
        <v>5325</v>
      </c>
      <c r="T887" s="37" t="s">
        <v>166</v>
      </c>
      <c r="U887" s="37" t="s">
        <v>166</v>
      </c>
      <c r="V887" s="37" t="s">
        <v>166</v>
      </c>
      <c r="W887" s="37" t="s">
        <v>17</v>
      </c>
      <c r="X887" s="37" t="s">
        <v>166</v>
      </c>
      <c r="Y887" s="37" t="s">
        <v>166</v>
      </c>
      <c r="Z887" s="37" t="s">
        <v>24</v>
      </c>
      <c r="AA887" s="37">
        <v>123</v>
      </c>
      <c r="AB887" s="37">
        <v>23</v>
      </c>
      <c r="AC887" s="37" t="s">
        <v>296</v>
      </c>
      <c r="AD887" s="37" t="s">
        <v>1632</v>
      </c>
      <c r="AF887" s="37" t="s">
        <v>1634</v>
      </c>
    </row>
    <row r="888" spans="3:32" x14ac:dyDescent="0.2">
      <c r="G888" s="37" t="s">
        <v>166</v>
      </c>
      <c r="H888" s="37" t="s">
        <v>166</v>
      </c>
      <c r="I888" s="37" t="s">
        <v>166</v>
      </c>
      <c r="J888" s="37" t="s">
        <v>19</v>
      </c>
      <c r="K888" s="37">
        <v>6</v>
      </c>
      <c r="L888" s="37">
        <v>10</v>
      </c>
      <c r="M888" s="37">
        <v>1</v>
      </c>
      <c r="N888" s="37">
        <v>17</v>
      </c>
      <c r="O888" s="37">
        <v>32</v>
      </c>
      <c r="P888" s="37">
        <v>7</v>
      </c>
      <c r="Q888" s="37">
        <v>56</v>
      </c>
      <c r="R888" s="37">
        <v>957</v>
      </c>
      <c r="T888" s="37" t="s">
        <v>166</v>
      </c>
      <c r="U888" s="37" t="s">
        <v>166</v>
      </c>
      <c r="V888" s="37" t="s">
        <v>166</v>
      </c>
      <c r="W888" s="37" t="s">
        <v>17</v>
      </c>
      <c r="X888" s="37" t="s">
        <v>166</v>
      </c>
      <c r="Y888" s="37" t="s">
        <v>166</v>
      </c>
      <c r="Z888" s="37" t="s">
        <v>24</v>
      </c>
      <c r="AA888" s="37">
        <v>123</v>
      </c>
      <c r="AB888" s="37">
        <v>23</v>
      </c>
      <c r="AC888" s="37" t="s">
        <v>296</v>
      </c>
      <c r="AD888" s="37" t="s">
        <v>1632</v>
      </c>
      <c r="AF888" s="37" t="s">
        <v>1635</v>
      </c>
    </row>
    <row r="889" spans="3:32" x14ac:dyDescent="0.2">
      <c r="G889" s="37" t="s">
        <v>166</v>
      </c>
      <c r="H889" s="37" t="s">
        <v>166</v>
      </c>
      <c r="I889" s="37" t="s">
        <v>166</v>
      </c>
      <c r="J889" s="37" t="s">
        <v>18</v>
      </c>
      <c r="K889" s="37">
        <v>4</v>
      </c>
      <c r="L889" s="37">
        <v>4</v>
      </c>
      <c r="M889" s="37">
        <v>0</v>
      </c>
      <c r="N889" s="37">
        <v>8</v>
      </c>
      <c r="O889" s="37">
        <v>10</v>
      </c>
      <c r="P889" s="37">
        <v>3</v>
      </c>
      <c r="Q889" s="37">
        <v>21</v>
      </c>
      <c r="R889" s="37">
        <v>155</v>
      </c>
      <c r="T889" s="37" t="s">
        <v>166</v>
      </c>
      <c r="U889" s="37" t="s">
        <v>166</v>
      </c>
      <c r="V889" s="37" t="s">
        <v>166</v>
      </c>
      <c r="W889" s="37" t="s">
        <v>17</v>
      </c>
      <c r="X889" s="37" t="s">
        <v>166</v>
      </c>
      <c r="Y889" s="37" t="s">
        <v>166</v>
      </c>
      <c r="Z889" s="37" t="s">
        <v>24</v>
      </c>
      <c r="AA889" s="37">
        <v>123</v>
      </c>
      <c r="AB889" s="37">
        <v>23</v>
      </c>
      <c r="AC889" s="37" t="s">
        <v>296</v>
      </c>
      <c r="AD889" s="37" t="s">
        <v>1632</v>
      </c>
      <c r="AF889" s="37" t="s">
        <v>1636</v>
      </c>
    </row>
    <row r="890" spans="3:32" x14ac:dyDescent="0.2">
      <c r="C890" s="37" t="s">
        <v>22</v>
      </c>
      <c r="D890" s="37">
        <v>10</v>
      </c>
      <c r="E890" s="37">
        <v>16</v>
      </c>
      <c r="F890" s="37" t="s">
        <v>296</v>
      </c>
      <c r="G890" s="37">
        <v>3.8</v>
      </c>
      <c r="H890" s="37" t="s">
        <v>181</v>
      </c>
      <c r="I890" s="37" t="s">
        <v>23</v>
      </c>
      <c r="J890" s="37" t="s">
        <v>17</v>
      </c>
      <c r="K890" s="37">
        <v>0</v>
      </c>
      <c r="L890" s="37">
        <v>0</v>
      </c>
      <c r="M890" s="37">
        <v>0</v>
      </c>
      <c r="N890" s="37">
        <v>0</v>
      </c>
      <c r="O890" s="37">
        <v>0</v>
      </c>
      <c r="P890" s="37">
        <v>0</v>
      </c>
      <c r="Q890" s="37">
        <v>0</v>
      </c>
      <c r="R890" s="37">
        <v>0</v>
      </c>
      <c r="T890" s="37" t="s">
        <v>181</v>
      </c>
      <c r="U890" s="37" t="s">
        <v>322</v>
      </c>
      <c r="V890" s="37">
        <v>45</v>
      </c>
      <c r="W890" s="37" t="s">
        <v>18</v>
      </c>
      <c r="X890" s="37" t="s">
        <v>190</v>
      </c>
      <c r="Y890" s="37">
        <v>646</v>
      </c>
      <c r="Z890" s="37" t="s">
        <v>22</v>
      </c>
      <c r="AA890" s="37">
        <v>10</v>
      </c>
      <c r="AB890" s="37">
        <v>16</v>
      </c>
      <c r="AC890" s="37" t="s">
        <v>296</v>
      </c>
      <c r="AD890" s="37" t="s">
        <v>1637</v>
      </c>
      <c r="AF890" s="37" t="s">
        <v>1638</v>
      </c>
    </row>
    <row r="891" spans="3:32" x14ac:dyDescent="0.2">
      <c r="G891" s="37" t="s">
        <v>166</v>
      </c>
      <c r="H891" s="37" t="s">
        <v>166</v>
      </c>
      <c r="I891" s="37" t="s">
        <v>166</v>
      </c>
      <c r="J891" s="37" t="s">
        <v>268</v>
      </c>
      <c r="K891" s="37">
        <v>2</v>
      </c>
      <c r="L891" s="37">
        <v>22</v>
      </c>
      <c r="M891" s="37">
        <v>5</v>
      </c>
      <c r="N891" s="37">
        <v>29</v>
      </c>
      <c r="O891" s="37">
        <v>82</v>
      </c>
      <c r="P891" s="37">
        <v>16</v>
      </c>
      <c r="Q891" s="37">
        <v>127</v>
      </c>
      <c r="R891" s="37">
        <v>18976</v>
      </c>
      <c r="T891" s="37" t="s">
        <v>166</v>
      </c>
      <c r="U891" s="37" t="s">
        <v>166</v>
      </c>
      <c r="V891" s="37" t="s">
        <v>166</v>
      </c>
      <c r="W891" s="37" t="s">
        <v>18</v>
      </c>
      <c r="X891" s="37" t="s">
        <v>166</v>
      </c>
      <c r="Y891" s="37" t="s">
        <v>166</v>
      </c>
      <c r="Z891" s="37" t="s">
        <v>22</v>
      </c>
      <c r="AA891" s="37">
        <v>10</v>
      </c>
      <c r="AB891" s="37">
        <v>16</v>
      </c>
      <c r="AC891" s="37" t="s">
        <v>296</v>
      </c>
      <c r="AD891" s="37" t="s">
        <v>1637</v>
      </c>
      <c r="AF891" s="37" t="s">
        <v>1639</v>
      </c>
    </row>
    <row r="892" spans="3:32" x14ac:dyDescent="0.2">
      <c r="G892" s="37" t="s">
        <v>166</v>
      </c>
      <c r="H892" s="37" t="s">
        <v>166</v>
      </c>
      <c r="I892" s="37" t="s">
        <v>166</v>
      </c>
      <c r="J892" s="37" t="s">
        <v>19</v>
      </c>
      <c r="K892" s="37">
        <v>1</v>
      </c>
      <c r="L892" s="37">
        <v>73</v>
      </c>
      <c r="M892" s="37">
        <v>23</v>
      </c>
      <c r="N892" s="37">
        <v>97</v>
      </c>
      <c r="O892" s="37">
        <v>75</v>
      </c>
      <c r="P892" s="37">
        <v>18</v>
      </c>
      <c r="Q892" s="37">
        <v>190</v>
      </c>
      <c r="R892" s="37">
        <v>4255</v>
      </c>
      <c r="T892" s="37" t="s">
        <v>166</v>
      </c>
      <c r="U892" s="37" t="s">
        <v>166</v>
      </c>
      <c r="V892" s="37" t="s">
        <v>166</v>
      </c>
      <c r="W892" s="37" t="s">
        <v>18</v>
      </c>
      <c r="X892" s="37" t="s">
        <v>166</v>
      </c>
      <c r="Y892" s="37" t="s">
        <v>166</v>
      </c>
      <c r="Z892" s="37" t="s">
        <v>22</v>
      </c>
      <c r="AA892" s="37">
        <v>10</v>
      </c>
      <c r="AB892" s="37">
        <v>16</v>
      </c>
      <c r="AC892" s="37" t="s">
        <v>296</v>
      </c>
      <c r="AD892" s="37" t="s">
        <v>1637</v>
      </c>
      <c r="AF892" s="37" t="s">
        <v>1640</v>
      </c>
    </row>
    <row r="893" spans="3:32" x14ac:dyDescent="0.2">
      <c r="G893" s="37" t="s">
        <v>166</v>
      </c>
      <c r="H893" s="37" t="s">
        <v>166</v>
      </c>
      <c r="I893" s="37" t="s">
        <v>166</v>
      </c>
      <c r="J893" s="37" t="s">
        <v>18</v>
      </c>
      <c r="K893" s="37">
        <v>58</v>
      </c>
      <c r="L893" s="37">
        <v>134</v>
      </c>
      <c r="M893" s="37">
        <v>9</v>
      </c>
      <c r="N893" s="37">
        <v>201</v>
      </c>
      <c r="O893" s="37">
        <v>79</v>
      </c>
      <c r="P893" s="37">
        <v>39</v>
      </c>
      <c r="Q893" s="37">
        <v>319</v>
      </c>
      <c r="R893" s="37">
        <v>3544</v>
      </c>
      <c r="T893" s="37" t="s">
        <v>166</v>
      </c>
      <c r="U893" s="37" t="s">
        <v>166</v>
      </c>
      <c r="V893" s="37" t="s">
        <v>166</v>
      </c>
      <c r="W893" s="37" t="s">
        <v>18</v>
      </c>
      <c r="X893" s="37" t="s">
        <v>166</v>
      </c>
      <c r="Y893" s="37" t="s">
        <v>166</v>
      </c>
      <c r="Z893" s="37" t="s">
        <v>22</v>
      </c>
      <c r="AA893" s="37">
        <v>10</v>
      </c>
      <c r="AB893" s="37">
        <v>16</v>
      </c>
      <c r="AC893" s="37" t="s">
        <v>296</v>
      </c>
      <c r="AD893" s="37" t="s">
        <v>1637</v>
      </c>
      <c r="AF893" s="37" t="s">
        <v>1641</v>
      </c>
    </row>
    <row r="894" spans="3:32" x14ac:dyDescent="0.2">
      <c r="C894" s="37" t="s">
        <v>22</v>
      </c>
      <c r="D894" s="37">
        <v>11</v>
      </c>
      <c r="E894" s="37">
        <v>3</v>
      </c>
      <c r="F894" s="37" t="s">
        <v>296</v>
      </c>
      <c r="G894" s="37">
        <v>4.3</v>
      </c>
      <c r="H894" s="37" t="s">
        <v>181</v>
      </c>
      <c r="I894" s="37" t="s">
        <v>23</v>
      </c>
      <c r="J894" s="37" t="s">
        <v>17</v>
      </c>
      <c r="K894" s="37">
        <v>11</v>
      </c>
      <c r="L894" s="37">
        <v>67</v>
      </c>
      <c r="M894" s="37">
        <v>19</v>
      </c>
      <c r="N894" s="37">
        <v>97</v>
      </c>
      <c r="O894" s="37">
        <v>79</v>
      </c>
      <c r="P894" s="37">
        <v>25</v>
      </c>
      <c r="Q894" s="37">
        <v>201</v>
      </c>
      <c r="R894" s="37">
        <v>7932</v>
      </c>
      <c r="T894" s="37" t="s">
        <v>181</v>
      </c>
      <c r="U894" s="37" t="s">
        <v>226</v>
      </c>
      <c r="V894" s="37">
        <v>55</v>
      </c>
      <c r="W894" s="37" t="s">
        <v>18</v>
      </c>
      <c r="X894" s="37" t="s">
        <v>190</v>
      </c>
      <c r="Y894" s="37">
        <v>946</v>
      </c>
      <c r="Z894" s="37" t="s">
        <v>22</v>
      </c>
      <c r="AA894" s="37">
        <v>11</v>
      </c>
      <c r="AB894" s="37">
        <v>3</v>
      </c>
      <c r="AC894" s="37" t="s">
        <v>296</v>
      </c>
      <c r="AD894" s="37" t="s">
        <v>1642</v>
      </c>
      <c r="AF894" s="37" t="s">
        <v>1643</v>
      </c>
    </row>
    <row r="895" spans="3:32" x14ac:dyDescent="0.2">
      <c r="G895" s="37" t="s">
        <v>166</v>
      </c>
      <c r="H895" s="37" t="s">
        <v>166</v>
      </c>
      <c r="I895" s="37" t="s">
        <v>166</v>
      </c>
      <c r="J895" s="37" t="s">
        <v>18</v>
      </c>
      <c r="K895" s="37">
        <v>123</v>
      </c>
      <c r="L895" s="37">
        <v>276</v>
      </c>
      <c r="M895" s="37">
        <v>20</v>
      </c>
      <c r="N895" s="37">
        <v>419</v>
      </c>
      <c r="O895" s="37">
        <v>218</v>
      </c>
      <c r="P895" s="37">
        <v>97</v>
      </c>
      <c r="Q895" s="37">
        <v>734</v>
      </c>
      <c r="R895" s="37">
        <v>7425</v>
      </c>
      <c r="T895" s="37" t="s">
        <v>166</v>
      </c>
      <c r="U895" s="37" t="s">
        <v>166</v>
      </c>
      <c r="V895" s="37" t="s">
        <v>166</v>
      </c>
      <c r="W895" s="37" t="s">
        <v>18</v>
      </c>
      <c r="X895" s="37" t="s">
        <v>166</v>
      </c>
      <c r="Y895" s="37" t="s">
        <v>166</v>
      </c>
      <c r="Z895" s="37" t="s">
        <v>22</v>
      </c>
      <c r="AA895" s="37">
        <v>11</v>
      </c>
      <c r="AB895" s="37">
        <v>3</v>
      </c>
      <c r="AC895" s="37" t="s">
        <v>296</v>
      </c>
      <c r="AD895" s="37" t="s">
        <v>1642</v>
      </c>
      <c r="AF895" s="37" t="s">
        <v>1644</v>
      </c>
    </row>
    <row r="896" spans="3:32" x14ac:dyDescent="0.2">
      <c r="C896" s="37" t="s">
        <v>22</v>
      </c>
      <c r="D896" s="37">
        <v>11</v>
      </c>
      <c r="E896" s="37">
        <v>5</v>
      </c>
      <c r="F896" s="37">
        <v>2</v>
      </c>
      <c r="G896" s="37">
        <v>4.5</v>
      </c>
      <c r="H896" s="37" t="s">
        <v>181</v>
      </c>
      <c r="I896" s="37" t="s">
        <v>23</v>
      </c>
      <c r="J896" s="37" t="s">
        <v>17</v>
      </c>
      <c r="K896" s="37">
        <v>8</v>
      </c>
      <c r="L896" s="37">
        <v>59</v>
      </c>
      <c r="M896" s="37">
        <v>21</v>
      </c>
      <c r="N896" s="37">
        <v>88</v>
      </c>
      <c r="O896" s="37">
        <v>71</v>
      </c>
      <c r="P896" s="37">
        <v>22</v>
      </c>
      <c r="Q896" s="37">
        <v>181</v>
      </c>
      <c r="R896" s="37">
        <v>7027</v>
      </c>
      <c r="T896" s="37" t="s">
        <v>181</v>
      </c>
      <c r="U896" s="37" t="s">
        <v>210</v>
      </c>
      <c r="V896" s="37">
        <v>65</v>
      </c>
      <c r="W896" s="37" t="s">
        <v>18</v>
      </c>
      <c r="X896" s="37" t="s">
        <v>190</v>
      </c>
      <c r="Y896" s="37">
        <v>900</v>
      </c>
      <c r="Z896" s="37" t="s">
        <v>22</v>
      </c>
      <c r="AA896" s="37">
        <v>11</v>
      </c>
      <c r="AB896" s="37">
        <v>5</v>
      </c>
      <c r="AC896" s="37">
        <v>2</v>
      </c>
      <c r="AD896" s="37" t="s">
        <v>1645</v>
      </c>
      <c r="AF896" s="37" t="s">
        <v>1646</v>
      </c>
    </row>
    <row r="897" spans="3:32" x14ac:dyDescent="0.2">
      <c r="G897" s="37" t="s">
        <v>166</v>
      </c>
      <c r="H897" s="37" t="s">
        <v>166</v>
      </c>
      <c r="I897" s="37" t="s">
        <v>166</v>
      </c>
      <c r="J897" s="37" t="s">
        <v>19</v>
      </c>
      <c r="K897" s="37">
        <v>0</v>
      </c>
      <c r="L897" s="37">
        <v>30</v>
      </c>
      <c r="M897" s="37">
        <v>10</v>
      </c>
      <c r="N897" s="37">
        <v>40</v>
      </c>
      <c r="O897" s="37">
        <v>39</v>
      </c>
      <c r="P897" s="37">
        <v>8</v>
      </c>
      <c r="Q897" s="37">
        <v>87</v>
      </c>
      <c r="R897" s="37">
        <v>1786</v>
      </c>
      <c r="T897" s="37" t="s">
        <v>166</v>
      </c>
      <c r="U897" s="37" t="s">
        <v>166</v>
      </c>
      <c r="V897" s="37" t="s">
        <v>166</v>
      </c>
      <c r="W897" s="37" t="s">
        <v>18</v>
      </c>
      <c r="X897" s="37" t="s">
        <v>166</v>
      </c>
      <c r="Y897" s="37" t="s">
        <v>166</v>
      </c>
      <c r="Z897" s="37" t="s">
        <v>22</v>
      </c>
      <c r="AA897" s="37">
        <v>11</v>
      </c>
      <c r="AB897" s="37">
        <v>5</v>
      </c>
      <c r="AC897" s="37">
        <v>2</v>
      </c>
      <c r="AD897" s="37" t="s">
        <v>1645</v>
      </c>
      <c r="AF897" s="37" t="s">
        <v>1647</v>
      </c>
    </row>
    <row r="898" spans="3:32" x14ac:dyDescent="0.2">
      <c r="G898" s="37" t="s">
        <v>166</v>
      </c>
      <c r="H898" s="37" t="s">
        <v>166</v>
      </c>
      <c r="I898" s="37" t="s">
        <v>166</v>
      </c>
      <c r="J898" s="37" t="s">
        <v>18</v>
      </c>
      <c r="K898" s="37">
        <v>91</v>
      </c>
      <c r="L898" s="37">
        <v>223</v>
      </c>
      <c r="M898" s="37">
        <v>15</v>
      </c>
      <c r="N898" s="37">
        <v>329</v>
      </c>
      <c r="O898" s="37">
        <v>198</v>
      </c>
      <c r="P898" s="37">
        <v>84</v>
      </c>
      <c r="Q898" s="37">
        <v>611</v>
      </c>
      <c r="R898" s="37">
        <v>5836</v>
      </c>
      <c r="T898" s="37" t="s">
        <v>166</v>
      </c>
      <c r="U898" s="37" t="s">
        <v>166</v>
      </c>
      <c r="V898" s="37" t="s">
        <v>166</v>
      </c>
      <c r="W898" s="37" t="s">
        <v>18</v>
      </c>
      <c r="X898" s="37" t="s">
        <v>166</v>
      </c>
      <c r="Y898" s="37" t="s">
        <v>166</v>
      </c>
      <c r="Z898" s="37" t="s">
        <v>22</v>
      </c>
      <c r="AA898" s="37">
        <v>11</v>
      </c>
      <c r="AB898" s="37">
        <v>5</v>
      </c>
      <c r="AC898" s="37">
        <v>2</v>
      </c>
      <c r="AD898" s="37" t="s">
        <v>1645</v>
      </c>
      <c r="AF898" s="37" t="s">
        <v>1648</v>
      </c>
    </row>
    <row r="899" spans="3:32" x14ac:dyDescent="0.2">
      <c r="C899" s="37" t="s">
        <v>22</v>
      </c>
      <c r="D899" s="37">
        <v>11</v>
      </c>
      <c r="E899" s="37">
        <v>8</v>
      </c>
      <c r="F899" s="37">
        <v>3</v>
      </c>
      <c r="G899" s="37">
        <v>3.1</v>
      </c>
      <c r="H899" s="37" t="s">
        <v>181</v>
      </c>
      <c r="I899" s="37" t="s">
        <v>23</v>
      </c>
      <c r="J899" s="37" t="s">
        <v>17</v>
      </c>
      <c r="K899" s="37">
        <v>18</v>
      </c>
      <c r="L899" s="37">
        <v>97</v>
      </c>
      <c r="M899" s="37">
        <v>30</v>
      </c>
      <c r="N899" s="37">
        <v>145</v>
      </c>
      <c r="O899" s="37">
        <v>84</v>
      </c>
      <c r="P899" s="37">
        <v>33</v>
      </c>
      <c r="Q899" s="37">
        <v>262</v>
      </c>
      <c r="R899" s="37">
        <v>11634</v>
      </c>
      <c r="T899" s="37" t="s">
        <v>181</v>
      </c>
      <c r="U899" s="37" t="s">
        <v>198</v>
      </c>
      <c r="V899" s="37">
        <v>55</v>
      </c>
      <c r="W899" s="37" t="s">
        <v>18</v>
      </c>
      <c r="X899" s="37" t="s">
        <v>190</v>
      </c>
      <c r="Y899" s="37">
        <v>868</v>
      </c>
      <c r="Z899" s="37" t="s">
        <v>22</v>
      </c>
      <c r="AA899" s="37">
        <v>11</v>
      </c>
      <c r="AB899" s="37">
        <v>8</v>
      </c>
      <c r="AC899" s="37">
        <v>3</v>
      </c>
      <c r="AD899" s="37" t="s">
        <v>1649</v>
      </c>
      <c r="AF899" s="37" t="s">
        <v>1650</v>
      </c>
    </row>
    <row r="900" spans="3:32" x14ac:dyDescent="0.2">
      <c r="G900" s="37" t="s">
        <v>166</v>
      </c>
      <c r="H900" s="37" t="s">
        <v>166</v>
      </c>
      <c r="I900" s="37" t="s">
        <v>166</v>
      </c>
      <c r="J900" s="37" t="s">
        <v>18</v>
      </c>
      <c r="K900" s="37">
        <v>123</v>
      </c>
      <c r="L900" s="37">
        <v>194</v>
      </c>
      <c r="M900" s="37">
        <v>11</v>
      </c>
      <c r="N900" s="37">
        <v>328</v>
      </c>
      <c r="O900" s="37">
        <v>183</v>
      </c>
      <c r="P900" s="37">
        <v>79</v>
      </c>
      <c r="Q900" s="37">
        <v>590</v>
      </c>
      <c r="R900" s="37">
        <v>6004</v>
      </c>
      <c r="T900" s="37" t="s">
        <v>166</v>
      </c>
      <c r="U900" s="37" t="s">
        <v>166</v>
      </c>
      <c r="V900" s="37" t="s">
        <v>166</v>
      </c>
      <c r="W900" s="37" t="s">
        <v>18</v>
      </c>
      <c r="X900" s="37" t="s">
        <v>166</v>
      </c>
      <c r="Y900" s="37" t="s">
        <v>166</v>
      </c>
      <c r="Z900" s="37" t="s">
        <v>22</v>
      </c>
      <c r="AA900" s="37">
        <v>11</v>
      </c>
      <c r="AB900" s="37">
        <v>8</v>
      </c>
      <c r="AC900" s="37">
        <v>3</v>
      </c>
      <c r="AD900" s="37" t="s">
        <v>1649</v>
      </c>
      <c r="AF900" s="37" t="s">
        <v>1651</v>
      </c>
    </row>
    <row r="901" spans="3:32" x14ac:dyDescent="0.2">
      <c r="C901" s="37" t="s">
        <v>22</v>
      </c>
      <c r="D901" s="37">
        <v>11</v>
      </c>
      <c r="E901" s="37">
        <v>17</v>
      </c>
      <c r="F901" s="37">
        <v>4</v>
      </c>
      <c r="G901" s="37">
        <v>4.8</v>
      </c>
      <c r="H901" s="37" t="s">
        <v>181</v>
      </c>
      <c r="I901" s="37" t="s">
        <v>23</v>
      </c>
      <c r="J901" s="37" t="s">
        <v>17</v>
      </c>
      <c r="K901" s="37">
        <v>6</v>
      </c>
      <c r="L901" s="37">
        <v>43</v>
      </c>
      <c r="M901" s="37">
        <v>14</v>
      </c>
      <c r="N901" s="37">
        <v>63</v>
      </c>
      <c r="O901" s="37">
        <v>43</v>
      </c>
      <c r="P901" s="37">
        <v>15</v>
      </c>
      <c r="Q901" s="37">
        <v>121</v>
      </c>
      <c r="R901" s="37">
        <v>5053</v>
      </c>
      <c r="T901" s="37" t="s">
        <v>181</v>
      </c>
      <c r="U901" s="37" t="s">
        <v>363</v>
      </c>
      <c r="V901" s="37">
        <v>50</v>
      </c>
      <c r="W901" s="37" t="s">
        <v>18</v>
      </c>
      <c r="X901" s="37" t="s">
        <v>190</v>
      </c>
      <c r="Y901" s="37">
        <v>1152</v>
      </c>
      <c r="Z901" s="37" t="s">
        <v>22</v>
      </c>
      <c r="AA901" s="37">
        <v>11</v>
      </c>
      <c r="AB901" s="37">
        <v>17</v>
      </c>
      <c r="AC901" s="37">
        <v>4</v>
      </c>
      <c r="AD901" s="37" t="s">
        <v>1652</v>
      </c>
      <c r="AF901" s="37" t="s">
        <v>1653</v>
      </c>
    </row>
    <row r="902" spans="3:32" x14ac:dyDescent="0.2">
      <c r="G902" s="37" t="s">
        <v>166</v>
      </c>
      <c r="H902" s="37" t="s">
        <v>166</v>
      </c>
      <c r="I902" s="37" t="s">
        <v>166</v>
      </c>
      <c r="J902" s="37" t="s">
        <v>19</v>
      </c>
      <c r="K902" s="37">
        <v>1</v>
      </c>
      <c r="L902" s="37">
        <v>41</v>
      </c>
      <c r="M902" s="37">
        <v>12</v>
      </c>
      <c r="N902" s="37">
        <v>54</v>
      </c>
      <c r="O902" s="37">
        <v>40</v>
      </c>
      <c r="P902" s="37">
        <v>10</v>
      </c>
      <c r="Q902" s="37">
        <v>104</v>
      </c>
      <c r="R902" s="37">
        <v>2398</v>
      </c>
      <c r="T902" s="37" t="s">
        <v>166</v>
      </c>
      <c r="U902" s="37" t="s">
        <v>166</v>
      </c>
      <c r="V902" s="37" t="s">
        <v>166</v>
      </c>
      <c r="W902" s="37" t="s">
        <v>18</v>
      </c>
      <c r="X902" s="37" t="s">
        <v>166</v>
      </c>
      <c r="Y902" s="37" t="s">
        <v>166</v>
      </c>
      <c r="Z902" s="37" t="s">
        <v>22</v>
      </c>
      <c r="AA902" s="37">
        <v>11</v>
      </c>
      <c r="AB902" s="37">
        <v>17</v>
      </c>
      <c r="AC902" s="37">
        <v>4</v>
      </c>
      <c r="AD902" s="37" t="s">
        <v>1652</v>
      </c>
      <c r="AF902" s="37" t="s">
        <v>1654</v>
      </c>
    </row>
    <row r="903" spans="3:32" x14ac:dyDescent="0.2">
      <c r="G903" s="37" t="s">
        <v>166</v>
      </c>
      <c r="H903" s="37" t="s">
        <v>166</v>
      </c>
      <c r="I903" s="37" t="s">
        <v>166</v>
      </c>
      <c r="J903" s="37" t="s">
        <v>18</v>
      </c>
      <c r="K903" s="37">
        <v>190</v>
      </c>
      <c r="L903" s="37">
        <v>303</v>
      </c>
      <c r="M903" s="37">
        <v>18</v>
      </c>
      <c r="N903" s="37">
        <v>511</v>
      </c>
      <c r="O903" s="37">
        <v>275</v>
      </c>
      <c r="P903" s="37">
        <v>119</v>
      </c>
      <c r="Q903" s="37">
        <v>905</v>
      </c>
      <c r="R903" s="37">
        <v>9326</v>
      </c>
      <c r="T903" s="37" t="s">
        <v>166</v>
      </c>
      <c r="U903" s="37" t="s">
        <v>166</v>
      </c>
      <c r="V903" s="37" t="s">
        <v>166</v>
      </c>
      <c r="W903" s="37" t="s">
        <v>18</v>
      </c>
      <c r="X903" s="37" t="s">
        <v>166</v>
      </c>
      <c r="Y903" s="37" t="s">
        <v>166</v>
      </c>
      <c r="Z903" s="37" t="s">
        <v>22</v>
      </c>
      <c r="AA903" s="37">
        <v>11</v>
      </c>
      <c r="AB903" s="37">
        <v>17</v>
      </c>
      <c r="AC903" s="37">
        <v>4</v>
      </c>
      <c r="AD903" s="37" t="s">
        <v>1652</v>
      </c>
      <c r="AF903" s="37" t="s">
        <v>1655</v>
      </c>
    </row>
    <row r="904" spans="3:32" x14ac:dyDescent="0.2">
      <c r="C904" s="37" t="s">
        <v>22</v>
      </c>
      <c r="D904" s="37">
        <v>11</v>
      </c>
      <c r="E904" s="37">
        <v>27</v>
      </c>
      <c r="F904" s="37">
        <v>5</v>
      </c>
      <c r="G904" s="37">
        <v>4.9000000000000004</v>
      </c>
      <c r="H904" s="37" t="s">
        <v>181</v>
      </c>
      <c r="I904" s="37" t="s">
        <v>23</v>
      </c>
      <c r="J904" s="37" t="s">
        <v>17</v>
      </c>
      <c r="K904" s="37">
        <v>18</v>
      </c>
      <c r="L904" s="37">
        <v>98</v>
      </c>
      <c r="M904" s="37">
        <v>31</v>
      </c>
      <c r="N904" s="37">
        <v>147</v>
      </c>
      <c r="O904" s="37">
        <v>81</v>
      </c>
      <c r="P904" s="37">
        <v>33</v>
      </c>
      <c r="Q904" s="37">
        <v>261</v>
      </c>
      <c r="R904" s="37">
        <v>11755</v>
      </c>
      <c r="T904" s="37" t="s">
        <v>181</v>
      </c>
      <c r="U904" s="37" t="s">
        <v>207</v>
      </c>
      <c r="V904" s="37">
        <v>55</v>
      </c>
      <c r="W904" s="37" t="s">
        <v>18</v>
      </c>
      <c r="X904" s="37" t="s">
        <v>190</v>
      </c>
      <c r="Y904" s="37">
        <v>1274</v>
      </c>
      <c r="Z904" s="37" t="s">
        <v>22</v>
      </c>
      <c r="AA904" s="37">
        <v>11</v>
      </c>
      <c r="AB904" s="37">
        <v>27</v>
      </c>
      <c r="AC904" s="37">
        <v>5</v>
      </c>
      <c r="AD904" s="37" t="s">
        <v>1656</v>
      </c>
      <c r="AF904" s="37" t="s">
        <v>1657</v>
      </c>
    </row>
    <row r="905" spans="3:32" x14ac:dyDescent="0.2">
      <c r="G905" s="37" t="s">
        <v>166</v>
      </c>
      <c r="H905" s="37" t="s">
        <v>166</v>
      </c>
      <c r="I905" s="37" t="s">
        <v>166</v>
      </c>
      <c r="J905" s="37" t="s">
        <v>18</v>
      </c>
      <c r="K905" s="37">
        <v>204</v>
      </c>
      <c r="L905" s="37">
        <v>331</v>
      </c>
      <c r="M905" s="37">
        <v>22</v>
      </c>
      <c r="N905" s="37">
        <v>557</v>
      </c>
      <c r="O905" s="37">
        <v>300</v>
      </c>
      <c r="P905" s="37">
        <v>130</v>
      </c>
      <c r="Q905" s="37">
        <v>987</v>
      </c>
      <c r="R905" s="37">
        <v>10134</v>
      </c>
      <c r="T905" s="37" t="s">
        <v>166</v>
      </c>
      <c r="U905" s="37" t="s">
        <v>166</v>
      </c>
      <c r="V905" s="37" t="s">
        <v>166</v>
      </c>
      <c r="W905" s="37" t="s">
        <v>18</v>
      </c>
      <c r="X905" s="37" t="s">
        <v>166</v>
      </c>
      <c r="Y905" s="37" t="s">
        <v>166</v>
      </c>
      <c r="Z905" s="37" t="s">
        <v>22</v>
      </c>
      <c r="AA905" s="37">
        <v>11</v>
      </c>
      <c r="AB905" s="37">
        <v>27</v>
      </c>
      <c r="AC905" s="37">
        <v>5</v>
      </c>
      <c r="AD905" s="37" t="s">
        <v>1656</v>
      </c>
      <c r="AF905" s="37" t="s">
        <v>1658</v>
      </c>
    </row>
    <row r="906" spans="3:32" x14ac:dyDescent="0.2">
      <c r="C906" s="37" t="s">
        <v>22</v>
      </c>
      <c r="D906" s="37">
        <v>12</v>
      </c>
      <c r="E906" s="37">
        <v>6</v>
      </c>
      <c r="F906" s="37" t="s">
        <v>296</v>
      </c>
      <c r="G906" s="37">
        <v>1.8</v>
      </c>
      <c r="H906" s="37" t="s">
        <v>181</v>
      </c>
      <c r="I906" s="37" t="s">
        <v>23</v>
      </c>
      <c r="J906" s="37" t="s">
        <v>17</v>
      </c>
      <c r="K906" s="37">
        <v>32</v>
      </c>
      <c r="L906" s="37">
        <v>94</v>
      </c>
      <c r="M906" s="37">
        <v>21</v>
      </c>
      <c r="N906" s="37">
        <v>147</v>
      </c>
      <c r="O906" s="37">
        <v>64</v>
      </c>
      <c r="P906" s="37">
        <v>30</v>
      </c>
      <c r="Q906" s="37">
        <v>241</v>
      </c>
      <c r="R906" s="37">
        <v>12470</v>
      </c>
      <c r="T906" s="37" t="s">
        <v>181</v>
      </c>
      <c r="U906" s="37" t="s">
        <v>212</v>
      </c>
      <c r="V906" s="37">
        <v>65</v>
      </c>
      <c r="W906" s="37" t="s">
        <v>17</v>
      </c>
      <c r="X906" s="37" t="s">
        <v>190</v>
      </c>
      <c r="Y906" s="37">
        <v>378</v>
      </c>
      <c r="Z906" s="37" t="s">
        <v>22</v>
      </c>
      <c r="AA906" s="37">
        <v>12</v>
      </c>
      <c r="AB906" s="37">
        <v>6</v>
      </c>
      <c r="AC906" s="37" t="s">
        <v>296</v>
      </c>
      <c r="AD906" s="37" t="s">
        <v>1659</v>
      </c>
      <c r="AF906" s="37" t="s">
        <v>1660</v>
      </c>
    </row>
    <row r="907" spans="3:32" x14ac:dyDescent="0.2">
      <c r="G907" s="37" t="s">
        <v>166</v>
      </c>
      <c r="H907" s="37" t="s">
        <v>166</v>
      </c>
      <c r="I907" s="37" t="s">
        <v>166</v>
      </c>
      <c r="J907" s="37" t="s">
        <v>18</v>
      </c>
      <c r="K907" s="37">
        <v>26</v>
      </c>
      <c r="L907" s="37">
        <v>32</v>
      </c>
      <c r="M907" s="37">
        <v>2</v>
      </c>
      <c r="N907" s="37">
        <v>60</v>
      </c>
      <c r="O907" s="37">
        <v>34</v>
      </c>
      <c r="P907" s="37">
        <v>15</v>
      </c>
      <c r="Q907" s="37">
        <v>109</v>
      </c>
      <c r="R907" s="37">
        <v>1122</v>
      </c>
      <c r="T907" s="37" t="s">
        <v>166</v>
      </c>
      <c r="U907" s="37" t="s">
        <v>166</v>
      </c>
      <c r="V907" s="37" t="s">
        <v>166</v>
      </c>
      <c r="W907" s="37" t="s">
        <v>17</v>
      </c>
      <c r="X907" s="37" t="s">
        <v>166</v>
      </c>
      <c r="Y907" s="37" t="s">
        <v>166</v>
      </c>
      <c r="Z907" s="37" t="s">
        <v>22</v>
      </c>
      <c r="AA907" s="37">
        <v>12</v>
      </c>
      <c r="AB907" s="37">
        <v>6</v>
      </c>
      <c r="AC907" s="37" t="s">
        <v>296</v>
      </c>
      <c r="AD907" s="37" t="s">
        <v>1659</v>
      </c>
      <c r="AF907" s="37" t="s">
        <v>1661</v>
      </c>
    </row>
    <row r="908" spans="3:32" x14ac:dyDescent="0.2">
      <c r="C908" s="37" t="s">
        <v>22</v>
      </c>
      <c r="D908" s="37">
        <v>12</v>
      </c>
      <c r="E908" s="37">
        <v>13</v>
      </c>
      <c r="F908" s="37">
        <v>2</v>
      </c>
      <c r="G908" s="37">
        <v>4.5999999999999996</v>
      </c>
      <c r="H908" s="37" t="s">
        <v>181</v>
      </c>
      <c r="I908" s="37" t="s">
        <v>23</v>
      </c>
      <c r="J908" s="37" t="s">
        <v>17</v>
      </c>
      <c r="K908" s="37">
        <v>9</v>
      </c>
      <c r="L908" s="37">
        <v>95</v>
      </c>
      <c r="M908" s="37">
        <v>44</v>
      </c>
      <c r="N908" s="37">
        <v>148</v>
      </c>
      <c r="O908" s="37">
        <v>78</v>
      </c>
      <c r="P908" s="37">
        <v>32</v>
      </c>
      <c r="Q908" s="37">
        <v>258</v>
      </c>
      <c r="R908" s="37">
        <v>10989</v>
      </c>
      <c r="T908" s="37" t="s">
        <v>181</v>
      </c>
      <c r="U908" s="37" t="s">
        <v>214</v>
      </c>
      <c r="V908" s="37">
        <v>45</v>
      </c>
      <c r="W908" s="37" t="s">
        <v>18</v>
      </c>
      <c r="X908" s="37" t="s">
        <v>190</v>
      </c>
      <c r="Y908" s="37">
        <v>873.99999999999989</v>
      </c>
      <c r="Z908" s="37" t="s">
        <v>22</v>
      </c>
      <c r="AA908" s="37">
        <v>12</v>
      </c>
      <c r="AB908" s="37">
        <v>13</v>
      </c>
      <c r="AC908" s="37">
        <v>2</v>
      </c>
      <c r="AD908" s="37" t="s">
        <v>1662</v>
      </c>
      <c r="AF908" s="37" t="s">
        <v>1663</v>
      </c>
    </row>
    <row r="909" spans="3:32" x14ac:dyDescent="0.2">
      <c r="G909" s="37" t="s">
        <v>166</v>
      </c>
      <c r="H909" s="37" t="s">
        <v>166</v>
      </c>
      <c r="I909" s="37" t="s">
        <v>166</v>
      </c>
      <c r="J909" s="37" t="s">
        <v>19</v>
      </c>
      <c r="K909" s="37">
        <v>0</v>
      </c>
      <c r="L909" s="37">
        <v>21</v>
      </c>
      <c r="M909" s="37">
        <v>12</v>
      </c>
      <c r="N909" s="37">
        <v>33</v>
      </c>
      <c r="O909" s="37">
        <v>38</v>
      </c>
      <c r="P909" s="37">
        <v>8</v>
      </c>
      <c r="Q909" s="37">
        <v>79</v>
      </c>
      <c r="R909" s="37">
        <v>1378</v>
      </c>
      <c r="T909" s="37" t="s">
        <v>166</v>
      </c>
      <c r="U909" s="37" t="s">
        <v>166</v>
      </c>
      <c r="V909" s="37" t="s">
        <v>166</v>
      </c>
      <c r="W909" s="37" t="s">
        <v>18</v>
      </c>
      <c r="X909" s="37" t="s">
        <v>166</v>
      </c>
      <c r="Y909" s="37" t="s">
        <v>166</v>
      </c>
      <c r="Z909" s="37" t="s">
        <v>22</v>
      </c>
      <c r="AA909" s="37">
        <v>12</v>
      </c>
      <c r="AB909" s="37">
        <v>13</v>
      </c>
      <c r="AC909" s="37">
        <v>2</v>
      </c>
      <c r="AD909" s="37" t="s">
        <v>1662</v>
      </c>
      <c r="AF909" s="37" t="s">
        <v>1664</v>
      </c>
    </row>
    <row r="910" spans="3:32" x14ac:dyDescent="0.2">
      <c r="G910" s="37" t="s">
        <v>166</v>
      </c>
      <c r="H910" s="37" t="s">
        <v>166</v>
      </c>
      <c r="I910" s="37" t="s">
        <v>166</v>
      </c>
      <c r="J910" s="37" t="s">
        <v>18</v>
      </c>
      <c r="K910" s="37">
        <v>121</v>
      </c>
      <c r="L910" s="37">
        <v>178</v>
      </c>
      <c r="M910" s="37">
        <v>11</v>
      </c>
      <c r="N910" s="37">
        <v>310</v>
      </c>
      <c r="O910" s="37">
        <v>143</v>
      </c>
      <c r="P910" s="37">
        <v>66</v>
      </c>
      <c r="Q910" s="37">
        <v>519</v>
      </c>
      <c r="R910" s="37">
        <v>5677</v>
      </c>
      <c r="T910" s="37" t="s">
        <v>166</v>
      </c>
      <c r="U910" s="37" t="s">
        <v>166</v>
      </c>
      <c r="V910" s="37" t="s">
        <v>166</v>
      </c>
      <c r="W910" s="37" t="s">
        <v>18</v>
      </c>
      <c r="X910" s="37" t="s">
        <v>166</v>
      </c>
      <c r="Y910" s="37" t="s">
        <v>166</v>
      </c>
      <c r="Z910" s="37" t="s">
        <v>22</v>
      </c>
      <c r="AA910" s="37">
        <v>12</v>
      </c>
      <c r="AB910" s="37">
        <v>13</v>
      </c>
      <c r="AC910" s="37">
        <v>2</v>
      </c>
      <c r="AD910" s="37" t="s">
        <v>1662</v>
      </c>
      <c r="AF910" s="37" t="s">
        <v>1665</v>
      </c>
    </row>
    <row r="911" spans="3:32" x14ac:dyDescent="0.2">
      <c r="C911" s="37" t="s">
        <v>22</v>
      </c>
      <c r="D911" s="37">
        <v>12</v>
      </c>
      <c r="E911" s="37">
        <v>13</v>
      </c>
      <c r="F911" s="37">
        <v>3</v>
      </c>
      <c r="G911" s="37">
        <v>3.8</v>
      </c>
      <c r="H911" s="37" t="s">
        <v>181</v>
      </c>
      <c r="I911" s="37" t="s">
        <v>23</v>
      </c>
      <c r="J911" s="37" t="s">
        <v>17</v>
      </c>
      <c r="K911" s="37">
        <v>10</v>
      </c>
      <c r="L911" s="37">
        <v>77</v>
      </c>
      <c r="M911" s="37">
        <v>35</v>
      </c>
      <c r="N911" s="37">
        <v>122</v>
      </c>
      <c r="O911" s="37">
        <v>61</v>
      </c>
      <c r="P911" s="37">
        <v>26</v>
      </c>
      <c r="Q911" s="37">
        <v>209</v>
      </c>
      <c r="R911" s="37">
        <v>9167</v>
      </c>
      <c r="T911" s="37" t="s">
        <v>181</v>
      </c>
      <c r="U911" s="37" t="s">
        <v>214</v>
      </c>
      <c r="V911" s="37">
        <v>45</v>
      </c>
      <c r="W911" s="37" t="s">
        <v>18</v>
      </c>
      <c r="X911" s="37" t="s">
        <v>190</v>
      </c>
      <c r="Y911" s="37">
        <v>722</v>
      </c>
      <c r="Z911" s="37" t="s">
        <v>22</v>
      </c>
      <c r="AA911" s="37">
        <v>12</v>
      </c>
      <c r="AB911" s="37">
        <v>13</v>
      </c>
      <c r="AC911" s="37">
        <v>3</v>
      </c>
      <c r="AD911" s="37" t="s">
        <v>1666</v>
      </c>
      <c r="AF911" s="37" t="s">
        <v>1667</v>
      </c>
    </row>
    <row r="912" spans="3:32" x14ac:dyDescent="0.2">
      <c r="G912" s="37" t="s">
        <v>166</v>
      </c>
      <c r="H912" s="37" t="s">
        <v>166</v>
      </c>
      <c r="I912" s="37" t="s">
        <v>166</v>
      </c>
      <c r="J912" s="37" t="s">
        <v>19</v>
      </c>
      <c r="K912" s="37">
        <v>0</v>
      </c>
      <c r="L912" s="37">
        <v>23</v>
      </c>
      <c r="M912" s="37">
        <v>11</v>
      </c>
      <c r="N912" s="37">
        <v>34</v>
      </c>
      <c r="O912" s="37">
        <v>33</v>
      </c>
      <c r="P912" s="37">
        <v>7</v>
      </c>
      <c r="Q912" s="37">
        <v>74</v>
      </c>
      <c r="R912" s="37">
        <v>1471</v>
      </c>
      <c r="T912" s="37" t="s">
        <v>166</v>
      </c>
      <c r="U912" s="37" t="s">
        <v>166</v>
      </c>
      <c r="V912" s="37" t="s">
        <v>166</v>
      </c>
      <c r="W912" s="37" t="s">
        <v>18</v>
      </c>
      <c r="X912" s="37" t="s">
        <v>166</v>
      </c>
      <c r="Y912" s="37" t="s">
        <v>166</v>
      </c>
      <c r="Z912" s="37" t="s">
        <v>22</v>
      </c>
      <c r="AA912" s="37">
        <v>12</v>
      </c>
      <c r="AB912" s="37">
        <v>13</v>
      </c>
      <c r="AC912" s="37">
        <v>3</v>
      </c>
      <c r="AD912" s="37" t="s">
        <v>1666</v>
      </c>
      <c r="AF912" s="37" t="s">
        <v>1668</v>
      </c>
    </row>
    <row r="913" spans="3:32" x14ac:dyDescent="0.2">
      <c r="G913" s="37" t="s">
        <v>166</v>
      </c>
      <c r="H913" s="37" t="s">
        <v>166</v>
      </c>
      <c r="I913" s="37" t="s">
        <v>166</v>
      </c>
      <c r="J913" s="37" t="s">
        <v>18</v>
      </c>
      <c r="K913" s="37">
        <v>107</v>
      </c>
      <c r="L913" s="37">
        <v>133</v>
      </c>
      <c r="M913" s="37">
        <v>9</v>
      </c>
      <c r="N913" s="37">
        <v>249</v>
      </c>
      <c r="O913" s="37">
        <v>117</v>
      </c>
      <c r="P913" s="37">
        <v>53</v>
      </c>
      <c r="Q913" s="37">
        <v>419</v>
      </c>
      <c r="R913" s="37">
        <v>4615</v>
      </c>
      <c r="T913" s="37" t="s">
        <v>166</v>
      </c>
      <c r="U913" s="37" t="s">
        <v>166</v>
      </c>
      <c r="V913" s="37" t="s">
        <v>166</v>
      </c>
      <c r="W913" s="37" t="s">
        <v>18</v>
      </c>
      <c r="X913" s="37" t="s">
        <v>166</v>
      </c>
      <c r="Y913" s="37" t="s">
        <v>166</v>
      </c>
      <c r="Z913" s="37" t="s">
        <v>22</v>
      </c>
      <c r="AA913" s="37">
        <v>12</v>
      </c>
      <c r="AB913" s="37">
        <v>13</v>
      </c>
      <c r="AC913" s="37">
        <v>3</v>
      </c>
      <c r="AD913" s="37" t="s">
        <v>1666</v>
      </c>
      <c r="AF913" s="37" t="s">
        <v>1669</v>
      </c>
    </row>
    <row r="914" spans="3:32" x14ac:dyDescent="0.2">
      <c r="C914" s="37" t="s">
        <v>22</v>
      </c>
      <c r="D914" s="37">
        <v>16</v>
      </c>
      <c r="E914" s="37">
        <v>6</v>
      </c>
      <c r="F914" s="37" t="s">
        <v>296</v>
      </c>
      <c r="G914" s="37">
        <v>3.2</v>
      </c>
      <c r="H914" s="37" t="s">
        <v>181</v>
      </c>
      <c r="I914" s="37" t="s">
        <v>23</v>
      </c>
      <c r="J914" s="37" t="s">
        <v>17</v>
      </c>
      <c r="K914" s="37">
        <v>14</v>
      </c>
      <c r="L914" s="37">
        <v>62</v>
      </c>
      <c r="M914" s="37">
        <v>14</v>
      </c>
      <c r="N914" s="37">
        <v>90</v>
      </c>
      <c r="O914" s="37">
        <v>55</v>
      </c>
      <c r="P914" s="37">
        <v>21</v>
      </c>
      <c r="Q914" s="37">
        <v>166</v>
      </c>
      <c r="R914" s="37">
        <v>7517</v>
      </c>
      <c r="T914" s="37" t="s">
        <v>181</v>
      </c>
      <c r="U914" s="37" t="s">
        <v>207</v>
      </c>
      <c r="V914" s="37">
        <v>60</v>
      </c>
      <c r="W914" s="37" t="s">
        <v>18</v>
      </c>
      <c r="X914" s="37" t="s">
        <v>190</v>
      </c>
      <c r="Y914" s="37">
        <v>832</v>
      </c>
      <c r="Z914" s="37" t="s">
        <v>22</v>
      </c>
      <c r="AA914" s="37">
        <v>16</v>
      </c>
      <c r="AB914" s="37">
        <v>6</v>
      </c>
      <c r="AC914" s="37" t="s">
        <v>296</v>
      </c>
      <c r="AD914" s="37" t="s">
        <v>1670</v>
      </c>
      <c r="AF914" s="37" t="s">
        <v>1671</v>
      </c>
    </row>
    <row r="915" spans="3:32" x14ac:dyDescent="0.2">
      <c r="G915" s="37" t="s">
        <v>166</v>
      </c>
      <c r="H915" s="37" t="s">
        <v>166</v>
      </c>
      <c r="I915" s="37" t="s">
        <v>166</v>
      </c>
      <c r="J915" s="37" t="s">
        <v>18</v>
      </c>
      <c r="K915" s="37">
        <v>176</v>
      </c>
      <c r="L915" s="37">
        <v>185</v>
      </c>
      <c r="M915" s="37">
        <v>11</v>
      </c>
      <c r="N915" s="37">
        <v>372</v>
      </c>
      <c r="O915" s="37">
        <v>194</v>
      </c>
      <c r="P915" s="37">
        <v>86</v>
      </c>
      <c r="Q915" s="37">
        <v>652</v>
      </c>
      <c r="R915" s="37">
        <v>7013</v>
      </c>
      <c r="T915" s="37" t="s">
        <v>166</v>
      </c>
      <c r="U915" s="37" t="s">
        <v>166</v>
      </c>
      <c r="V915" s="37" t="s">
        <v>166</v>
      </c>
      <c r="W915" s="37" t="s">
        <v>18</v>
      </c>
      <c r="X915" s="37" t="s">
        <v>166</v>
      </c>
      <c r="Y915" s="37" t="s">
        <v>166</v>
      </c>
      <c r="Z915" s="37" t="s">
        <v>22</v>
      </c>
      <c r="AA915" s="37">
        <v>16</v>
      </c>
      <c r="AB915" s="37">
        <v>6</v>
      </c>
      <c r="AC915" s="37" t="s">
        <v>296</v>
      </c>
      <c r="AD915" s="37" t="s">
        <v>1670</v>
      </c>
      <c r="AF915" s="37" t="s">
        <v>1672</v>
      </c>
    </row>
    <row r="916" spans="3:32" x14ac:dyDescent="0.2">
      <c r="C916" s="37" t="s">
        <v>22</v>
      </c>
      <c r="D916" s="37">
        <v>16</v>
      </c>
      <c r="E916" s="37">
        <v>9</v>
      </c>
      <c r="F916" s="37">
        <v>2</v>
      </c>
      <c r="G916" s="37">
        <v>6.7</v>
      </c>
      <c r="H916" s="37" t="s">
        <v>181</v>
      </c>
      <c r="I916" s="37" t="s">
        <v>23</v>
      </c>
      <c r="J916" s="37" t="s">
        <v>17</v>
      </c>
      <c r="K916" s="37">
        <v>18</v>
      </c>
      <c r="L916" s="37">
        <v>67</v>
      </c>
      <c r="M916" s="37">
        <v>16</v>
      </c>
      <c r="N916" s="37">
        <v>101</v>
      </c>
      <c r="O916" s="37">
        <v>67</v>
      </c>
      <c r="P916" s="37">
        <v>23</v>
      </c>
      <c r="Q916" s="37">
        <v>191</v>
      </c>
      <c r="R916" s="37">
        <v>8550</v>
      </c>
      <c r="T916" s="37" t="s">
        <v>181</v>
      </c>
      <c r="U916" s="37" t="s">
        <v>221</v>
      </c>
      <c r="V916" s="37">
        <v>55</v>
      </c>
      <c r="W916" s="37" t="s">
        <v>18</v>
      </c>
      <c r="X916" s="37" t="s">
        <v>190</v>
      </c>
      <c r="Y916" s="37">
        <v>1876</v>
      </c>
      <c r="Z916" s="37" t="s">
        <v>22</v>
      </c>
      <c r="AA916" s="37">
        <v>16</v>
      </c>
      <c r="AB916" s="37">
        <v>9</v>
      </c>
      <c r="AC916" s="37">
        <v>2</v>
      </c>
      <c r="AD916" s="37" t="s">
        <v>1673</v>
      </c>
      <c r="AF916" s="37" t="s">
        <v>1674</v>
      </c>
    </row>
    <row r="917" spans="3:32" x14ac:dyDescent="0.2">
      <c r="G917" s="37" t="s">
        <v>166</v>
      </c>
      <c r="H917" s="37" t="s">
        <v>166</v>
      </c>
      <c r="I917" s="37" t="s">
        <v>166</v>
      </c>
      <c r="J917" s="37" t="s">
        <v>18</v>
      </c>
      <c r="K917" s="37">
        <v>503</v>
      </c>
      <c r="L917" s="37">
        <v>437</v>
      </c>
      <c r="M917" s="37">
        <v>26</v>
      </c>
      <c r="N917" s="37">
        <v>966</v>
      </c>
      <c r="O917" s="37">
        <v>473</v>
      </c>
      <c r="P917" s="37">
        <v>214</v>
      </c>
      <c r="Q917" s="37">
        <v>1653</v>
      </c>
      <c r="R917" s="37">
        <v>18420</v>
      </c>
      <c r="T917" s="37" t="s">
        <v>166</v>
      </c>
      <c r="U917" s="37" t="s">
        <v>166</v>
      </c>
      <c r="V917" s="37" t="s">
        <v>166</v>
      </c>
      <c r="W917" s="37" t="s">
        <v>18</v>
      </c>
      <c r="X917" s="37" t="s">
        <v>166</v>
      </c>
      <c r="Y917" s="37" t="s">
        <v>166</v>
      </c>
      <c r="Z917" s="37" t="s">
        <v>22</v>
      </c>
      <c r="AA917" s="37">
        <v>16</v>
      </c>
      <c r="AB917" s="37">
        <v>9</v>
      </c>
      <c r="AC917" s="37">
        <v>2</v>
      </c>
      <c r="AD917" s="37" t="s">
        <v>1673</v>
      </c>
      <c r="AF917" s="37" t="s">
        <v>1675</v>
      </c>
    </row>
    <row r="918" spans="3:32" x14ac:dyDescent="0.2">
      <c r="C918" s="37" t="s">
        <v>22</v>
      </c>
      <c r="D918" s="37">
        <v>16</v>
      </c>
      <c r="E918" s="37">
        <v>9</v>
      </c>
      <c r="F918" s="37">
        <v>3</v>
      </c>
      <c r="G918" s="37">
        <v>3.3</v>
      </c>
      <c r="H918" s="37" t="s">
        <v>181</v>
      </c>
      <c r="I918" s="37" t="s">
        <v>23</v>
      </c>
      <c r="J918" s="37" t="s">
        <v>17</v>
      </c>
      <c r="K918" s="37">
        <v>8</v>
      </c>
      <c r="L918" s="37">
        <v>36</v>
      </c>
      <c r="M918" s="37">
        <v>10</v>
      </c>
      <c r="N918" s="37">
        <v>54</v>
      </c>
      <c r="O918" s="37">
        <v>32</v>
      </c>
      <c r="P918" s="37">
        <v>12</v>
      </c>
      <c r="Q918" s="37">
        <v>98</v>
      </c>
      <c r="R918" s="37">
        <v>4399</v>
      </c>
      <c r="T918" s="37" t="s">
        <v>181</v>
      </c>
      <c r="U918" s="37" t="s">
        <v>221</v>
      </c>
      <c r="V918" s="37">
        <v>55</v>
      </c>
      <c r="W918" s="37" t="s">
        <v>18</v>
      </c>
      <c r="X918" s="37" t="s">
        <v>190</v>
      </c>
      <c r="Y918" s="37">
        <v>924</v>
      </c>
      <c r="Z918" s="37" t="s">
        <v>22</v>
      </c>
      <c r="AA918" s="37">
        <v>16</v>
      </c>
      <c r="AB918" s="37">
        <v>9</v>
      </c>
      <c r="AC918" s="37">
        <v>3</v>
      </c>
      <c r="AD918" s="37" t="s">
        <v>1676</v>
      </c>
      <c r="AF918" s="37" t="s">
        <v>1677</v>
      </c>
    </row>
    <row r="919" spans="3:32" x14ac:dyDescent="0.2">
      <c r="G919" s="37" t="s">
        <v>166</v>
      </c>
      <c r="H919" s="37" t="s">
        <v>166</v>
      </c>
      <c r="I919" s="37" t="s">
        <v>166</v>
      </c>
      <c r="J919" s="37" t="s">
        <v>18</v>
      </c>
      <c r="K919" s="37">
        <v>241</v>
      </c>
      <c r="L919" s="37">
        <v>231</v>
      </c>
      <c r="M919" s="37">
        <v>14</v>
      </c>
      <c r="N919" s="37">
        <v>486</v>
      </c>
      <c r="O919" s="37">
        <v>220</v>
      </c>
      <c r="P919" s="37">
        <v>102</v>
      </c>
      <c r="Q919" s="37">
        <v>808</v>
      </c>
      <c r="R919" s="37">
        <v>9189</v>
      </c>
      <c r="T919" s="37" t="s">
        <v>166</v>
      </c>
      <c r="U919" s="37" t="s">
        <v>166</v>
      </c>
      <c r="V919" s="37" t="s">
        <v>166</v>
      </c>
      <c r="W919" s="37" t="s">
        <v>18</v>
      </c>
      <c r="X919" s="37" t="s">
        <v>166</v>
      </c>
      <c r="Y919" s="37" t="s">
        <v>166</v>
      </c>
      <c r="Z919" s="37" t="s">
        <v>22</v>
      </c>
      <c r="AA919" s="37">
        <v>16</v>
      </c>
      <c r="AB919" s="37">
        <v>9</v>
      </c>
      <c r="AC919" s="37">
        <v>3</v>
      </c>
      <c r="AD919" s="37" t="s">
        <v>1676</v>
      </c>
      <c r="AF919" s="37" t="s">
        <v>1678</v>
      </c>
    </row>
    <row r="920" spans="3:32" x14ac:dyDescent="0.2">
      <c r="C920" s="37" t="s">
        <v>22</v>
      </c>
      <c r="D920" s="37">
        <v>16</v>
      </c>
      <c r="E920" s="37">
        <v>9</v>
      </c>
      <c r="F920" s="37">
        <v>4</v>
      </c>
      <c r="G920" s="37">
        <v>2.8</v>
      </c>
      <c r="H920" s="37" t="s">
        <v>181</v>
      </c>
      <c r="I920" s="37" t="s">
        <v>23</v>
      </c>
      <c r="J920" s="37" t="s">
        <v>17</v>
      </c>
      <c r="K920" s="37">
        <v>5</v>
      </c>
      <c r="L920" s="37">
        <v>31</v>
      </c>
      <c r="M920" s="37">
        <v>11</v>
      </c>
      <c r="N920" s="37">
        <v>47</v>
      </c>
      <c r="O920" s="37">
        <v>22</v>
      </c>
      <c r="P920" s="37">
        <v>10</v>
      </c>
      <c r="Q920" s="37">
        <v>79</v>
      </c>
      <c r="R920" s="37">
        <v>3627</v>
      </c>
      <c r="T920" s="37" t="s">
        <v>181</v>
      </c>
      <c r="U920" s="37" t="s">
        <v>221</v>
      </c>
      <c r="V920" s="37">
        <v>55</v>
      </c>
      <c r="W920" s="37" t="s">
        <v>18</v>
      </c>
      <c r="X920" s="37" t="s">
        <v>190</v>
      </c>
      <c r="Y920" s="37">
        <v>784</v>
      </c>
      <c r="Z920" s="37" t="s">
        <v>22</v>
      </c>
      <c r="AA920" s="37">
        <v>16</v>
      </c>
      <c r="AB920" s="37">
        <v>9</v>
      </c>
      <c r="AC920" s="37">
        <v>4</v>
      </c>
      <c r="AD920" s="37" t="s">
        <v>1679</v>
      </c>
      <c r="AF920" s="37" t="s">
        <v>1680</v>
      </c>
    </row>
    <row r="921" spans="3:32" x14ac:dyDescent="0.2">
      <c r="G921" s="37" t="s">
        <v>166</v>
      </c>
      <c r="H921" s="37" t="s">
        <v>166</v>
      </c>
      <c r="I921" s="37" t="s">
        <v>166</v>
      </c>
      <c r="J921" s="37" t="s">
        <v>18</v>
      </c>
      <c r="K921" s="37">
        <v>224</v>
      </c>
      <c r="L921" s="37">
        <v>169</v>
      </c>
      <c r="M921" s="37">
        <v>11</v>
      </c>
      <c r="N921" s="37">
        <v>404</v>
      </c>
      <c r="O921" s="37">
        <v>178</v>
      </c>
      <c r="P921" s="37">
        <v>84</v>
      </c>
      <c r="Q921" s="37">
        <v>666</v>
      </c>
      <c r="R921" s="37">
        <v>7754</v>
      </c>
      <c r="T921" s="37" t="s">
        <v>166</v>
      </c>
      <c r="U921" s="37" t="s">
        <v>166</v>
      </c>
      <c r="V921" s="37" t="s">
        <v>166</v>
      </c>
      <c r="W921" s="37" t="s">
        <v>18</v>
      </c>
      <c r="X921" s="37" t="s">
        <v>166</v>
      </c>
      <c r="Y921" s="37" t="s">
        <v>166</v>
      </c>
      <c r="Z921" s="37" t="s">
        <v>22</v>
      </c>
      <c r="AA921" s="37">
        <v>16</v>
      </c>
      <c r="AB921" s="37">
        <v>9</v>
      </c>
      <c r="AC921" s="37">
        <v>4</v>
      </c>
      <c r="AD921" s="37" t="s">
        <v>1679</v>
      </c>
      <c r="AF921" s="37" t="s">
        <v>1681</v>
      </c>
    </row>
    <row r="922" spans="3:32" x14ac:dyDescent="0.2">
      <c r="C922" s="37" t="s">
        <v>22</v>
      </c>
      <c r="D922" s="37">
        <v>16</v>
      </c>
      <c r="E922" s="37">
        <v>9</v>
      </c>
      <c r="F922" s="37">
        <v>5</v>
      </c>
      <c r="G922" s="37">
        <v>2.8</v>
      </c>
      <c r="H922" s="37" t="s">
        <v>181</v>
      </c>
      <c r="I922" s="37" t="s">
        <v>23</v>
      </c>
      <c r="J922" s="37" t="s">
        <v>17</v>
      </c>
      <c r="K922" s="37">
        <v>4</v>
      </c>
      <c r="L922" s="37">
        <v>31</v>
      </c>
      <c r="M922" s="37">
        <v>11</v>
      </c>
      <c r="N922" s="37">
        <v>46</v>
      </c>
      <c r="O922" s="37">
        <v>21</v>
      </c>
      <c r="P922" s="37">
        <v>10</v>
      </c>
      <c r="Q922" s="37">
        <v>77</v>
      </c>
      <c r="R922" s="37">
        <v>3563</v>
      </c>
      <c r="T922" s="37" t="s">
        <v>181</v>
      </c>
      <c r="U922" s="37" t="s">
        <v>221</v>
      </c>
      <c r="V922" s="37">
        <v>55</v>
      </c>
      <c r="W922" s="37" t="s">
        <v>18</v>
      </c>
      <c r="X922" s="37" t="s">
        <v>190</v>
      </c>
      <c r="Y922" s="37">
        <v>784</v>
      </c>
      <c r="Z922" s="37" t="s">
        <v>22</v>
      </c>
      <c r="AA922" s="37">
        <v>16</v>
      </c>
      <c r="AB922" s="37">
        <v>9</v>
      </c>
      <c r="AC922" s="37">
        <v>5</v>
      </c>
      <c r="AD922" s="37" t="s">
        <v>1682</v>
      </c>
      <c r="AF922" s="37" t="s">
        <v>1683</v>
      </c>
    </row>
    <row r="923" spans="3:32" x14ac:dyDescent="0.2">
      <c r="G923" s="37" t="s">
        <v>166</v>
      </c>
      <c r="H923" s="37" t="s">
        <v>166</v>
      </c>
      <c r="I923" s="37" t="s">
        <v>166</v>
      </c>
      <c r="J923" s="37" t="s">
        <v>18</v>
      </c>
      <c r="K923" s="37">
        <v>240</v>
      </c>
      <c r="L923" s="37">
        <v>172</v>
      </c>
      <c r="M923" s="37">
        <v>11</v>
      </c>
      <c r="N923" s="37">
        <v>423</v>
      </c>
      <c r="O923" s="37">
        <v>189</v>
      </c>
      <c r="P923" s="37">
        <v>87</v>
      </c>
      <c r="Q923" s="37">
        <v>699</v>
      </c>
      <c r="R923" s="37">
        <v>8172</v>
      </c>
      <c r="T923" s="37" t="s">
        <v>166</v>
      </c>
      <c r="U923" s="37" t="s">
        <v>166</v>
      </c>
      <c r="V923" s="37" t="s">
        <v>166</v>
      </c>
      <c r="W923" s="37" t="s">
        <v>18</v>
      </c>
      <c r="X923" s="37" t="s">
        <v>166</v>
      </c>
      <c r="Y923" s="37" t="s">
        <v>166</v>
      </c>
      <c r="Z923" s="37" t="s">
        <v>22</v>
      </c>
      <c r="AA923" s="37">
        <v>16</v>
      </c>
      <c r="AB923" s="37">
        <v>9</v>
      </c>
      <c r="AC923" s="37">
        <v>5</v>
      </c>
      <c r="AD923" s="37" t="s">
        <v>1682</v>
      </c>
      <c r="AF923" s="37" t="s">
        <v>1684</v>
      </c>
    </row>
    <row r="924" spans="3:32" x14ac:dyDescent="0.2">
      <c r="C924" s="37" t="s">
        <v>22</v>
      </c>
      <c r="D924" s="37">
        <v>16</v>
      </c>
      <c r="E924" s="37">
        <v>12</v>
      </c>
      <c r="F924" s="37">
        <v>6</v>
      </c>
      <c r="G924" s="37">
        <v>2.9</v>
      </c>
      <c r="H924" s="37" t="s">
        <v>181</v>
      </c>
      <c r="I924" s="37" t="s">
        <v>23</v>
      </c>
      <c r="J924" s="37" t="s">
        <v>17</v>
      </c>
      <c r="K924" s="37">
        <v>3</v>
      </c>
      <c r="L924" s="37">
        <v>18</v>
      </c>
      <c r="M924" s="37">
        <v>7</v>
      </c>
      <c r="N924" s="37">
        <v>28</v>
      </c>
      <c r="O924" s="37">
        <v>15</v>
      </c>
      <c r="P924" s="37">
        <v>6</v>
      </c>
      <c r="Q924" s="37">
        <v>49</v>
      </c>
      <c r="R924" s="37">
        <v>2211</v>
      </c>
      <c r="T924" s="37" t="s">
        <v>181</v>
      </c>
      <c r="U924" s="37" t="s">
        <v>385</v>
      </c>
      <c r="V924" s="37">
        <v>50</v>
      </c>
      <c r="W924" s="37" t="s">
        <v>18</v>
      </c>
      <c r="X924" s="37" t="s">
        <v>190</v>
      </c>
      <c r="Y924" s="37">
        <v>377</v>
      </c>
      <c r="Z924" s="37" t="s">
        <v>22</v>
      </c>
      <c r="AA924" s="37">
        <v>16</v>
      </c>
      <c r="AB924" s="37">
        <v>12</v>
      </c>
      <c r="AC924" s="37">
        <v>6</v>
      </c>
      <c r="AD924" s="37" t="s">
        <v>1685</v>
      </c>
      <c r="AF924" s="37" t="s">
        <v>1686</v>
      </c>
    </row>
    <row r="925" spans="3:32" x14ac:dyDescent="0.2">
      <c r="G925" s="37" t="s">
        <v>166</v>
      </c>
      <c r="H925" s="37" t="s">
        <v>166</v>
      </c>
      <c r="I925" s="37" t="s">
        <v>166</v>
      </c>
      <c r="J925" s="37" t="s">
        <v>19</v>
      </c>
      <c r="K925" s="37">
        <v>3</v>
      </c>
      <c r="L925" s="37">
        <v>52</v>
      </c>
      <c r="M925" s="37">
        <v>12</v>
      </c>
      <c r="N925" s="37">
        <v>67</v>
      </c>
      <c r="O925" s="37">
        <v>53</v>
      </c>
      <c r="P925" s="37">
        <v>13</v>
      </c>
      <c r="Q925" s="37">
        <v>133</v>
      </c>
      <c r="R925" s="37">
        <v>3121</v>
      </c>
      <c r="T925" s="37" t="s">
        <v>166</v>
      </c>
      <c r="U925" s="37" t="s">
        <v>166</v>
      </c>
      <c r="V925" s="37" t="s">
        <v>166</v>
      </c>
      <c r="W925" s="37" t="s">
        <v>18</v>
      </c>
      <c r="X925" s="37" t="s">
        <v>166</v>
      </c>
      <c r="Y925" s="37" t="s">
        <v>166</v>
      </c>
      <c r="Z925" s="37" t="s">
        <v>22</v>
      </c>
      <c r="AA925" s="37">
        <v>16</v>
      </c>
      <c r="AB925" s="37">
        <v>12</v>
      </c>
      <c r="AC925" s="37">
        <v>6</v>
      </c>
      <c r="AD925" s="37" t="s">
        <v>1685</v>
      </c>
      <c r="AF925" s="37" t="s">
        <v>1687</v>
      </c>
    </row>
    <row r="926" spans="3:32" x14ac:dyDescent="0.2">
      <c r="G926" s="37" t="s">
        <v>166</v>
      </c>
      <c r="H926" s="37" t="s">
        <v>166</v>
      </c>
      <c r="I926" s="37" t="s">
        <v>166</v>
      </c>
      <c r="J926" s="37" t="s">
        <v>18</v>
      </c>
      <c r="K926" s="37">
        <v>48</v>
      </c>
      <c r="L926" s="37">
        <v>54</v>
      </c>
      <c r="M926" s="37">
        <v>4</v>
      </c>
      <c r="N926" s="37">
        <v>106</v>
      </c>
      <c r="O926" s="37">
        <v>50</v>
      </c>
      <c r="P926" s="37">
        <v>22</v>
      </c>
      <c r="Q926" s="37">
        <v>178</v>
      </c>
      <c r="R926" s="37">
        <v>1972</v>
      </c>
      <c r="T926" s="37" t="s">
        <v>166</v>
      </c>
      <c r="U926" s="37" t="s">
        <v>166</v>
      </c>
      <c r="V926" s="37" t="s">
        <v>166</v>
      </c>
      <c r="W926" s="37" t="s">
        <v>18</v>
      </c>
      <c r="X926" s="37" t="s">
        <v>166</v>
      </c>
      <c r="Y926" s="37" t="s">
        <v>166</v>
      </c>
      <c r="Z926" s="37" t="s">
        <v>22</v>
      </c>
      <c r="AA926" s="37">
        <v>16</v>
      </c>
      <c r="AB926" s="37">
        <v>12</v>
      </c>
      <c r="AC926" s="37">
        <v>6</v>
      </c>
      <c r="AD926" s="37" t="s">
        <v>1685</v>
      </c>
      <c r="AF926" s="37" t="s">
        <v>1688</v>
      </c>
    </row>
    <row r="927" spans="3:32" x14ac:dyDescent="0.2">
      <c r="C927" s="37" t="s">
        <v>22</v>
      </c>
      <c r="D927" s="37">
        <v>16</v>
      </c>
      <c r="E927" s="37">
        <v>12</v>
      </c>
      <c r="F927" s="37">
        <v>7</v>
      </c>
      <c r="G927" s="37">
        <v>2.7</v>
      </c>
      <c r="H927" s="37" t="s">
        <v>181</v>
      </c>
      <c r="I927" s="37" t="s">
        <v>23</v>
      </c>
      <c r="J927" s="37" t="s">
        <v>17</v>
      </c>
      <c r="K927" s="37">
        <v>2</v>
      </c>
      <c r="L927" s="37">
        <v>14</v>
      </c>
      <c r="M927" s="37">
        <v>5</v>
      </c>
      <c r="N927" s="37">
        <v>21</v>
      </c>
      <c r="O927" s="37">
        <v>12</v>
      </c>
      <c r="P927" s="37">
        <v>4</v>
      </c>
      <c r="Q927" s="37">
        <v>37</v>
      </c>
      <c r="R927" s="37">
        <v>1652</v>
      </c>
      <c r="T927" s="37" t="s">
        <v>181</v>
      </c>
      <c r="U927" s="37" t="s">
        <v>385</v>
      </c>
      <c r="V927" s="37">
        <v>50</v>
      </c>
      <c r="W927" s="37" t="s">
        <v>18</v>
      </c>
      <c r="X927" s="37" t="s">
        <v>190</v>
      </c>
      <c r="Y927" s="37">
        <v>351</v>
      </c>
      <c r="Z927" s="37" t="s">
        <v>22</v>
      </c>
      <c r="AA927" s="37">
        <v>16</v>
      </c>
      <c r="AB927" s="37">
        <v>12</v>
      </c>
      <c r="AC927" s="37">
        <v>7</v>
      </c>
      <c r="AD927" s="37" t="s">
        <v>1689</v>
      </c>
      <c r="AF927" s="37" t="s">
        <v>1690</v>
      </c>
    </row>
    <row r="928" spans="3:32" x14ac:dyDescent="0.2">
      <c r="G928" s="37" t="s">
        <v>166</v>
      </c>
      <c r="H928" s="37" t="s">
        <v>166</v>
      </c>
      <c r="I928" s="37" t="s">
        <v>166</v>
      </c>
      <c r="J928" s="37" t="s">
        <v>19</v>
      </c>
      <c r="K928" s="37">
        <v>3</v>
      </c>
      <c r="L928" s="37">
        <v>54</v>
      </c>
      <c r="M928" s="37">
        <v>13</v>
      </c>
      <c r="N928" s="37">
        <v>70</v>
      </c>
      <c r="O928" s="37">
        <v>53</v>
      </c>
      <c r="P928" s="37">
        <v>13</v>
      </c>
      <c r="Q928" s="37">
        <v>136</v>
      </c>
      <c r="R928" s="37">
        <v>3226</v>
      </c>
      <c r="T928" s="37" t="s">
        <v>166</v>
      </c>
      <c r="U928" s="37" t="s">
        <v>166</v>
      </c>
      <c r="V928" s="37" t="s">
        <v>166</v>
      </c>
      <c r="W928" s="37" t="s">
        <v>18</v>
      </c>
      <c r="X928" s="37" t="s">
        <v>166</v>
      </c>
      <c r="Y928" s="37" t="s">
        <v>166</v>
      </c>
      <c r="Z928" s="37" t="s">
        <v>22</v>
      </c>
      <c r="AA928" s="37">
        <v>16</v>
      </c>
      <c r="AB928" s="37">
        <v>12</v>
      </c>
      <c r="AC928" s="37">
        <v>7</v>
      </c>
      <c r="AD928" s="37" t="s">
        <v>1689</v>
      </c>
      <c r="AF928" s="37" t="s">
        <v>1691</v>
      </c>
    </row>
    <row r="929" spans="3:32" x14ac:dyDescent="0.2">
      <c r="G929" s="37" t="s">
        <v>166</v>
      </c>
      <c r="H929" s="37" t="s">
        <v>166</v>
      </c>
      <c r="I929" s="37" t="s">
        <v>166</v>
      </c>
      <c r="J929" s="37" t="s">
        <v>18</v>
      </c>
      <c r="K929" s="37">
        <v>43</v>
      </c>
      <c r="L929" s="37">
        <v>50</v>
      </c>
      <c r="M929" s="37">
        <v>3</v>
      </c>
      <c r="N929" s="37">
        <v>96</v>
      </c>
      <c r="O929" s="37">
        <v>47</v>
      </c>
      <c r="P929" s="37">
        <v>21</v>
      </c>
      <c r="Q929" s="37">
        <v>164</v>
      </c>
      <c r="R929" s="37">
        <v>1795</v>
      </c>
      <c r="T929" s="37" t="s">
        <v>166</v>
      </c>
      <c r="U929" s="37" t="s">
        <v>166</v>
      </c>
      <c r="V929" s="37" t="s">
        <v>166</v>
      </c>
      <c r="W929" s="37" t="s">
        <v>18</v>
      </c>
      <c r="X929" s="37" t="s">
        <v>166</v>
      </c>
      <c r="Y929" s="37" t="s">
        <v>166</v>
      </c>
      <c r="Z929" s="37" t="s">
        <v>22</v>
      </c>
      <c r="AA929" s="37">
        <v>16</v>
      </c>
      <c r="AB929" s="37">
        <v>12</v>
      </c>
      <c r="AC929" s="37">
        <v>7</v>
      </c>
      <c r="AD929" s="37" t="s">
        <v>1689</v>
      </c>
      <c r="AF929" s="37" t="s">
        <v>1692</v>
      </c>
    </row>
    <row r="930" spans="3:32" x14ac:dyDescent="0.2">
      <c r="C930" s="37" t="s">
        <v>22</v>
      </c>
      <c r="D930" s="37">
        <v>51</v>
      </c>
      <c r="E930" s="37">
        <v>3</v>
      </c>
      <c r="F930" s="37" t="s">
        <v>296</v>
      </c>
      <c r="G930" s="37">
        <v>2.5</v>
      </c>
      <c r="H930" s="37" t="s">
        <v>181</v>
      </c>
      <c r="I930" s="37" t="s">
        <v>23</v>
      </c>
      <c r="J930" s="37" t="s">
        <v>17</v>
      </c>
      <c r="K930" s="37">
        <v>48</v>
      </c>
      <c r="L930" s="37">
        <v>96</v>
      </c>
      <c r="M930" s="37">
        <v>16</v>
      </c>
      <c r="N930" s="37">
        <v>160</v>
      </c>
      <c r="O930" s="37">
        <v>66</v>
      </c>
      <c r="P930" s="37">
        <v>32</v>
      </c>
      <c r="Q930" s="37">
        <v>258</v>
      </c>
      <c r="R930" s="37">
        <v>14267</v>
      </c>
      <c r="T930" s="37" t="s">
        <v>181</v>
      </c>
      <c r="U930" s="37" t="s">
        <v>343</v>
      </c>
      <c r="V930" s="37">
        <v>70</v>
      </c>
      <c r="W930" s="37" t="s">
        <v>17</v>
      </c>
      <c r="X930" s="37" t="s">
        <v>190</v>
      </c>
      <c r="Y930" s="37">
        <v>450</v>
      </c>
      <c r="Z930" s="37" t="s">
        <v>22</v>
      </c>
      <c r="AA930" s="37">
        <v>51</v>
      </c>
      <c r="AB930" s="37">
        <v>3</v>
      </c>
      <c r="AC930" s="37" t="s">
        <v>296</v>
      </c>
      <c r="AD930" s="37" t="s">
        <v>852</v>
      </c>
      <c r="AF930" s="37" t="s">
        <v>854</v>
      </c>
    </row>
    <row r="931" spans="3:32" x14ac:dyDescent="0.2">
      <c r="G931" s="37" t="s">
        <v>166</v>
      </c>
      <c r="H931" s="37" t="s">
        <v>166</v>
      </c>
      <c r="I931" s="37" t="s">
        <v>166</v>
      </c>
      <c r="J931" s="37" t="s">
        <v>178</v>
      </c>
      <c r="K931" s="37">
        <v>4</v>
      </c>
      <c r="L931" s="37">
        <v>23</v>
      </c>
      <c r="M931" s="37">
        <v>1</v>
      </c>
      <c r="N931" s="37">
        <v>28</v>
      </c>
      <c r="O931" s="37">
        <v>4</v>
      </c>
      <c r="P931" s="37">
        <v>7</v>
      </c>
      <c r="Q931" s="37">
        <v>39</v>
      </c>
      <c r="R931" s="37">
        <v>17271</v>
      </c>
      <c r="T931" s="37" t="s">
        <v>166</v>
      </c>
      <c r="U931" s="37" t="s">
        <v>166</v>
      </c>
      <c r="V931" s="37" t="s">
        <v>166</v>
      </c>
      <c r="W931" s="37" t="s">
        <v>17</v>
      </c>
      <c r="X931" s="37" t="s">
        <v>166</v>
      </c>
      <c r="Y931" s="37" t="s">
        <v>166</v>
      </c>
      <c r="Z931" s="37" t="s">
        <v>22</v>
      </c>
      <c r="AA931" s="37">
        <v>51</v>
      </c>
      <c r="AB931" s="37">
        <v>3</v>
      </c>
      <c r="AC931" s="37" t="s">
        <v>296</v>
      </c>
      <c r="AD931" s="37" t="s">
        <v>852</v>
      </c>
      <c r="AF931" s="37" t="s">
        <v>1693</v>
      </c>
    </row>
    <row r="932" spans="3:32" x14ac:dyDescent="0.2">
      <c r="G932" s="37" t="s">
        <v>166</v>
      </c>
      <c r="H932" s="37" t="s">
        <v>166</v>
      </c>
      <c r="I932" s="37" t="s">
        <v>166</v>
      </c>
      <c r="J932" s="37" t="s">
        <v>19</v>
      </c>
      <c r="K932" s="37">
        <v>2</v>
      </c>
      <c r="L932" s="37">
        <v>16</v>
      </c>
      <c r="M932" s="37">
        <v>3</v>
      </c>
      <c r="N932" s="37">
        <v>21</v>
      </c>
      <c r="O932" s="37">
        <v>20</v>
      </c>
      <c r="P932" s="37">
        <v>5</v>
      </c>
      <c r="Q932" s="37">
        <v>46</v>
      </c>
      <c r="R932" s="37">
        <v>1022</v>
      </c>
      <c r="T932" s="37" t="s">
        <v>166</v>
      </c>
      <c r="U932" s="37" t="s">
        <v>166</v>
      </c>
      <c r="V932" s="37" t="s">
        <v>166</v>
      </c>
      <c r="W932" s="37" t="s">
        <v>17</v>
      </c>
      <c r="X932" s="37" t="s">
        <v>166</v>
      </c>
      <c r="Y932" s="37" t="s">
        <v>166</v>
      </c>
      <c r="Z932" s="37" t="s">
        <v>22</v>
      </c>
      <c r="AA932" s="37">
        <v>51</v>
      </c>
      <c r="AB932" s="37">
        <v>3</v>
      </c>
      <c r="AC932" s="37" t="s">
        <v>296</v>
      </c>
      <c r="AD932" s="37" t="s">
        <v>852</v>
      </c>
      <c r="AF932" s="37" t="s">
        <v>855</v>
      </c>
    </row>
    <row r="933" spans="3:32" x14ac:dyDescent="0.2">
      <c r="G933" s="37" t="s">
        <v>166</v>
      </c>
      <c r="H933" s="37" t="s">
        <v>166</v>
      </c>
      <c r="I933" s="37" t="s">
        <v>166</v>
      </c>
      <c r="J933" s="37" t="s">
        <v>18</v>
      </c>
      <c r="K933" s="37">
        <v>25</v>
      </c>
      <c r="L933" s="37">
        <v>27</v>
      </c>
      <c r="M933" s="37">
        <v>1</v>
      </c>
      <c r="N933" s="37">
        <v>53</v>
      </c>
      <c r="O933" s="37">
        <v>27</v>
      </c>
      <c r="P933" s="37">
        <v>11</v>
      </c>
      <c r="Q933" s="37">
        <v>91</v>
      </c>
      <c r="R933" s="37">
        <v>1011</v>
      </c>
      <c r="T933" s="37" t="s">
        <v>166</v>
      </c>
      <c r="U933" s="37" t="s">
        <v>166</v>
      </c>
      <c r="V933" s="37" t="s">
        <v>166</v>
      </c>
      <c r="W933" s="37" t="s">
        <v>17</v>
      </c>
      <c r="X933" s="37" t="s">
        <v>166</v>
      </c>
      <c r="Y933" s="37" t="s">
        <v>166</v>
      </c>
      <c r="Z933" s="37" t="s">
        <v>22</v>
      </c>
      <c r="AA933" s="37">
        <v>51</v>
      </c>
      <c r="AB933" s="37">
        <v>3</v>
      </c>
      <c r="AC933" s="37" t="s">
        <v>296</v>
      </c>
      <c r="AD933" s="37" t="s">
        <v>852</v>
      </c>
      <c r="AF933" s="37" t="s">
        <v>853</v>
      </c>
    </row>
    <row r="934" spans="3:32" x14ac:dyDescent="0.2">
      <c r="C934" s="37" t="s">
        <v>22</v>
      </c>
      <c r="D934" s="37">
        <v>58</v>
      </c>
      <c r="E934" s="37">
        <v>3</v>
      </c>
      <c r="F934" s="37" t="s">
        <v>296</v>
      </c>
      <c r="G934" s="37">
        <v>0.6</v>
      </c>
      <c r="H934" s="37" t="s">
        <v>181</v>
      </c>
      <c r="I934" s="37" t="s">
        <v>23</v>
      </c>
      <c r="J934" s="37" t="s">
        <v>17</v>
      </c>
      <c r="K934" s="37">
        <v>4</v>
      </c>
      <c r="L934" s="37">
        <v>29</v>
      </c>
      <c r="M934" s="37">
        <v>9</v>
      </c>
      <c r="N934" s="37">
        <v>42</v>
      </c>
      <c r="O934" s="37">
        <v>15</v>
      </c>
      <c r="P934" s="37">
        <v>8</v>
      </c>
      <c r="Q934" s="37">
        <v>65</v>
      </c>
      <c r="R934" s="37">
        <v>3265</v>
      </c>
      <c r="T934" s="37" t="s">
        <v>181</v>
      </c>
      <c r="U934" s="37" t="s">
        <v>389</v>
      </c>
      <c r="V934" s="37">
        <v>65</v>
      </c>
      <c r="W934" s="37" t="s">
        <v>17</v>
      </c>
      <c r="X934" s="37" t="s">
        <v>190</v>
      </c>
      <c r="Y934" s="37">
        <v>78</v>
      </c>
      <c r="Z934" s="37" t="s">
        <v>22</v>
      </c>
      <c r="AA934" s="37">
        <v>58</v>
      </c>
      <c r="AB934" s="37">
        <v>3</v>
      </c>
      <c r="AC934" s="37" t="s">
        <v>296</v>
      </c>
      <c r="AD934" s="37" t="s">
        <v>1694</v>
      </c>
      <c r="AF934" s="37" t="s">
        <v>1695</v>
      </c>
    </row>
    <row r="935" spans="3:32" x14ac:dyDescent="0.2">
      <c r="G935" s="37" t="s">
        <v>166</v>
      </c>
      <c r="H935" s="37" t="s">
        <v>166</v>
      </c>
      <c r="I935" s="37" t="s">
        <v>166</v>
      </c>
      <c r="J935" s="37" t="s">
        <v>178</v>
      </c>
      <c r="K935" s="37">
        <v>0</v>
      </c>
      <c r="L935" s="37">
        <v>6</v>
      </c>
      <c r="M935" s="37">
        <v>0</v>
      </c>
      <c r="N935" s="37">
        <v>6</v>
      </c>
      <c r="O935" s="37">
        <v>1</v>
      </c>
      <c r="P935" s="37">
        <v>1</v>
      </c>
      <c r="Q935" s="37">
        <v>8</v>
      </c>
      <c r="R935" s="37">
        <v>3494</v>
      </c>
      <c r="T935" s="37" t="s">
        <v>166</v>
      </c>
      <c r="U935" s="37" t="s">
        <v>166</v>
      </c>
      <c r="V935" s="37" t="s">
        <v>166</v>
      </c>
      <c r="W935" s="37" t="s">
        <v>17</v>
      </c>
      <c r="X935" s="37" t="s">
        <v>166</v>
      </c>
      <c r="Y935" s="37" t="s">
        <v>166</v>
      </c>
      <c r="Z935" s="37" t="s">
        <v>22</v>
      </c>
      <c r="AA935" s="37">
        <v>58</v>
      </c>
      <c r="AB935" s="37">
        <v>3</v>
      </c>
      <c r="AC935" s="37" t="s">
        <v>296</v>
      </c>
      <c r="AD935" s="37" t="s">
        <v>1694</v>
      </c>
      <c r="AF935" s="37" t="s">
        <v>1696</v>
      </c>
    </row>
    <row r="936" spans="3:32" x14ac:dyDescent="0.2">
      <c r="C936" s="37" t="s">
        <v>22</v>
      </c>
      <c r="D936" s="37">
        <v>58</v>
      </c>
      <c r="E936" s="37">
        <v>10</v>
      </c>
      <c r="F936" s="37">
        <v>2</v>
      </c>
      <c r="G936" s="37">
        <v>2.9</v>
      </c>
      <c r="H936" s="37" t="s">
        <v>181</v>
      </c>
      <c r="I936" s="37" t="s">
        <v>23</v>
      </c>
      <c r="J936" s="37" t="s">
        <v>17</v>
      </c>
      <c r="K936" s="37">
        <v>24</v>
      </c>
      <c r="L936" s="37">
        <v>47</v>
      </c>
      <c r="M936" s="37">
        <v>12</v>
      </c>
      <c r="N936" s="37">
        <v>83</v>
      </c>
      <c r="O936" s="37">
        <v>31</v>
      </c>
      <c r="P936" s="37">
        <v>16</v>
      </c>
      <c r="Q936" s="37">
        <v>130</v>
      </c>
      <c r="R936" s="37">
        <v>7193</v>
      </c>
      <c r="T936" s="37" t="s">
        <v>181</v>
      </c>
      <c r="U936" s="37" t="s">
        <v>390</v>
      </c>
      <c r="V936" s="37">
        <v>70</v>
      </c>
      <c r="W936" s="37" t="s">
        <v>17</v>
      </c>
      <c r="X936" s="37" t="s">
        <v>190</v>
      </c>
      <c r="Y936" s="37">
        <v>464</v>
      </c>
      <c r="Z936" s="37" t="s">
        <v>22</v>
      </c>
      <c r="AA936" s="37">
        <v>58</v>
      </c>
      <c r="AB936" s="37">
        <v>10</v>
      </c>
      <c r="AC936" s="37">
        <v>2</v>
      </c>
      <c r="AD936" s="37" t="s">
        <v>1697</v>
      </c>
      <c r="AF936" s="37" t="s">
        <v>1698</v>
      </c>
    </row>
    <row r="937" spans="3:32" x14ac:dyDescent="0.2">
      <c r="G937" s="37" t="s">
        <v>166</v>
      </c>
      <c r="H937" s="37" t="s">
        <v>166</v>
      </c>
      <c r="I937" s="37" t="s">
        <v>166</v>
      </c>
      <c r="J937" s="37" t="s">
        <v>178</v>
      </c>
      <c r="K937" s="37">
        <v>0</v>
      </c>
      <c r="L937" s="37">
        <v>16</v>
      </c>
      <c r="M937" s="37">
        <v>5</v>
      </c>
      <c r="N937" s="37">
        <v>21</v>
      </c>
      <c r="O937" s="37">
        <v>4</v>
      </c>
      <c r="P937" s="37">
        <v>6</v>
      </c>
      <c r="Q937" s="37">
        <v>31</v>
      </c>
      <c r="R937" s="37">
        <v>11605</v>
      </c>
      <c r="T937" s="37" t="s">
        <v>166</v>
      </c>
      <c r="U937" s="37" t="s">
        <v>166</v>
      </c>
      <c r="V937" s="37" t="s">
        <v>166</v>
      </c>
      <c r="W937" s="37" t="s">
        <v>17</v>
      </c>
      <c r="X937" s="37" t="s">
        <v>166</v>
      </c>
      <c r="Y937" s="37" t="s">
        <v>166</v>
      </c>
      <c r="Z937" s="37" t="s">
        <v>22</v>
      </c>
      <c r="AA937" s="37">
        <v>58</v>
      </c>
      <c r="AB937" s="37">
        <v>10</v>
      </c>
      <c r="AC937" s="37">
        <v>2</v>
      </c>
      <c r="AD937" s="37" t="s">
        <v>1697</v>
      </c>
      <c r="AF937" s="37" t="s">
        <v>1699</v>
      </c>
    </row>
    <row r="938" spans="3:32" x14ac:dyDescent="0.2">
      <c r="G938" s="37" t="s">
        <v>166</v>
      </c>
      <c r="H938" s="37" t="s">
        <v>166</v>
      </c>
      <c r="I938" s="37" t="s">
        <v>166</v>
      </c>
      <c r="J938" s="37" t="s">
        <v>268</v>
      </c>
      <c r="K938" s="37">
        <v>5</v>
      </c>
      <c r="L938" s="37">
        <v>57</v>
      </c>
      <c r="M938" s="37">
        <v>17</v>
      </c>
      <c r="N938" s="37">
        <v>79</v>
      </c>
      <c r="O938" s="37">
        <v>40</v>
      </c>
      <c r="P938" s="37">
        <v>15</v>
      </c>
      <c r="Q938" s="37">
        <v>134</v>
      </c>
      <c r="R938" s="37">
        <v>44875</v>
      </c>
      <c r="T938" s="37" t="s">
        <v>166</v>
      </c>
      <c r="U938" s="37" t="s">
        <v>166</v>
      </c>
      <c r="V938" s="37" t="s">
        <v>166</v>
      </c>
      <c r="W938" s="37" t="s">
        <v>17</v>
      </c>
      <c r="X938" s="37" t="s">
        <v>166</v>
      </c>
      <c r="Y938" s="37" t="s">
        <v>166</v>
      </c>
      <c r="Z938" s="37" t="s">
        <v>22</v>
      </c>
      <c r="AA938" s="37">
        <v>58</v>
      </c>
      <c r="AB938" s="37">
        <v>10</v>
      </c>
      <c r="AC938" s="37">
        <v>2</v>
      </c>
      <c r="AD938" s="37" t="s">
        <v>1697</v>
      </c>
      <c r="AF938" s="37" t="s">
        <v>1700</v>
      </c>
    </row>
    <row r="939" spans="3:32" x14ac:dyDescent="0.2">
      <c r="G939" s="37" t="s">
        <v>166</v>
      </c>
      <c r="H939" s="37" t="s">
        <v>166</v>
      </c>
      <c r="I939" s="37" t="s">
        <v>166</v>
      </c>
      <c r="J939" s="37" t="s">
        <v>18</v>
      </c>
      <c r="K939" s="37">
        <v>44</v>
      </c>
      <c r="L939" s="37">
        <v>49</v>
      </c>
      <c r="M939" s="37">
        <v>2</v>
      </c>
      <c r="N939" s="37">
        <v>95</v>
      </c>
      <c r="O939" s="37">
        <v>34</v>
      </c>
      <c r="P939" s="37">
        <v>17</v>
      </c>
      <c r="Q939" s="37">
        <v>146</v>
      </c>
      <c r="R939" s="37">
        <v>1782</v>
      </c>
      <c r="T939" s="37" t="s">
        <v>166</v>
      </c>
      <c r="U939" s="37" t="s">
        <v>166</v>
      </c>
      <c r="V939" s="37" t="s">
        <v>166</v>
      </c>
      <c r="W939" s="37" t="s">
        <v>17</v>
      </c>
      <c r="X939" s="37" t="s">
        <v>166</v>
      </c>
      <c r="Y939" s="37" t="s">
        <v>166</v>
      </c>
      <c r="Z939" s="37" t="s">
        <v>22</v>
      </c>
      <c r="AA939" s="37">
        <v>58</v>
      </c>
      <c r="AB939" s="37">
        <v>10</v>
      </c>
      <c r="AC939" s="37">
        <v>2</v>
      </c>
      <c r="AD939" s="37" t="s">
        <v>1697</v>
      </c>
      <c r="AF939" s="37" t="s">
        <v>1701</v>
      </c>
    </row>
    <row r="940" spans="3:32" x14ac:dyDescent="0.2">
      <c r="C940" s="37" t="s">
        <v>22</v>
      </c>
      <c r="D940" s="37">
        <v>58</v>
      </c>
      <c r="E940" s="37">
        <v>10</v>
      </c>
      <c r="F940" s="37">
        <v>3</v>
      </c>
      <c r="G940" s="37">
        <v>0.8</v>
      </c>
      <c r="H940" s="37" t="s">
        <v>181</v>
      </c>
      <c r="I940" s="37" t="s">
        <v>23</v>
      </c>
      <c r="J940" s="37" t="s">
        <v>17</v>
      </c>
      <c r="K940" s="37">
        <v>5</v>
      </c>
      <c r="L940" s="37">
        <v>15</v>
      </c>
      <c r="M940" s="37">
        <v>4</v>
      </c>
      <c r="N940" s="37">
        <v>24</v>
      </c>
      <c r="O940" s="37">
        <v>13</v>
      </c>
      <c r="P940" s="37">
        <v>5</v>
      </c>
      <c r="Q940" s="37">
        <v>42</v>
      </c>
      <c r="R940" s="37">
        <v>2035</v>
      </c>
      <c r="T940" s="37" t="s">
        <v>181</v>
      </c>
      <c r="U940" s="37" t="s">
        <v>390</v>
      </c>
      <c r="V940" s="37">
        <v>70</v>
      </c>
      <c r="W940" s="37" t="s">
        <v>17</v>
      </c>
      <c r="X940" s="37" t="s">
        <v>190</v>
      </c>
      <c r="Y940" s="37">
        <v>128</v>
      </c>
      <c r="Z940" s="37" t="s">
        <v>22</v>
      </c>
      <c r="AA940" s="37">
        <v>58</v>
      </c>
      <c r="AB940" s="37">
        <v>10</v>
      </c>
      <c r="AC940" s="37">
        <v>3</v>
      </c>
      <c r="AD940" s="37" t="s">
        <v>1702</v>
      </c>
      <c r="AF940" s="37" t="s">
        <v>1703</v>
      </c>
    </row>
    <row r="941" spans="3:32" x14ac:dyDescent="0.2">
      <c r="G941" s="37" t="s">
        <v>166</v>
      </c>
      <c r="H941" s="37" t="s">
        <v>166</v>
      </c>
      <c r="I941" s="37" t="s">
        <v>166</v>
      </c>
      <c r="J941" s="37" t="s">
        <v>268</v>
      </c>
      <c r="K941" s="37">
        <v>1</v>
      </c>
      <c r="L941" s="37">
        <v>18</v>
      </c>
      <c r="M941" s="37">
        <v>6</v>
      </c>
      <c r="N941" s="37">
        <v>25</v>
      </c>
      <c r="O941" s="37">
        <v>11</v>
      </c>
      <c r="P941" s="37">
        <v>4</v>
      </c>
      <c r="Q941" s="37">
        <v>40</v>
      </c>
      <c r="R941" s="37">
        <v>14115</v>
      </c>
      <c r="T941" s="37" t="s">
        <v>166</v>
      </c>
      <c r="U941" s="37" t="s">
        <v>166</v>
      </c>
      <c r="V941" s="37" t="s">
        <v>166</v>
      </c>
      <c r="W941" s="37" t="s">
        <v>17</v>
      </c>
      <c r="X941" s="37" t="s">
        <v>166</v>
      </c>
      <c r="Y941" s="37" t="s">
        <v>166</v>
      </c>
      <c r="Z941" s="37" t="s">
        <v>22</v>
      </c>
      <c r="AA941" s="37">
        <v>58</v>
      </c>
      <c r="AB941" s="37">
        <v>10</v>
      </c>
      <c r="AC941" s="37">
        <v>3</v>
      </c>
      <c r="AD941" s="37" t="s">
        <v>1702</v>
      </c>
      <c r="AF941" s="37" t="s">
        <v>1704</v>
      </c>
    </row>
    <row r="942" spans="3:32" x14ac:dyDescent="0.2">
      <c r="G942" s="37" t="s">
        <v>166</v>
      </c>
      <c r="H942" s="37" t="s">
        <v>166</v>
      </c>
      <c r="I942" s="37" t="s">
        <v>166</v>
      </c>
      <c r="J942" s="37" t="s">
        <v>18</v>
      </c>
      <c r="K942" s="37">
        <v>10</v>
      </c>
      <c r="L942" s="37">
        <v>16</v>
      </c>
      <c r="M942" s="37">
        <v>1</v>
      </c>
      <c r="N942" s="37">
        <v>27</v>
      </c>
      <c r="O942" s="37">
        <v>12</v>
      </c>
      <c r="P942" s="37">
        <v>5</v>
      </c>
      <c r="Q942" s="37">
        <v>44</v>
      </c>
      <c r="R942" s="37">
        <v>487</v>
      </c>
      <c r="T942" s="37" t="s">
        <v>166</v>
      </c>
      <c r="U942" s="37" t="s">
        <v>166</v>
      </c>
      <c r="V942" s="37" t="s">
        <v>166</v>
      </c>
      <c r="W942" s="37" t="s">
        <v>17</v>
      </c>
      <c r="X942" s="37" t="s">
        <v>166</v>
      </c>
      <c r="Y942" s="37" t="s">
        <v>166</v>
      </c>
      <c r="Z942" s="37" t="s">
        <v>22</v>
      </c>
      <c r="AA942" s="37">
        <v>58</v>
      </c>
      <c r="AB942" s="37">
        <v>10</v>
      </c>
      <c r="AC942" s="37">
        <v>3</v>
      </c>
      <c r="AD942" s="37" t="s">
        <v>1702</v>
      </c>
      <c r="AF942" s="37" t="s">
        <v>1705</v>
      </c>
    </row>
    <row r="943" spans="3:32" x14ac:dyDescent="0.2">
      <c r="C943" s="37" t="s">
        <v>22</v>
      </c>
      <c r="D943" s="37">
        <v>63</v>
      </c>
      <c r="E943" s="37">
        <v>12</v>
      </c>
      <c r="F943" s="37" t="s">
        <v>296</v>
      </c>
      <c r="G943" s="37">
        <v>1.6</v>
      </c>
      <c r="H943" s="37" t="s">
        <v>181</v>
      </c>
      <c r="I943" s="37" t="s">
        <v>23</v>
      </c>
      <c r="J943" s="37" t="s">
        <v>17</v>
      </c>
      <c r="K943" s="37">
        <v>7</v>
      </c>
      <c r="L943" s="37">
        <v>43</v>
      </c>
      <c r="M943" s="37">
        <v>12</v>
      </c>
      <c r="N943" s="37">
        <v>62</v>
      </c>
      <c r="O943" s="37">
        <v>22</v>
      </c>
      <c r="P943" s="37">
        <v>12</v>
      </c>
      <c r="Q943" s="37">
        <v>96</v>
      </c>
      <c r="R943" s="37">
        <v>4950</v>
      </c>
      <c r="T943" s="37" t="s">
        <v>181</v>
      </c>
      <c r="U943" s="37" t="s">
        <v>387</v>
      </c>
      <c r="V943" s="37">
        <v>85</v>
      </c>
      <c r="W943" s="37" t="s">
        <v>17</v>
      </c>
      <c r="X943" s="37" t="s">
        <v>190</v>
      </c>
      <c r="Y943" s="37">
        <v>272</v>
      </c>
      <c r="Z943" s="37" t="s">
        <v>22</v>
      </c>
      <c r="AA943" s="37">
        <v>63</v>
      </c>
      <c r="AB943" s="37">
        <v>12</v>
      </c>
      <c r="AC943" s="37" t="s">
        <v>296</v>
      </c>
      <c r="AD943" s="37" t="s">
        <v>1706</v>
      </c>
      <c r="AF943" s="37" t="s">
        <v>1707</v>
      </c>
    </row>
    <row r="944" spans="3:32" x14ac:dyDescent="0.2">
      <c r="G944" s="37" t="s">
        <v>166</v>
      </c>
      <c r="H944" s="37" t="s">
        <v>166</v>
      </c>
      <c r="I944" s="37" t="s">
        <v>166</v>
      </c>
      <c r="J944" s="37" t="s">
        <v>19</v>
      </c>
      <c r="K944" s="37">
        <v>5</v>
      </c>
      <c r="L944" s="37">
        <v>13</v>
      </c>
      <c r="M944" s="37">
        <v>1</v>
      </c>
      <c r="N944" s="37">
        <v>19</v>
      </c>
      <c r="O944" s="37">
        <v>13</v>
      </c>
      <c r="P944" s="37">
        <v>4</v>
      </c>
      <c r="Q944" s="37">
        <v>36</v>
      </c>
      <c r="R944" s="37">
        <v>1033</v>
      </c>
      <c r="T944" s="37" t="s">
        <v>166</v>
      </c>
      <c r="U944" s="37" t="s">
        <v>166</v>
      </c>
      <c r="V944" s="37" t="s">
        <v>166</v>
      </c>
      <c r="W944" s="37" t="s">
        <v>17</v>
      </c>
      <c r="X944" s="37" t="s">
        <v>166</v>
      </c>
      <c r="Y944" s="37" t="s">
        <v>166</v>
      </c>
      <c r="Z944" s="37" t="s">
        <v>22</v>
      </c>
      <c r="AA944" s="37">
        <v>63</v>
      </c>
      <c r="AB944" s="37">
        <v>12</v>
      </c>
      <c r="AC944" s="37" t="s">
        <v>296</v>
      </c>
      <c r="AD944" s="37" t="s">
        <v>1706</v>
      </c>
      <c r="AF944" s="37" t="s">
        <v>1708</v>
      </c>
    </row>
    <row r="945" spans="3:32" x14ac:dyDescent="0.2">
      <c r="G945" s="37" t="s">
        <v>166</v>
      </c>
      <c r="H945" s="37" t="s">
        <v>166</v>
      </c>
      <c r="I945" s="37" t="s">
        <v>166</v>
      </c>
      <c r="J945" s="37" t="s">
        <v>18</v>
      </c>
      <c r="K945" s="37">
        <v>32</v>
      </c>
      <c r="L945" s="37">
        <v>51</v>
      </c>
      <c r="M945" s="37">
        <v>2</v>
      </c>
      <c r="N945" s="37">
        <v>85</v>
      </c>
      <c r="O945" s="37">
        <v>31</v>
      </c>
      <c r="P945" s="37">
        <v>16</v>
      </c>
      <c r="Q945" s="37">
        <v>132</v>
      </c>
      <c r="R945" s="37">
        <v>1554</v>
      </c>
      <c r="T945" s="37" t="s">
        <v>166</v>
      </c>
      <c r="U945" s="37" t="s">
        <v>166</v>
      </c>
      <c r="V945" s="37" t="s">
        <v>166</v>
      </c>
      <c r="W945" s="37" t="s">
        <v>17</v>
      </c>
      <c r="X945" s="37" t="s">
        <v>166</v>
      </c>
      <c r="Y945" s="37" t="s">
        <v>166</v>
      </c>
      <c r="Z945" s="37" t="s">
        <v>22</v>
      </c>
      <c r="AA945" s="37">
        <v>63</v>
      </c>
      <c r="AB945" s="37">
        <v>12</v>
      </c>
      <c r="AC945" s="37" t="s">
        <v>296</v>
      </c>
      <c r="AD945" s="37" t="s">
        <v>1706</v>
      </c>
      <c r="AF945" s="37" t="s">
        <v>1709</v>
      </c>
    </row>
    <row r="946" spans="3:32" x14ac:dyDescent="0.2">
      <c r="C946" s="37" t="s">
        <v>22</v>
      </c>
      <c r="D946" s="37">
        <v>70</v>
      </c>
      <c r="E946" s="37">
        <v>5</v>
      </c>
      <c r="F946" s="37" t="s">
        <v>296</v>
      </c>
      <c r="G946" s="37">
        <v>3.7</v>
      </c>
      <c r="H946" s="37" t="s">
        <v>181</v>
      </c>
      <c r="I946" s="37" t="s">
        <v>23</v>
      </c>
      <c r="J946" s="37" t="s">
        <v>17</v>
      </c>
      <c r="K946" s="37">
        <v>36</v>
      </c>
      <c r="L946" s="37">
        <v>79</v>
      </c>
      <c r="M946" s="37">
        <v>12</v>
      </c>
      <c r="N946" s="37">
        <v>127</v>
      </c>
      <c r="O946" s="37">
        <v>52</v>
      </c>
      <c r="P946" s="37">
        <v>25</v>
      </c>
      <c r="Q946" s="37">
        <v>204</v>
      </c>
      <c r="R946" s="37">
        <v>11258</v>
      </c>
      <c r="T946" s="37" t="s">
        <v>181</v>
      </c>
      <c r="U946" s="37" t="s">
        <v>229</v>
      </c>
      <c r="V946" s="37">
        <v>45</v>
      </c>
      <c r="W946" s="37" t="s">
        <v>18</v>
      </c>
      <c r="X946" s="37" t="s">
        <v>190</v>
      </c>
      <c r="Y946" s="37">
        <v>703</v>
      </c>
      <c r="Z946" s="37" t="s">
        <v>22</v>
      </c>
      <c r="AA946" s="37">
        <v>70</v>
      </c>
      <c r="AB946" s="37">
        <v>5</v>
      </c>
      <c r="AC946" s="37" t="s">
        <v>296</v>
      </c>
      <c r="AD946" s="37" t="s">
        <v>1710</v>
      </c>
      <c r="AF946" s="37" t="s">
        <v>1711</v>
      </c>
    </row>
    <row r="947" spans="3:32" x14ac:dyDescent="0.2">
      <c r="G947" s="37" t="s">
        <v>166</v>
      </c>
      <c r="H947" s="37" t="s">
        <v>166</v>
      </c>
      <c r="I947" s="37" t="s">
        <v>166</v>
      </c>
      <c r="J947" s="37" t="s">
        <v>18</v>
      </c>
      <c r="K947" s="37">
        <v>149</v>
      </c>
      <c r="L947" s="37">
        <v>139</v>
      </c>
      <c r="M947" s="37">
        <v>6</v>
      </c>
      <c r="N947" s="37">
        <v>294</v>
      </c>
      <c r="O947" s="37">
        <v>122</v>
      </c>
      <c r="P947" s="37">
        <v>58</v>
      </c>
      <c r="Q947" s="37">
        <v>474</v>
      </c>
      <c r="R947" s="37">
        <v>5595</v>
      </c>
      <c r="T947" s="37" t="s">
        <v>166</v>
      </c>
      <c r="U947" s="37" t="s">
        <v>166</v>
      </c>
      <c r="V947" s="37" t="s">
        <v>166</v>
      </c>
      <c r="W947" s="37" t="s">
        <v>18</v>
      </c>
      <c r="X947" s="37" t="s">
        <v>166</v>
      </c>
      <c r="Y947" s="37" t="s">
        <v>166</v>
      </c>
      <c r="Z947" s="37" t="s">
        <v>22</v>
      </c>
      <c r="AA947" s="37">
        <v>70</v>
      </c>
      <c r="AB947" s="37">
        <v>5</v>
      </c>
      <c r="AC947" s="37" t="s">
        <v>296</v>
      </c>
      <c r="AD947" s="37" t="s">
        <v>1710</v>
      </c>
      <c r="AF947" s="37" t="s">
        <v>1712</v>
      </c>
    </row>
    <row r="948" spans="3:32" x14ac:dyDescent="0.2">
      <c r="C948" s="37" t="s">
        <v>22</v>
      </c>
      <c r="D948" s="37">
        <v>70</v>
      </c>
      <c r="E948" s="37">
        <v>11</v>
      </c>
      <c r="F948" s="37">
        <v>2</v>
      </c>
      <c r="G948" s="37">
        <v>2.4</v>
      </c>
      <c r="H948" s="37" t="s">
        <v>181</v>
      </c>
      <c r="I948" s="37" t="s">
        <v>23</v>
      </c>
      <c r="J948" s="37" t="s">
        <v>17</v>
      </c>
      <c r="K948" s="37">
        <v>34</v>
      </c>
      <c r="L948" s="37">
        <v>77</v>
      </c>
      <c r="M948" s="37">
        <v>15</v>
      </c>
      <c r="N948" s="37">
        <v>126</v>
      </c>
      <c r="O948" s="37">
        <v>57</v>
      </c>
      <c r="P948" s="37">
        <v>26</v>
      </c>
      <c r="Q948" s="37">
        <v>209</v>
      </c>
      <c r="R948" s="37">
        <v>11066</v>
      </c>
      <c r="T948" s="37" t="s">
        <v>181</v>
      </c>
      <c r="U948" s="37" t="s">
        <v>192</v>
      </c>
      <c r="V948" s="37">
        <v>50</v>
      </c>
      <c r="W948" s="37" t="s">
        <v>18</v>
      </c>
      <c r="X948" s="37" t="s">
        <v>190</v>
      </c>
      <c r="Y948" s="37">
        <v>576</v>
      </c>
      <c r="Z948" s="37" t="s">
        <v>22</v>
      </c>
      <c r="AA948" s="37">
        <v>70</v>
      </c>
      <c r="AB948" s="37">
        <v>11</v>
      </c>
      <c r="AC948" s="37">
        <v>2</v>
      </c>
      <c r="AD948" s="37" t="s">
        <v>1713</v>
      </c>
      <c r="AF948" s="37" t="s">
        <v>1714</v>
      </c>
    </row>
    <row r="949" spans="3:32" x14ac:dyDescent="0.2">
      <c r="G949" s="37" t="s">
        <v>166</v>
      </c>
      <c r="H949" s="37" t="s">
        <v>166</v>
      </c>
      <c r="I949" s="37" t="s">
        <v>166</v>
      </c>
      <c r="J949" s="37" t="s">
        <v>18</v>
      </c>
      <c r="K949" s="37">
        <v>104</v>
      </c>
      <c r="L949" s="37">
        <v>100</v>
      </c>
      <c r="M949" s="37">
        <v>4</v>
      </c>
      <c r="N949" s="37">
        <v>208</v>
      </c>
      <c r="O949" s="37">
        <v>86</v>
      </c>
      <c r="P949" s="37">
        <v>41</v>
      </c>
      <c r="Q949" s="37">
        <v>335</v>
      </c>
      <c r="R949" s="37">
        <v>3937</v>
      </c>
      <c r="T949" s="37" t="s">
        <v>166</v>
      </c>
      <c r="U949" s="37" t="s">
        <v>166</v>
      </c>
      <c r="V949" s="37" t="s">
        <v>166</v>
      </c>
      <c r="W949" s="37" t="s">
        <v>18</v>
      </c>
      <c r="X949" s="37" t="s">
        <v>166</v>
      </c>
      <c r="Y949" s="37" t="s">
        <v>166</v>
      </c>
      <c r="Z949" s="37" t="s">
        <v>22</v>
      </c>
      <c r="AA949" s="37">
        <v>70</v>
      </c>
      <c r="AB949" s="37">
        <v>11</v>
      </c>
      <c r="AC949" s="37">
        <v>2</v>
      </c>
      <c r="AD949" s="37" t="s">
        <v>1713</v>
      </c>
      <c r="AF949" s="37" t="s">
        <v>1715</v>
      </c>
    </row>
    <row r="950" spans="3:32" x14ac:dyDescent="0.2">
      <c r="C950" s="37" t="s">
        <v>22</v>
      </c>
      <c r="D950" s="37">
        <v>70</v>
      </c>
      <c r="E950" s="37">
        <v>13</v>
      </c>
      <c r="F950" s="37">
        <v>3</v>
      </c>
      <c r="G950" s="37">
        <v>5.5</v>
      </c>
      <c r="H950" s="37" t="s">
        <v>181</v>
      </c>
      <c r="I950" s="37" t="s">
        <v>23</v>
      </c>
      <c r="J950" s="37" t="s">
        <v>17</v>
      </c>
      <c r="K950" s="37">
        <v>32</v>
      </c>
      <c r="L950" s="37">
        <v>116</v>
      </c>
      <c r="M950" s="37">
        <v>23</v>
      </c>
      <c r="N950" s="37">
        <v>171</v>
      </c>
      <c r="O950" s="37">
        <v>73</v>
      </c>
      <c r="P950" s="37">
        <v>35</v>
      </c>
      <c r="Q950" s="37">
        <v>279</v>
      </c>
      <c r="R950" s="37">
        <v>14390</v>
      </c>
      <c r="T950" s="37" t="s">
        <v>181</v>
      </c>
      <c r="U950" s="37" t="s">
        <v>226</v>
      </c>
      <c r="V950" s="37">
        <v>50</v>
      </c>
      <c r="W950" s="37" t="s">
        <v>18</v>
      </c>
      <c r="X950" s="37" t="s">
        <v>190</v>
      </c>
      <c r="Y950" s="37">
        <v>1430</v>
      </c>
      <c r="Z950" s="37" t="s">
        <v>22</v>
      </c>
      <c r="AA950" s="37">
        <v>70</v>
      </c>
      <c r="AB950" s="37">
        <v>13</v>
      </c>
      <c r="AC950" s="37">
        <v>3</v>
      </c>
      <c r="AD950" s="37" t="s">
        <v>1716</v>
      </c>
      <c r="AF950" s="37" t="s">
        <v>1717</v>
      </c>
    </row>
    <row r="951" spans="3:32" x14ac:dyDescent="0.2">
      <c r="G951" s="37" t="s">
        <v>166</v>
      </c>
      <c r="H951" s="37" t="s">
        <v>166</v>
      </c>
      <c r="I951" s="37" t="s">
        <v>166</v>
      </c>
      <c r="J951" s="37" t="s">
        <v>18</v>
      </c>
      <c r="K951" s="37">
        <v>394</v>
      </c>
      <c r="L951" s="37">
        <v>305</v>
      </c>
      <c r="M951" s="37">
        <v>12</v>
      </c>
      <c r="N951" s="37">
        <v>711</v>
      </c>
      <c r="O951" s="37">
        <v>256</v>
      </c>
      <c r="P951" s="37">
        <v>130</v>
      </c>
      <c r="Q951" s="37">
        <v>1097</v>
      </c>
      <c r="R951" s="37">
        <v>13672</v>
      </c>
      <c r="T951" s="37" t="s">
        <v>166</v>
      </c>
      <c r="U951" s="37" t="s">
        <v>166</v>
      </c>
      <c r="V951" s="37" t="s">
        <v>166</v>
      </c>
      <c r="W951" s="37" t="s">
        <v>18</v>
      </c>
      <c r="X951" s="37" t="s">
        <v>166</v>
      </c>
      <c r="Y951" s="37" t="s">
        <v>166</v>
      </c>
      <c r="Z951" s="37" t="s">
        <v>22</v>
      </c>
      <c r="AA951" s="37">
        <v>70</v>
      </c>
      <c r="AB951" s="37">
        <v>13</v>
      </c>
      <c r="AC951" s="37">
        <v>3</v>
      </c>
      <c r="AD951" s="37" t="s">
        <v>1716</v>
      </c>
      <c r="AF951" s="37" t="s">
        <v>1718</v>
      </c>
    </row>
    <row r="952" spans="3:32" x14ac:dyDescent="0.2">
      <c r="C952" s="37" t="s">
        <v>22</v>
      </c>
      <c r="D952" s="37">
        <v>70</v>
      </c>
      <c r="E952" s="37">
        <v>20</v>
      </c>
      <c r="F952" s="37">
        <v>4</v>
      </c>
      <c r="G952" s="37">
        <v>5.5</v>
      </c>
      <c r="H952" s="37" t="s">
        <v>181</v>
      </c>
      <c r="I952" s="37" t="s">
        <v>23</v>
      </c>
      <c r="J952" s="37" t="s">
        <v>17</v>
      </c>
      <c r="K952" s="37">
        <v>28</v>
      </c>
      <c r="L952" s="37">
        <v>105</v>
      </c>
      <c r="M952" s="37">
        <v>24</v>
      </c>
      <c r="N952" s="37">
        <v>157</v>
      </c>
      <c r="O952" s="37">
        <v>73</v>
      </c>
      <c r="P952" s="37">
        <v>33</v>
      </c>
      <c r="Q952" s="37">
        <v>263</v>
      </c>
      <c r="R952" s="37">
        <v>13037</v>
      </c>
      <c r="T952" s="37" t="s">
        <v>181</v>
      </c>
      <c r="U952" s="37" t="s">
        <v>210</v>
      </c>
      <c r="V952" s="37">
        <v>50</v>
      </c>
      <c r="W952" s="37" t="s">
        <v>18</v>
      </c>
      <c r="X952" s="37" t="s">
        <v>190</v>
      </c>
      <c r="Y952" s="37">
        <v>1320</v>
      </c>
      <c r="Z952" s="37" t="s">
        <v>22</v>
      </c>
      <c r="AA952" s="37">
        <v>70</v>
      </c>
      <c r="AB952" s="37">
        <v>20</v>
      </c>
      <c r="AC952" s="37">
        <v>4</v>
      </c>
      <c r="AD952" s="37" t="s">
        <v>1719</v>
      </c>
      <c r="AF952" s="37" t="s">
        <v>1720</v>
      </c>
    </row>
    <row r="953" spans="3:32" x14ac:dyDescent="0.2">
      <c r="G953" s="37" t="s">
        <v>166</v>
      </c>
      <c r="H953" s="37" t="s">
        <v>166</v>
      </c>
      <c r="I953" s="37" t="s">
        <v>166</v>
      </c>
      <c r="J953" s="37" t="s">
        <v>19</v>
      </c>
      <c r="K953" s="37">
        <v>2</v>
      </c>
      <c r="L953" s="37">
        <v>54</v>
      </c>
      <c r="M953" s="37">
        <v>13</v>
      </c>
      <c r="N953" s="37">
        <v>69</v>
      </c>
      <c r="O953" s="37">
        <v>49</v>
      </c>
      <c r="P953" s="37">
        <v>12</v>
      </c>
      <c r="Q953" s="37">
        <v>130</v>
      </c>
      <c r="R953" s="37">
        <v>3132</v>
      </c>
      <c r="T953" s="37" t="s">
        <v>166</v>
      </c>
      <c r="U953" s="37" t="s">
        <v>166</v>
      </c>
      <c r="V953" s="37" t="s">
        <v>166</v>
      </c>
      <c r="W953" s="37" t="s">
        <v>18</v>
      </c>
      <c r="X953" s="37" t="s">
        <v>166</v>
      </c>
      <c r="Y953" s="37" t="s">
        <v>166</v>
      </c>
      <c r="Z953" s="37" t="s">
        <v>22</v>
      </c>
      <c r="AA953" s="37">
        <v>70</v>
      </c>
      <c r="AB953" s="37">
        <v>20</v>
      </c>
      <c r="AC953" s="37">
        <v>4</v>
      </c>
      <c r="AD953" s="37" t="s">
        <v>1719</v>
      </c>
      <c r="AF953" s="37" t="s">
        <v>1721</v>
      </c>
    </row>
    <row r="954" spans="3:32" x14ac:dyDescent="0.2">
      <c r="G954" s="37" t="s">
        <v>166</v>
      </c>
      <c r="H954" s="37" t="s">
        <v>166</v>
      </c>
      <c r="I954" s="37" t="s">
        <v>166</v>
      </c>
      <c r="J954" s="37" t="s">
        <v>18</v>
      </c>
      <c r="K954" s="37">
        <v>301</v>
      </c>
      <c r="L954" s="37">
        <v>273</v>
      </c>
      <c r="M954" s="37">
        <v>11</v>
      </c>
      <c r="N954" s="37">
        <v>585</v>
      </c>
      <c r="O954" s="37">
        <v>225</v>
      </c>
      <c r="P954" s="37">
        <v>111</v>
      </c>
      <c r="Q954" s="37">
        <v>921</v>
      </c>
      <c r="R954" s="37">
        <v>11130</v>
      </c>
      <c r="T954" s="37" t="s">
        <v>166</v>
      </c>
      <c r="U954" s="37" t="s">
        <v>166</v>
      </c>
      <c r="V954" s="37" t="s">
        <v>166</v>
      </c>
      <c r="W954" s="37" t="s">
        <v>18</v>
      </c>
      <c r="X954" s="37" t="s">
        <v>166</v>
      </c>
      <c r="Y954" s="37" t="s">
        <v>166</v>
      </c>
      <c r="Z954" s="37" t="s">
        <v>22</v>
      </c>
      <c r="AA954" s="37">
        <v>70</v>
      </c>
      <c r="AB954" s="37">
        <v>20</v>
      </c>
      <c r="AC954" s="37">
        <v>4</v>
      </c>
      <c r="AD954" s="37" t="s">
        <v>1719</v>
      </c>
      <c r="AF954" s="37" t="s">
        <v>1722</v>
      </c>
    </row>
    <row r="955" spans="3:32" x14ac:dyDescent="0.2">
      <c r="C955" s="37" t="s">
        <v>22</v>
      </c>
      <c r="D955" s="37">
        <v>70</v>
      </c>
      <c r="E955" s="37">
        <v>22</v>
      </c>
      <c r="F955" s="37">
        <v>5</v>
      </c>
      <c r="G955" s="37">
        <v>3.7</v>
      </c>
      <c r="H955" s="37" t="s">
        <v>181</v>
      </c>
      <c r="I955" s="37" t="s">
        <v>23</v>
      </c>
      <c r="J955" s="37" t="s">
        <v>17</v>
      </c>
      <c r="K955" s="37">
        <v>8</v>
      </c>
      <c r="L955" s="37">
        <v>36</v>
      </c>
      <c r="M955" s="37">
        <v>9</v>
      </c>
      <c r="N955" s="37">
        <v>53</v>
      </c>
      <c r="O955" s="37">
        <v>24</v>
      </c>
      <c r="P955" s="37">
        <v>11</v>
      </c>
      <c r="Q955" s="37">
        <v>88</v>
      </c>
      <c r="R955" s="37">
        <v>4356</v>
      </c>
      <c r="T955" s="37" t="s">
        <v>181</v>
      </c>
      <c r="U955" s="37" t="s">
        <v>189</v>
      </c>
      <c r="V955" s="37">
        <v>50</v>
      </c>
      <c r="W955" s="37" t="s">
        <v>18</v>
      </c>
      <c r="X955" s="37" t="s">
        <v>190</v>
      </c>
      <c r="Y955" s="37">
        <v>925</v>
      </c>
      <c r="Z955" s="37" t="s">
        <v>22</v>
      </c>
      <c r="AA955" s="37">
        <v>70</v>
      </c>
      <c r="AB955" s="37">
        <v>22</v>
      </c>
      <c r="AC955" s="37">
        <v>5</v>
      </c>
      <c r="AD955" s="37" t="s">
        <v>1723</v>
      </c>
      <c r="AF955" s="37" t="s">
        <v>1724</v>
      </c>
    </row>
    <row r="956" spans="3:32" x14ac:dyDescent="0.2">
      <c r="G956" s="37" t="s">
        <v>166</v>
      </c>
      <c r="H956" s="37" t="s">
        <v>166</v>
      </c>
      <c r="I956" s="37" t="s">
        <v>166</v>
      </c>
      <c r="J956" s="37" t="s">
        <v>18</v>
      </c>
      <c r="K956" s="37">
        <v>250</v>
      </c>
      <c r="L956" s="37">
        <v>267</v>
      </c>
      <c r="M956" s="37">
        <v>10</v>
      </c>
      <c r="N956" s="37">
        <v>527</v>
      </c>
      <c r="O956" s="37">
        <v>197</v>
      </c>
      <c r="P956" s="37">
        <v>97</v>
      </c>
      <c r="Q956" s="37">
        <v>821</v>
      </c>
      <c r="R956" s="37">
        <v>9914</v>
      </c>
      <c r="T956" s="37" t="s">
        <v>166</v>
      </c>
      <c r="U956" s="37" t="s">
        <v>166</v>
      </c>
      <c r="V956" s="37" t="s">
        <v>166</v>
      </c>
      <c r="W956" s="37" t="s">
        <v>18</v>
      </c>
      <c r="X956" s="37" t="s">
        <v>166</v>
      </c>
      <c r="Y956" s="37" t="s">
        <v>166</v>
      </c>
      <c r="Z956" s="37" t="s">
        <v>22</v>
      </c>
      <c r="AA956" s="37">
        <v>70</v>
      </c>
      <c r="AB956" s="37">
        <v>22</v>
      </c>
      <c r="AC956" s="37">
        <v>5</v>
      </c>
      <c r="AD956" s="37" t="s">
        <v>1723</v>
      </c>
      <c r="AF956" s="37" t="s">
        <v>1725</v>
      </c>
    </row>
    <row r="957" spans="3:32" x14ac:dyDescent="0.2">
      <c r="C957" s="37" t="s">
        <v>22</v>
      </c>
      <c r="D957" s="37">
        <v>71</v>
      </c>
      <c r="E957" s="37">
        <v>3</v>
      </c>
      <c r="F957" s="37" t="s">
        <v>296</v>
      </c>
      <c r="G957" s="37">
        <v>6.1</v>
      </c>
      <c r="H957" s="37" t="s">
        <v>181</v>
      </c>
      <c r="I957" s="37" t="s">
        <v>23</v>
      </c>
      <c r="J957" s="37" t="s">
        <v>17</v>
      </c>
      <c r="K957" s="37">
        <v>29</v>
      </c>
      <c r="L957" s="37">
        <v>135</v>
      </c>
      <c r="M957" s="37">
        <v>35</v>
      </c>
      <c r="N957" s="37">
        <v>199</v>
      </c>
      <c r="O957" s="37">
        <v>74</v>
      </c>
      <c r="P957" s="37">
        <v>40</v>
      </c>
      <c r="Q957" s="37">
        <v>313</v>
      </c>
      <c r="R957" s="37">
        <v>15979</v>
      </c>
      <c r="T957" s="37" t="s">
        <v>181</v>
      </c>
      <c r="U957" s="37" t="s">
        <v>226</v>
      </c>
      <c r="V957" s="37">
        <v>60</v>
      </c>
      <c r="W957" s="37" t="s">
        <v>18</v>
      </c>
      <c r="X957" s="37" t="s">
        <v>190</v>
      </c>
      <c r="Y957" s="37">
        <v>1586</v>
      </c>
      <c r="Z957" s="37" t="s">
        <v>22</v>
      </c>
      <c r="AA957" s="37">
        <v>71</v>
      </c>
      <c r="AB957" s="37">
        <v>3</v>
      </c>
      <c r="AC957" s="37" t="s">
        <v>296</v>
      </c>
      <c r="AD957" s="37" t="s">
        <v>1726</v>
      </c>
      <c r="AF957" s="37" t="s">
        <v>1727</v>
      </c>
    </row>
    <row r="958" spans="3:32" x14ac:dyDescent="0.2">
      <c r="G958" s="37" t="s">
        <v>166</v>
      </c>
      <c r="H958" s="37" t="s">
        <v>166</v>
      </c>
      <c r="I958" s="37" t="s">
        <v>166</v>
      </c>
      <c r="J958" s="37" t="s">
        <v>18</v>
      </c>
      <c r="K958" s="37">
        <v>381</v>
      </c>
      <c r="L958" s="37">
        <v>390</v>
      </c>
      <c r="M958" s="37">
        <v>19</v>
      </c>
      <c r="N958" s="37">
        <v>790</v>
      </c>
      <c r="O958" s="37">
        <v>296</v>
      </c>
      <c r="P958" s="37">
        <v>147</v>
      </c>
      <c r="Q958" s="37">
        <v>1233</v>
      </c>
      <c r="R958" s="37">
        <v>14876</v>
      </c>
      <c r="T958" s="37" t="s">
        <v>166</v>
      </c>
      <c r="U958" s="37" t="s">
        <v>166</v>
      </c>
      <c r="V958" s="37" t="s">
        <v>166</v>
      </c>
      <c r="W958" s="37" t="s">
        <v>18</v>
      </c>
      <c r="X958" s="37" t="s">
        <v>166</v>
      </c>
      <c r="Y958" s="37" t="s">
        <v>166</v>
      </c>
      <c r="Z958" s="37" t="s">
        <v>22</v>
      </c>
      <c r="AA958" s="37">
        <v>71</v>
      </c>
      <c r="AB958" s="37">
        <v>3</v>
      </c>
      <c r="AC958" s="37" t="s">
        <v>296</v>
      </c>
      <c r="AD958" s="37" t="s">
        <v>1726</v>
      </c>
      <c r="AF958" s="37" t="s">
        <v>1728</v>
      </c>
    </row>
    <row r="959" spans="3:32" x14ac:dyDescent="0.2">
      <c r="C959" s="37" t="s">
        <v>22</v>
      </c>
      <c r="D959" s="37">
        <v>71</v>
      </c>
      <c r="E959" s="37">
        <v>8</v>
      </c>
      <c r="F959" s="37">
        <v>2</v>
      </c>
      <c r="G959" s="37">
        <v>4.4000000000000004</v>
      </c>
      <c r="H959" s="37" t="s">
        <v>181</v>
      </c>
      <c r="I959" s="37" t="s">
        <v>23</v>
      </c>
      <c r="J959" s="37" t="s">
        <v>17</v>
      </c>
      <c r="K959" s="37">
        <v>19</v>
      </c>
      <c r="L959" s="37">
        <v>101</v>
      </c>
      <c r="M959" s="37">
        <v>29</v>
      </c>
      <c r="N959" s="37">
        <v>149</v>
      </c>
      <c r="O959" s="37">
        <v>57</v>
      </c>
      <c r="P959" s="37">
        <v>29</v>
      </c>
      <c r="Q959" s="37">
        <v>235</v>
      </c>
      <c r="R959" s="37">
        <v>11876</v>
      </c>
      <c r="T959" s="37" t="s">
        <v>181</v>
      </c>
      <c r="U959" s="37" t="s">
        <v>198</v>
      </c>
      <c r="V959" s="37">
        <v>45</v>
      </c>
      <c r="W959" s="37" t="s">
        <v>18</v>
      </c>
      <c r="X959" s="37" t="s">
        <v>190</v>
      </c>
      <c r="Y959" s="37">
        <v>792.00000000000011</v>
      </c>
      <c r="Z959" s="37" t="s">
        <v>22</v>
      </c>
      <c r="AA959" s="37">
        <v>71</v>
      </c>
      <c r="AB959" s="37">
        <v>8</v>
      </c>
      <c r="AC959" s="37">
        <v>2</v>
      </c>
      <c r="AD959" s="37" t="s">
        <v>1729</v>
      </c>
      <c r="AF959" s="37" t="s">
        <v>1730</v>
      </c>
    </row>
    <row r="960" spans="3:32" x14ac:dyDescent="0.2">
      <c r="G960" s="37" t="s">
        <v>166</v>
      </c>
      <c r="H960" s="37" t="s">
        <v>166</v>
      </c>
      <c r="I960" s="37" t="s">
        <v>166</v>
      </c>
      <c r="J960" s="37" t="s">
        <v>18</v>
      </c>
      <c r="K960" s="37">
        <v>168</v>
      </c>
      <c r="L960" s="37">
        <v>166</v>
      </c>
      <c r="M960" s="37">
        <v>8</v>
      </c>
      <c r="N960" s="37">
        <v>342</v>
      </c>
      <c r="O960" s="37">
        <v>127</v>
      </c>
      <c r="P960" s="37">
        <v>64</v>
      </c>
      <c r="Q960" s="37">
        <v>533</v>
      </c>
      <c r="R960" s="37">
        <v>6461</v>
      </c>
      <c r="T960" s="37" t="s">
        <v>166</v>
      </c>
      <c r="U960" s="37" t="s">
        <v>166</v>
      </c>
      <c r="V960" s="37" t="s">
        <v>166</v>
      </c>
      <c r="W960" s="37" t="s">
        <v>18</v>
      </c>
      <c r="X960" s="37" t="s">
        <v>166</v>
      </c>
      <c r="Y960" s="37" t="s">
        <v>166</v>
      </c>
      <c r="Z960" s="37" t="s">
        <v>22</v>
      </c>
      <c r="AA960" s="37">
        <v>71</v>
      </c>
      <c r="AB960" s="37">
        <v>8</v>
      </c>
      <c r="AC960" s="37">
        <v>2</v>
      </c>
      <c r="AD960" s="37" t="s">
        <v>1729</v>
      </c>
      <c r="AF960" s="37" t="s">
        <v>1731</v>
      </c>
    </row>
    <row r="961" spans="3:32" x14ac:dyDescent="0.2">
      <c r="C961" s="37" t="s">
        <v>22</v>
      </c>
      <c r="D961" s="37">
        <v>71</v>
      </c>
      <c r="E961" s="37">
        <v>11</v>
      </c>
      <c r="F961" s="37">
        <v>3</v>
      </c>
      <c r="G961" s="37">
        <v>7.7</v>
      </c>
      <c r="H961" s="37" t="s">
        <v>181</v>
      </c>
      <c r="I961" s="37" t="s">
        <v>23</v>
      </c>
      <c r="J961" s="37" t="s">
        <v>17</v>
      </c>
      <c r="K961" s="37">
        <v>0</v>
      </c>
      <c r="L961" s="37">
        <v>0</v>
      </c>
      <c r="M961" s="37">
        <v>0</v>
      </c>
      <c r="N961" s="37">
        <v>0</v>
      </c>
      <c r="O961" s="37">
        <v>0</v>
      </c>
      <c r="P961" s="37">
        <v>0</v>
      </c>
      <c r="Q961" s="37">
        <v>0</v>
      </c>
      <c r="R961" s="37">
        <v>0</v>
      </c>
      <c r="T961" s="37" t="s">
        <v>181</v>
      </c>
      <c r="U961" s="37" t="s">
        <v>225</v>
      </c>
      <c r="V961" s="37">
        <v>50</v>
      </c>
      <c r="W961" s="37" t="s">
        <v>18</v>
      </c>
      <c r="X961" s="37" t="s">
        <v>190</v>
      </c>
      <c r="Y961" s="37">
        <v>1848</v>
      </c>
      <c r="Z961" s="37" t="s">
        <v>22</v>
      </c>
      <c r="AA961" s="37">
        <v>71</v>
      </c>
      <c r="AB961" s="37">
        <v>11</v>
      </c>
      <c r="AC961" s="37">
        <v>3</v>
      </c>
      <c r="AD961" s="37" t="s">
        <v>1732</v>
      </c>
      <c r="AF961" s="37" t="s">
        <v>1733</v>
      </c>
    </row>
    <row r="962" spans="3:32" x14ac:dyDescent="0.2">
      <c r="G962" s="37" t="s">
        <v>166</v>
      </c>
      <c r="H962" s="37" t="s">
        <v>166</v>
      </c>
      <c r="I962" s="37" t="s">
        <v>166</v>
      </c>
      <c r="J962" s="37" t="s">
        <v>18</v>
      </c>
      <c r="K962" s="37">
        <v>555</v>
      </c>
      <c r="L962" s="37">
        <v>567</v>
      </c>
      <c r="M962" s="37">
        <v>25</v>
      </c>
      <c r="N962" s="37">
        <v>1147</v>
      </c>
      <c r="O962" s="37">
        <v>425</v>
      </c>
      <c r="P962" s="37">
        <v>213</v>
      </c>
      <c r="Q962" s="37">
        <v>1785</v>
      </c>
      <c r="R962" s="37">
        <v>21635</v>
      </c>
      <c r="T962" s="37" t="s">
        <v>166</v>
      </c>
      <c r="U962" s="37" t="s">
        <v>166</v>
      </c>
      <c r="V962" s="37" t="s">
        <v>166</v>
      </c>
      <c r="W962" s="37" t="s">
        <v>18</v>
      </c>
      <c r="X962" s="37" t="s">
        <v>166</v>
      </c>
      <c r="Y962" s="37" t="s">
        <v>166</v>
      </c>
      <c r="Z962" s="37" t="s">
        <v>22</v>
      </c>
      <c r="AA962" s="37">
        <v>71</v>
      </c>
      <c r="AB962" s="37">
        <v>11</v>
      </c>
      <c r="AC962" s="37">
        <v>3</v>
      </c>
      <c r="AD962" s="37" t="s">
        <v>1732</v>
      </c>
      <c r="AF962" s="37" t="s">
        <v>1734</v>
      </c>
    </row>
    <row r="963" spans="3:32" x14ac:dyDescent="0.2">
      <c r="C963" s="37" t="s">
        <v>22</v>
      </c>
      <c r="D963" s="37">
        <v>71</v>
      </c>
      <c r="E963" s="37">
        <v>11</v>
      </c>
      <c r="F963" s="37">
        <v>4</v>
      </c>
      <c r="G963" s="37">
        <v>3.3</v>
      </c>
      <c r="H963" s="37" t="s">
        <v>181</v>
      </c>
      <c r="I963" s="37" t="s">
        <v>23</v>
      </c>
      <c r="J963" s="37" t="s">
        <v>17</v>
      </c>
      <c r="K963" s="37">
        <v>0</v>
      </c>
      <c r="L963" s="37">
        <v>0</v>
      </c>
      <c r="M963" s="37">
        <v>0</v>
      </c>
      <c r="N963" s="37">
        <v>0</v>
      </c>
      <c r="O963" s="37">
        <v>0</v>
      </c>
      <c r="P963" s="37">
        <v>0</v>
      </c>
      <c r="Q963" s="37">
        <v>0</v>
      </c>
      <c r="R963" s="37">
        <v>0</v>
      </c>
      <c r="T963" s="37" t="s">
        <v>181</v>
      </c>
      <c r="U963" s="37" t="s">
        <v>225</v>
      </c>
      <c r="V963" s="37">
        <v>50</v>
      </c>
      <c r="W963" s="37" t="s">
        <v>18</v>
      </c>
      <c r="X963" s="37" t="s">
        <v>190</v>
      </c>
      <c r="Y963" s="37">
        <v>792</v>
      </c>
      <c r="Z963" s="37" t="s">
        <v>22</v>
      </c>
      <c r="AA963" s="37">
        <v>71</v>
      </c>
      <c r="AB963" s="37">
        <v>11</v>
      </c>
      <c r="AC963" s="37">
        <v>4</v>
      </c>
      <c r="AD963" s="37" t="s">
        <v>1735</v>
      </c>
      <c r="AF963" s="37" t="s">
        <v>1736</v>
      </c>
    </row>
    <row r="964" spans="3:32" x14ac:dyDescent="0.2">
      <c r="G964" s="37" t="s">
        <v>166</v>
      </c>
      <c r="H964" s="37" t="s">
        <v>166</v>
      </c>
      <c r="I964" s="37" t="s">
        <v>166</v>
      </c>
      <c r="J964" s="37" t="s">
        <v>18</v>
      </c>
      <c r="K964" s="37">
        <v>246</v>
      </c>
      <c r="L964" s="37">
        <v>250</v>
      </c>
      <c r="M964" s="37">
        <v>12</v>
      </c>
      <c r="N964" s="37">
        <v>508</v>
      </c>
      <c r="O964" s="37">
        <v>178</v>
      </c>
      <c r="P964" s="37">
        <v>92</v>
      </c>
      <c r="Q964" s="37">
        <v>778</v>
      </c>
      <c r="R964" s="37">
        <v>9551</v>
      </c>
      <c r="T964" s="37" t="s">
        <v>166</v>
      </c>
      <c r="U964" s="37" t="s">
        <v>166</v>
      </c>
      <c r="V964" s="37" t="s">
        <v>166</v>
      </c>
      <c r="W964" s="37" t="s">
        <v>18</v>
      </c>
      <c r="X964" s="37" t="s">
        <v>166</v>
      </c>
      <c r="Y964" s="37" t="s">
        <v>166</v>
      </c>
      <c r="Z964" s="37" t="s">
        <v>22</v>
      </c>
      <c r="AA964" s="37">
        <v>71</v>
      </c>
      <c r="AB964" s="37">
        <v>11</v>
      </c>
      <c r="AC964" s="37">
        <v>4</v>
      </c>
      <c r="AD964" s="37" t="s">
        <v>1735</v>
      </c>
      <c r="AF964" s="37" t="s">
        <v>1737</v>
      </c>
    </row>
    <row r="965" spans="3:32" x14ac:dyDescent="0.2">
      <c r="C965" s="37" t="s">
        <v>22</v>
      </c>
      <c r="D965" s="37">
        <v>71</v>
      </c>
      <c r="E965" s="37">
        <v>11</v>
      </c>
      <c r="F965" s="37">
        <v>5</v>
      </c>
      <c r="G965" s="37">
        <v>5.2</v>
      </c>
      <c r="H965" s="37" t="s">
        <v>181</v>
      </c>
      <c r="I965" s="37" t="s">
        <v>23</v>
      </c>
      <c r="J965" s="37" t="s">
        <v>17</v>
      </c>
      <c r="K965" s="37">
        <v>0</v>
      </c>
      <c r="L965" s="37">
        <v>0</v>
      </c>
      <c r="M965" s="37">
        <v>0</v>
      </c>
      <c r="N965" s="37">
        <v>0</v>
      </c>
      <c r="O965" s="37">
        <v>0</v>
      </c>
      <c r="P965" s="37">
        <v>0</v>
      </c>
      <c r="Q965" s="37">
        <v>0</v>
      </c>
      <c r="R965" s="37">
        <v>0</v>
      </c>
      <c r="T965" s="37" t="s">
        <v>181</v>
      </c>
      <c r="U965" s="37" t="s">
        <v>225</v>
      </c>
      <c r="V965" s="37">
        <v>50</v>
      </c>
      <c r="W965" s="37" t="s">
        <v>18</v>
      </c>
      <c r="X965" s="37" t="s">
        <v>190</v>
      </c>
      <c r="Y965" s="37">
        <v>1248</v>
      </c>
      <c r="Z965" s="37" t="s">
        <v>22</v>
      </c>
      <c r="AA965" s="37">
        <v>71</v>
      </c>
      <c r="AB965" s="37">
        <v>11</v>
      </c>
      <c r="AC965" s="37">
        <v>5</v>
      </c>
      <c r="AD965" s="37" t="s">
        <v>1738</v>
      </c>
      <c r="AF965" s="37" t="s">
        <v>1739</v>
      </c>
    </row>
    <row r="966" spans="3:32" x14ac:dyDescent="0.2">
      <c r="G966" s="37" t="s">
        <v>166</v>
      </c>
      <c r="H966" s="37" t="s">
        <v>166</v>
      </c>
      <c r="I966" s="37" t="s">
        <v>166</v>
      </c>
      <c r="J966" s="37" t="s">
        <v>18</v>
      </c>
      <c r="K966" s="37">
        <v>398</v>
      </c>
      <c r="L966" s="37">
        <v>384</v>
      </c>
      <c r="M966" s="37">
        <v>20</v>
      </c>
      <c r="N966" s="37">
        <v>802</v>
      </c>
      <c r="O966" s="37">
        <v>282</v>
      </c>
      <c r="P966" s="37">
        <v>145</v>
      </c>
      <c r="Q966" s="37">
        <v>1229</v>
      </c>
      <c r="R966" s="37">
        <v>15136</v>
      </c>
      <c r="T966" s="37" t="s">
        <v>166</v>
      </c>
      <c r="U966" s="37" t="s">
        <v>166</v>
      </c>
      <c r="V966" s="37" t="s">
        <v>166</v>
      </c>
      <c r="W966" s="37" t="s">
        <v>18</v>
      </c>
      <c r="X966" s="37" t="s">
        <v>166</v>
      </c>
      <c r="Y966" s="37" t="s">
        <v>166</v>
      </c>
      <c r="Z966" s="37" t="s">
        <v>22</v>
      </c>
      <c r="AA966" s="37">
        <v>71</v>
      </c>
      <c r="AB966" s="37">
        <v>11</v>
      </c>
      <c r="AC966" s="37">
        <v>5</v>
      </c>
      <c r="AD966" s="37" t="s">
        <v>1738</v>
      </c>
      <c r="AF966" s="37" t="s">
        <v>1740</v>
      </c>
    </row>
    <row r="967" spans="3:32" x14ac:dyDescent="0.2">
      <c r="C967" s="37" t="s">
        <v>22</v>
      </c>
      <c r="D967" s="37">
        <v>71</v>
      </c>
      <c r="E967" s="37">
        <v>12</v>
      </c>
      <c r="F967" s="37">
        <v>6</v>
      </c>
      <c r="G967" s="37">
        <v>2.9</v>
      </c>
      <c r="H967" s="37" t="s">
        <v>181</v>
      </c>
      <c r="I967" s="37" t="s">
        <v>23</v>
      </c>
      <c r="J967" s="37" t="s">
        <v>17</v>
      </c>
      <c r="K967" s="37">
        <v>5</v>
      </c>
      <c r="L967" s="37">
        <v>28</v>
      </c>
      <c r="M967" s="37">
        <v>7</v>
      </c>
      <c r="N967" s="37">
        <v>40</v>
      </c>
      <c r="O967" s="37">
        <v>14</v>
      </c>
      <c r="P967" s="37">
        <v>8</v>
      </c>
      <c r="Q967" s="37">
        <v>62</v>
      </c>
      <c r="R967" s="37">
        <v>3202</v>
      </c>
      <c r="T967" s="37" t="s">
        <v>181</v>
      </c>
      <c r="U967" s="37" t="s">
        <v>189</v>
      </c>
      <c r="V967" s="37">
        <v>55</v>
      </c>
      <c r="W967" s="37" t="s">
        <v>18</v>
      </c>
      <c r="X967" s="37" t="s">
        <v>190</v>
      </c>
      <c r="Y967" s="37">
        <v>638</v>
      </c>
      <c r="Z967" s="37" t="s">
        <v>22</v>
      </c>
      <c r="AA967" s="37">
        <v>71</v>
      </c>
      <c r="AB967" s="37">
        <v>12</v>
      </c>
      <c r="AC967" s="37">
        <v>6</v>
      </c>
      <c r="AD967" s="37" t="s">
        <v>1741</v>
      </c>
      <c r="AF967" s="37" t="s">
        <v>1742</v>
      </c>
    </row>
    <row r="968" spans="3:32" x14ac:dyDescent="0.2">
      <c r="G968" s="37" t="s">
        <v>166</v>
      </c>
      <c r="H968" s="37" t="s">
        <v>166</v>
      </c>
      <c r="I968" s="37" t="s">
        <v>166</v>
      </c>
      <c r="J968" s="37" t="s">
        <v>18</v>
      </c>
      <c r="K968" s="37">
        <v>182</v>
      </c>
      <c r="L968" s="37">
        <v>182</v>
      </c>
      <c r="M968" s="37">
        <v>9</v>
      </c>
      <c r="N968" s="37">
        <v>373</v>
      </c>
      <c r="O968" s="37">
        <v>126</v>
      </c>
      <c r="P968" s="37">
        <v>66</v>
      </c>
      <c r="Q968" s="37">
        <v>565</v>
      </c>
      <c r="R968" s="37">
        <v>7024</v>
      </c>
      <c r="T968" s="37" t="s">
        <v>166</v>
      </c>
      <c r="U968" s="37" t="s">
        <v>166</v>
      </c>
      <c r="V968" s="37" t="s">
        <v>166</v>
      </c>
      <c r="W968" s="37" t="s">
        <v>18</v>
      </c>
      <c r="X968" s="37" t="s">
        <v>166</v>
      </c>
      <c r="Y968" s="37" t="s">
        <v>166</v>
      </c>
      <c r="Z968" s="37" t="s">
        <v>22</v>
      </c>
      <c r="AA968" s="37">
        <v>71</v>
      </c>
      <c r="AB968" s="37">
        <v>12</v>
      </c>
      <c r="AC968" s="37">
        <v>6</v>
      </c>
      <c r="AD968" s="37" t="s">
        <v>1741</v>
      </c>
      <c r="AF968" s="37" t="s">
        <v>1743</v>
      </c>
    </row>
    <row r="969" spans="3:32" x14ac:dyDescent="0.2">
      <c r="C969" s="37" t="s">
        <v>22</v>
      </c>
      <c r="D969" s="37">
        <v>75</v>
      </c>
      <c r="E969" s="37">
        <v>15</v>
      </c>
      <c r="F969" s="37" t="s">
        <v>296</v>
      </c>
      <c r="G969" s="37">
        <v>1.1000000000000001</v>
      </c>
      <c r="H969" s="37" t="s">
        <v>181</v>
      </c>
      <c r="I969" s="37" t="s">
        <v>23</v>
      </c>
      <c r="J969" s="37" t="s">
        <v>17</v>
      </c>
      <c r="K969" s="37">
        <v>3</v>
      </c>
      <c r="L969" s="37">
        <v>12</v>
      </c>
      <c r="M969" s="37">
        <v>3</v>
      </c>
      <c r="N969" s="37">
        <v>18</v>
      </c>
      <c r="O969" s="37">
        <v>7</v>
      </c>
      <c r="P969" s="37">
        <v>3</v>
      </c>
      <c r="Q969" s="37">
        <v>28</v>
      </c>
      <c r="R969" s="37">
        <v>1410</v>
      </c>
      <c r="T969" s="37" t="s">
        <v>181</v>
      </c>
      <c r="U969" s="37" t="s">
        <v>344</v>
      </c>
      <c r="V969" s="37">
        <v>100</v>
      </c>
      <c r="W969" s="37" t="s">
        <v>19</v>
      </c>
      <c r="X969" s="37" t="s">
        <v>190</v>
      </c>
      <c r="Y969" s="37">
        <v>143</v>
      </c>
      <c r="Z969" s="37" t="s">
        <v>22</v>
      </c>
      <c r="AA969" s="37">
        <v>75</v>
      </c>
      <c r="AB969" s="37">
        <v>15</v>
      </c>
      <c r="AC969" s="37" t="s">
        <v>296</v>
      </c>
      <c r="AD969" s="37" t="s">
        <v>1744</v>
      </c>
      <c r="AF969" s="37" t="s">
        <v>1745</v>
      </c>
    </row>
    <row r="970" spans="3:32" x14ac:dyDescent="0.2">
      <c r="G970" s="37" t="s">
        <v>166</v>
      </c>
      <c r="H970" s="37" t="s">
        <v>166</v>
      </c>
      <c r="I970" s="37" t="s">
        <v>166</v>
      </c>
      <c r="J970" s="37" t="s">
        <v>178</v>
      </c>
      <c r="K970" s="37">
        <v>0</v>
      </c>
      <c r="L970" s="37">
        <v>8</v>
      </c>
      <c r="M970" s="37">
        <v>1</v>
      </c>
      <c r="N970" s="37">
        <v>9</v>
      </c>
      <c r="O970" s="37">
        <v>2</v>
      </c>
      <c r="P970" s="37">
        <v>3</v>
      </c>
      <c r="Q970" s="37">
        <v>14</v>
      </c>
      <c r="R970" s="37">
        <v>5331</v>
      </c>
      <c r="T970" s="37" t="s">
        <v>166</v>
      </c>
      <c r="U970" s="37" t="s">
        <v>166</v>
      </c>
      <c r="V970" s="37" t="s">
        <v>166</v>
      </c>
      <c r="W970" s="37" t="s">
        <v>19</v>
      </c>
      <c r="X970" s="37" t="s">
        <v>166</v>
      </c>
      <c r="Y970" s="37" t="s">
        <v>166</v>
      </c>
      <c r="Z970" s="37" t="s">
        <v>22</v>
      </c>
      <c r="AA970" s="37">
        <v>75</v>
      </c>
      <c r="AB970" s="37">
        <v>15</v>
      </c>
      <c r="AC970" s="37" t="s">
        <v>296</v>
      </c>
      <c r="AD970" s="37" t="s">
        <v>1744</v>
      </c>
      <c r="AF970" s="37" t="s">
        <v>1746</v>
      </c>
    </row>
    <row r="971" spans="3:32" x14ac:dyDescent="0.2">
      <c r="G971" s="37" t="s">
        <v>166</v>
      </c>
      <c r="H971" s="37" t="s">
        <v>166</v>
      </c>
      <c r="I971" s="37" t="s">
        <v>166</v>
      </c>
      <c r="J971" s="37" t="s">
        <v>268</v>
      </c>
      <c r="K971" s="37">
        <v>0</v>
      </c>
      <c r="L971" s="37">
        <v>7</v>
      </c>
      <c r="M971" s="37">
        <v>2</v>
      </c>
      <c r="N971" s="37">
        <v>9</v>
      </c>
      <c r="O971" s="37">
        <v>3</v>
      </c>
      <c r="P971" s="37">
        <v>2</v>
      </c>
      <c r="Q971" s="37">
        <v>14</v>
      </c>
      <c r="R971" s="37">
        <v>4710</v>
      </c>
      <c r="T971" s="37" t="s">
        <v>166</v>
      </c>
      <c r="U971" s="37" t="s">
        <v>166</v>
      </c>
      <c r="V971" s="37" t="s">
        <v>166</v>
      </c>
      <c r="W971" s="37" t="s">
        <v>19</v>
      </c>
      <c r="X971" s="37" t="s">
        <v>166</v>
      </c>
      <c r="Y971" s="37" t="s">
        <v>166</v>
      </c>
      <c r="Z971" s="37" t="s">
        <v>22</v>
      </c>
      <c r="AA971" s="37">
        <v>75</v>
      </c>
      <c r="AB971" s="37">
        <v>15</v>
      </c>
      <c r="AC971" s="37" t="s">
        <v>296</v>
      </c>
      <c r="AD971" s="37" t="s">
        <v>1744</v>
      </c>
      <c r="AF971" s="37" t="s">
        <v>1747</v>
      </c>
    </row>
    <row r="972" spans="3:32" x14ac:dyDescent="0.2">
      <c r="G972" s="37" t="s">
        <v>166</v>
      </c>
      <c r="H972" s="37" t="s">
        <v>166</v>
      </c>
      <c r="I972" s="37" t="s">
        <v>166</v>
      </c>
      <c r="J972" s="37" t="s">
        <v>19</v>
      </c>
      <c r="K972" s="37">
        <v>8</v>
      </c>
      <c r="L972" s="37">
        <v>19</v>
      </c>
      <c r="M972" s="37">
        <v>2</v>
      </c>
      <c r="N972" s="37">
        <v>29</v>
      </c>
      <c r="O972" s="37">
        <v>20</v>
      </c>
      <c r="P972" s="37">
        <v>6</v>
      </c>
      <c r="Q972" s="37">
        <v>55</v>
      </c>
      <c r="R972" s="37">
        <v>1520</v>
      </c>
      <c r="T972" s="37" t="s">
        <v>166</v>
      </c>
      <c r="U972" s="37" t="s">
        <v>166</v>
      </c>
      <c r="V972" s="37" t="s">
        <v>166</v>
      </c>
      <c r="W972" s="37" t="s">
        <v>19</v>
      </c>
      <c r="X972" s="37" t="s">
        <v>166</v>
      </c>
      <c r="Y972" s="37" t="s">
        <v>166</v>
      </c>
      <c r="Z972" s="37" t="s">
        <v>22</v>
      </c>
      <c r="AA972" s="37">
        <v>75</v>
      </c>
      <c r="AB972" s="37">
        <v>15</v>
      </c>
      <c r="AC972" s="37" t="s">
        <v>296</v>
      </c>
      <c r="AD972" s="37" t="s">
        <v>1744</v>
      </c>
      <c r="AF972" s="37" t="s">
        <v>1748</v>
      </c>
    </row>
    <row r="973" spans="3:32" x14ac:dyDescent="0.2">
      <c r="G973" s="37" t="s">
        <v>166</v>
      </c>
      <c r="H973" s="37" t="s">
        <v>166</v>
      </c>
      <c r="I973" s="37" t="s">
        <v>166</v>
      </c>
      <c r="J973" s="37" t="s">
        <v>18</v>
      </c>
      <c r="K973" s="37">
        <v>7</v>
      </c>
      <c r="L973" s="37">
        <v>9</v>
      </c>
      <c r="M973" s="37">
        <v>0</v>
      </c>
      <c r="N973" s="37">
        <v>16</v>
      </c>
      <c r="O973" s="37">
        <v>7</v>
      </c>
      <c r="P973" s="37">
        <v>3</v>
      </c>
      <c r="Q973" s="37">
        <v>26</v>
      </c>
      <c r="R973" s="37">
        <v>305</v>
      </c>
      <c r="T973" s="37" t="s">
        <v>166</v>
      </c>
      <c r="U973" s="37" t="s">
        <v>166</v>
      </c>
      <c r="V973" s="37" t="s">
        <v>166</v>
      </c>
      <c r="W973" s="37" t="s">
        <v>19</v>
      </c>
      <c r="X973" s="37" t="s">
        <v>166</v>
      </c>
      <c r="Y973" s="37" t="s">
        <v>166</v>
      </c>
      <c r="Z973" s="37" t="s">
        <v>22</v>
      </c>
      <c r="AA973" s="37">
        <v>75</v>
      </c>
      <c r="AB973" s="37">
        <v>15</v>
      </c>
      <c r="AC973" s="37" t="s">
        <v>296</v>
      </c>
      <c r="AD973" s="37" t="s">
        <v>1744</v>
      </c>
      <c r="AF973" s="37" t="s">
        <v>1749</v>
      </c>
    </row>
    <row r="974" spans="3:32" x14ac:dyDescent="0.2">
      <c r="C974" s="37" t="s">
        <v>22</v>
      </c>
      <c r="D974" s="37">
        <v>75</v>
      </c>
      <c r="E974" s="37">
        <v>19</v>
      </c>
      <c r="F974" s="37">
        <v>2</v>
      </c>
      <c r="G974" s="37">
        <v>3.9</v>
      </c>
      <c r="H974" s="37" t="s">
        <v>181</v>
      </c>
      <c r="I974" s="37" t="s">
        <v>23</v>
      </c>
      <c r="J974" s="37" t="s">
        <v>17</v>
      </c>
      <c r="K974" s="37">
        <v>21</v>
      </c>
      <c r="L974" s="37">
        <v>56</v>
      </c>
      <c r="M974" s="37">
        <v>15</v>
      </c>
      <c r="N974" s="37">
        <v>92</v>
      </c>
      <c r="O974" s="37">
        <v>34</v>
      </c>
      <c r="P974" s="37">
        <v>18</v>
      </c>
      <c r="Q974" s="37">
        <v>144</v>
      </c>
      <c r="R974" s="37">
        <v>7663</v>
      </c>
      <c r="T974" s="37" t="s">
        <v>181</v>
      </c>
      <c r="U974" s="37" t="s">
        <v>196</v>
      </c>
      <c r="V974" s="37">
        <v>80</v>
      </c>
      <c r="W974" s="37" t="s">
        <v>19</v>
      </c>
      <c r="X974" s="37" t="s">
        <v>190</v>
      </c>
      <c r="Y974" s="37">
        <v>741</v>
      </c>
      <c r="Z974" s="37" t="s">
        <v>22</v>
      </c>
      <c r="AA974" s="37">
        <v>75</v>
      </c>
      <c r="AB974" s="37">
        <v>19</v>
      </c>
      <c r="AC974" s="37">
        <v>2</v>
      </c>
      <c r="AD974" s="37" t="s">
        <v>1750</v>
      </c>
      <c r="AF974" s="37" t="s">
        <v>1751</v>
      </c>
    </row>
    <row r="975" spans="3:32" x14ac:dyDescent="0.2">
      <c r="G975" s="37" t="s">
        <v>166</v>
      </c>
      <c r="H975" s="37" t="s">
        <v>166</v>
      </c>
      <c r="I975" s="37" t="s">
        <v>166</v>
      </c>
      <c r="J975" s="37" t="s">
        <v>19</v>
      </c>
      <c r="K975" s="37">
        <v>39</v>
      </c>
      <c r="L975" s="37">
        <v>135</v>
      </c>
      <c r="M975" s="37">
        <v>20</v>
      </c>
      <c r="N975" s="37">
        <v>194</v>
      </c>
      <c r="O975" s="37">
        <v>123</v>
      </c>
      <c r="P975" s="37">
        <v>38</v>
      </c>
      <c r="Q975" s="37">
        <v>355</v>
      </c>
      <c r="R975" s="37">
        <v>9862</v>
      </c>
      <c r="T975" s="37" t="s">
        <v>166</v>
      </c>
      <c r="U975" s="37" t="s">
        <v>166</v>
      </c>
      <c r="V975" s="37" t="s">
        <v>166</v>
      </c>
      <c r="W975" s="37" t="s">
        <v>19</v>
      </c>
      <c r="X975" s="37" t="s">
        <v>166</v>
      </c>
      <c r="Y975" s="37" t="s">
        <v>166</v>
      </c>
      <c r="Z975" s="37" t="s">
        <v>22</v>
      </c>
      <c r="AA975" s="37">
        <v>75</v>
      </c>
      <c r="AB975" s="37">
        <v>19</v>
      </c>
      <c r="AC975" s="37">
        <v>2</v>
      </c>
      <c r="AD975" s="37" t="s">
        <v>1750</v>
      </c>
      <c r="AF975" s="37" t="s">
        <v>1752</v>
      </c>
    </row>
    <row r="976" spans="3:32" x14ac:dyDescent="0.2">
      <c r="G976" s="37" t="s">
        <v>166</v>
      </c>
      <c r="H976" s="37" t="s">
        <v>166</v>
      </c>
      <c r="I976" s="37" t="s">
        <v>166</v>
      </c>
      <c r="J976" s="37" t="s">
        <v>18</v>
      </c>
      <c r="K976" s="37">
        <v>63</v>
      </c>
      <c r="L976" s="37">
        <v>71</v>
      </c>
      <c r="M976" s="37">
        <v>3</v>
      </c>
      <c r="N976" s="37">
        <v>137</v>
      </c>
      <c r="O976" s="37">
        <v>54</v>
      </c>
      <c r="P976" s="37">
        <v>27</v>
      </c>
      <c r="Q976" s="37">
        <v>218</v>
      </c>
      <c r="R976" s="37">
        <v>2567</v>
      </c>
      <c r="T976" s="37" t="s">
        <v>166</v>
      </c>
      <c r="U976" s="37" t="s">
        <v>166</v>
      </c>
      <c r="V976" s="37" t="s">
        <v>166</v>
      </c>
      <c r="W976" s="37" t="s">
        <v>19</v>
      </c>
      <c r="X976" s="37" t="s">
        <v>166</v>
      </c>
      <c r="Y976" s="37" t="s">
        <v>166</v>
      </c>
      <c r="Z976" s="37" t="s">
        <v>22</v>
      </c>
      <c r="AA976" s="37">
        <v>75</v>
      </c>
      <c r="AB976" s="37">
        <v>19</v>
      </c>
      <c r="AC976" s="37">
        <v>2</v>
      </c>
      <c r="AD976" s="37" t="s">
        <v>1750</v>
      </c>
      <c r="AF976" s="37" t="s">
        <v>1753</v>
      </c>
    </row>
    <row r="977" spans="3:32" x14ac:dyDescent="0.2">
      <c r="C977" s="37" t="s">
        <v>22</v>
      </c>
      <c r="D977" s="37">
        <v>76</v>
      </c>
      <c r="E977" s="37">
        <v>8</v>
      </c>
      <c r="F977" s="37" t="s">
        <v>296</v>
      </c>
      <c r="G977" s="37">
        <v>1.3</v>
      </c>
      <c r="H977" s="37" t="s">
        <v>181</v>
      </c>
      <c r="I977" s="37" t="s">
        <v>23</v>
      </c>
      <c r="J977" s="37" t="s">
        <v>17</v>
      </c>
      <c r="K977" s="37">
        <v>3</v>
      </c>
      <c r="L977" s="37">
        <v>21</v>
      </c>
      <c r="M977" s="37">
        <v>9</v>
      </c>
      <c r="N977" s="37">
        <v>33</v>
      </c>
      <c r="O977" s="37">
        <v>11</v>
      </c>
      <c r="P977" s="37">
        <v>6</v>
      </c>
      <c r="Q977" s="37">
        <v>50</v>
      </c>
      <c r="R977" s="37">
        <v>2455</v>
      </c>
      <c r="T977" s="37" t="s">
        <v>181</v>
      </c>
      <c r="U977" s="37" t="s">
        <v>270</v>
      </c>
      <c r="V977" s="37">
        <v>70</v>
      </c>
      <c r="W977" s="37" t="s">
        <v>19</v>
      </c>
      <c r="X977" s="37" t="s">
        <v>190</v>
      </c>
      <c r="Y977" s="37">
        <v>260</v>
      </c>
      <c r="Z977" s="37" t="s">
        <v>22</v>
      </c>
      <c r="AA977" s="37">
        <v>76</v>
      </c>
      <c r="AB977" s="37">
        <v>8</v>
      </c>
      <c r="AC977" s="37" t="s">
        <v>296</v>
      </c>
      <c r="AD977" s="37" t="s">
        <v>1754</v>
      </c>
      <c r="AF977" s="37" t="s">
        <v>1755</v>
      </c>
    </row>
    <row r="978" spans="3:32" x14ac:dyDescent="0.2">
      <c r="G978" s="37" t="s">
        <v>166</v>
      </c>
      <c r="H978" s="37" t="s">
        <v>166</v>
      </c>
      <c r="I978" s="37" t="s">
        <v>166</v>
      </c>
      <c r="J978" s="37" t="s">
        <v>19</v>
      </c>
      <c r="K978" s="37">
        <v>14</v>
      </c>
      <c r="L978" s="37">
        <v>63</v>
      </c>
      <c r="M978" s="37">
        <v>10</v>
      </c>
      <c r="N978" s="37">
        <v>87</v>
      </c>
      <c r="O978" s="37">
        <v>50</v>
      </c>
      <c r="P978" s="37">
        <v>17</v>
      </c>
      <c r="Q978" s="37">
        <v>154</v>
      </c>
      <c r="R978" s="37">
        <v>4317</v>
      </c>
      <c r="T978" s="37" t="s">
        <v>166</v>
      </c>
      <c r="U978" s="37" t="s">
        <v>166</v>
      </c>
      <c r="V978" s="37" t="s">
        <v>166</v>
      </c>
      <c r="W978" s="37" t="s">
        <v>19</v>
      </c>
      <c r="X978" s="37" t="s">
        <v>166</v>
      </c>
      <c r="Y978" s="37" t="s">
        <v>166</v>
      </c>
      <c r="Z978" s="37" t="s">
        <v>22</v>
      </c>
      <c r="AA978" s="37">
        <v>76</v>
      </c>
      <c r="AB978" s="37">
        <v>8</v>
      </c>
      <c r="AC978" s="37" t="s">
        <v>296</v>
      </c>
      <c r="AD978" s="37" t="s">
        <v>1754</v>
      </c>
      <c r="AF978" s="37" t="s">
        <v>1756</v>
      </c>
    </row>
    <row r="979" spans="3:32" x14ac:dyDescent="0.2">
      <c r="G979" s="37" t="s">
        <v>166</v>
      </c>
      <c r="H979" s="37" t="s">
        <v>166</v>
      </c>
      <c r="I979" s="37" t="s">
        <v>166</v>
      </c>
      <c r="J979" s="37" t="s">
        <v>18</v>
      </c>
      <c r="K979" s="37">
        <v>15</v>
      </c>
      <c r="L979" s="37">
        <v>15</v>
      </c>
      <c r="M979" s="37">
        <v>1</v>
      </c>
      <c r="N979" s="37">
        <v>31</v>
      </c>
      <c r="O979" s="37">
        <v>13</v>
      </c>
      <c r="P979" s="37">
        <v>6</v>
      </c>
      <c r="Q979" s="37">
        <v>50</v>
      </c>
      <c r="R979" s="37">
        <v>585</v>
      </c>
      <c r="T979" s="37" t="s">
        <v>166</v>
      </c>
      <c r="U979" s="37" t="s">
        <v>166</v>
      </c>
      <c r="V979" s="37" t="s">
        <v>166</v>
      </c>
      <c r="W979" s="37" t="s">
        <v>19</v>
      </c>
      <c r="X979" s="37" t="s">
        <v>166</v>
      </c>
      <c r="Y979" s="37" t="s">
        <v>166</v>
      </c>
      <c r="Z979" s="37" t="s">
        <v>22</v>
      </c>
      <c r="AA979" s="37">
        <v>76</v>
      </c>
      <c r="AB979" s="37">
        <v>8</v>
      </c>
      <c r="AC979" s="37" t="s">
        <v>296</v>
      </c>
      <c r="AD979" s="37" t="s">
        <v>1754</v>
      </c>
      <c r="AF979" s="37" t="s">
        <v>1757</v>
      </c>
    </row>
    <row r="980" spans="3:32" x14ac:dyDescent="0.2">
      <c r="C980" s="37" t="s">
        <v>22</v>
      </c>
      <c r="D980" s="37">
        <v>76</v>
      </c>
      <c r="E980" s="37">
        <v>8</v>
      </c>
      <c r="F980" s="37">
        <v>2</v>
      </c>
      <c r="G980" s="37">
        <v>3</v>
      </c>
      <c r="H980" s="37" t="s">
        <v>181</v>
      </c>
      <c r="I980" s="37" t="s">
        <v>23</v>
      </c>
      <c r="J980" s="37" t="s">
        <v>17</v>
      </c>
      <c r="K980" s="37">
        <v>11</v>
      </c>
      <c r="L980" s="37">
        <v>51</v>
      </c>
      <c r="M980" s="37">
        <v>14</v>
      </c>
      <c r="N980" s="37">
        <v>76</v>
      </c>
      <c r="O980" s="37">
        <v>24</v>
      </c>
      <c r="P980" s="37">
        <v>15</v>
      </c>
      <c r="Q980" s="37">
        <v>115</v>
      </c>
      <c r="R980" s="37">
        <v>6039</v>
      </c>
      <c r="T980" s="37" t="s">
        <v>181</v>
      </c>
      <c r="U980" s="37" t="s">
        <v>270</v>
      </c>
      <c r="V980" s="37">
        <v>70</v>
      </c>
      <c r="W980" s="37" t="s">
        <v>19</v>
      </c>
      <c r="X980" s="37" t="s">
        <v>190</v>
      </c>
      <c r="Y980" s="37">
        <v>600</v>
      </c>
      <c r="Z980" s="37" t="s">
        <v>22</v>
      </c>
      <c r="AA980" s="37">
        <v>76</v>
      </c>
      <c r="AB980" s="37">
        <v>8</v>
      </c>
      <c r="AC980" s="37">
        <v>2</v>
      </c>
      <c r="AD980" s="37" t="s">
        <v>1758</v>
      </c>
      <c r="AF980" s="37" t="s">
        <v>1759</v>
      </c>
    </row>
    <row r="981" spans="3:32" x14ac:dyDescent="0.2">
      <c r="G981" s="37" t="s">
        <v>166</v>
      </c>
      <c r="H981" s="37" t="s">
        <v>166</v>
      </c>
      <c r="I981" s="37" t="s">
        <v>166</v>
      </c>
      <c r="J981" s="37" t="s">
        <v>19</v>
      </c>
      <c r="K981" s="37">
        <v>41</v>
      </c>
      <c r="L981" s="37">
        <v>127</v>
      </c>
      <c r="M981" s="37">
        <v>17</v>
      </c>
      <c r="N981" s="37">
        <v>185</v>
      </c>
      <c r="O981" s="37">
        <v>104</v>
      </c>
      <c r="P981" s="37">
        <v>35</v>
      </c>
      <c r="Q981" s="37">
        <v>324</v>
      </c>
      <c r="R981" s="37">
        <v>9487</v>
      </c>
      <c r="T981" s="37" t="s">
        <v>166</v>
      </c>
      <c r="U981" s="37" t="s">
        <v>166</v>
      </c>
      <c r="V981" s="37" t="s">
        <v>166</v>
      </c>
      <c r="W981" s="37" t="s">
        <v>19</v>
      </c>
      <c r="X981" s="37" t="s">
        <v>166</v>
      </c>
      <c r="Y981" s="37" t="s">
        <v>166</v>
      </c>
      <c r="Z981" s="37" t="s">
        <v>22</v>
      </c>
      <c r="AA981" s="37">
        <v>76</v>
      </c>
      <c r="AB981" s="37">
        <v>8</v>
      </c>
      <c r="AC981" s="37">
        <v>2</v>
      </c>
      <c r="AD981" s="37" t="s">
        <v>1758</v>
      </c>
      <c r="AF981" s="37" t="s">
        <v>1760</v>
      </c>
    </row>
    <row r="982" spans="3:32" x14ac:dyDescent="0.2">
      <c r="G982" s="37" t="s">
        <v>166</v>
      </c>
      <c r="H982" s="37" t="s">
        <v>166</v>
      </c>
      <c r="I982" s="37" t="s">
        <v>166</v>
      </c>
      <c r="J982" s="37" t="s">
        <v>18</v>
      </c>
      <c r="K982" s="37">
        <v>45</v>
      </c>
      <c r="L982" s="37">
        <v>38</v>
      </c>
      <c r="M982" s="37">
        <v>1</v>
      </c>
      <c r="N982" s="37">
        <v>84</v>
      </c>
      <c r="O982" s="37">
        <v>32</v>
      </c>
      <c r="P982" s="37">
        <v>16</v>
      </c>
      <c r="Q982" s="37">
        <v>132</v>
      </c>
      <c r="R982" s="37">
        <v>1622</v>
      </c>
      <c r="T982" s="37" t="s">
        <v>166</v>
      </c>
      <c r="U982" s="37" t="s">
        <v>166</v>
      </c>
      <c r="V982" s="37" t="s">
        <v>166</v>
      </c>
      <c r="W982" s="37" t="s">
        <v>19</v>
      </c>
      <c r="X982" s="37" t="s">
        <v>166</v>
      </c>
      <c r="Y982" s="37" t="s">
        <v>166</v>
      </c>
      <c r="Z982" s="37" t="s">
        <v>22</v>
      </c>
      <c r="AA982" s="37">
        <v>76</v>
      </c>
      <c r="AB982" s="37">
        <v>8</v>
      </c>
      <c r="AC982" s="37">
        <v>2</v>
      </c>
      <c r="AD982" s="37" t="s">
        <v>1758</v>
      </c>
      <c r="AF982" s="37" t="s">
        <v>1761</v>
      </c>
    </row>
    <row r="983" spans="3:32" x14ac:dyDescent="0.2">
      <c r="C983" s="37" t="s">
        <v>22</v>
      </c>
      <c r="D983" s="37">
        <v>76</v>
      </c>
      <c r="E983" s="37">
        <v>8</v>
      </c>
      <c r="F983" s="37">
        <v>3</v>
      </c>
      <c r="G983" s="37">
        <v>1.2</v>
      </c>
      <c r="H983" s="37" t="s">
        <v>181</v>
      </c>
      <c r="I983" s="37" t="s">
        <v>23</v>
      </c>
      <c r="J983" s="37" t="s">
        <v>17</v>
      </c>
      <c r="K983" s="37">
        <v>4</v>
      </c>
      <c r="L983" s="37">
        <v>19</v>
      </c>
      <c r="M983" s="37">
        <v>6</v>
      </c>
      <c r="N983" s="37">
        <v>29</v>
      </c>
      <c r="O983" s="37">
        <v>11</v>
      </c>
      <c r="P983" s="37">
        <v>5</v>
      </c>
      <c r="Q983" s="37">
        <v>45</v>
      </c>
      <c r="R983" s="37">
        <v>2299</v>
      </c>
      <c r="T983" s="37" t="s">
        <v>181</v>
      </c>
      <c r="U983" s="37" t="s">
        <v>270</v>
      </c>
      <c r="V983" s="37">
        <v>70</v>
      </c>
      <c r="W983" s="37" t="s">
        <v>19</v>
      </c>
      <c r="X983" s="37" t="s">
        <v>190</v>
      </c>
      <c r="Y983" s="37">
        <v>240</v>
      </c>
      <c r="Z983" s="37" t="s">
        <v>22</v>
      </c>
      <c r="AA983" s="37">
        <v>76</v>
      </c>
      <c r="AB983" s="37">
        <v>8</v>
      </c>
      <c r="AC983" s="37">
        <v>3</v>
      </c>
      <c r="AD983" s="37" t="s">
        <v>1762</v>
      </c>
      <c r="AF983" s="37" t="s">
        <v>1763</v>
      </c>
    </row>
    <row r="984" spans="3:32" x14ac:dyDescent="0.2">
      <c r="G984" s="37" t="s">
        <v>166</v>
      </c>
      <c r="H984" s="37" t="s">
        <v>166</v>
      </c>
      <c r="I984" s="37" t="s">
        <v>166</v>
      </c>
      <c r="J984" s="37" t="s">
        <v>19</v>
      </c>
      <c r="K984" s="37">
        <v>10</v>
      </c>
      <c r="L984" s="37">
        <v>56</v>
      </c>
      <c r="M984" s="37">
        <v>10</v>
      </c>
      <c r="N984" s="37">
        <v>76</v>
      </c>
      <c r="O984" s="37">
        <v>43</v>
      </c>
      <c r="P984" s="37">
        <v>14</v>
      </c>
      <c r="Q984" s="37">
        <v>133</v>
      </c>
      <c r="R984" s="37">
        <v>3699</v>
      </c>
      <c r="T984" s="37" t="s">
        <v>166</v>
      </c>
      <c r="U984" s="37" t="s">
        <v>166</v>
      </c>
      <c r="V984" s="37" t="s">
        <v>166</v>
      </c>
      <c r="W984" s="37" t="s">
        <v>19</v>
      </c>
      <c r="X984" s="37" t="s">
        <v>166</v>
      </c>
      <c r="Y984" s="37" t="s">
        <v>166</v>
      </c>
      <c r="Z984" s="37" t="s">
        <v>22</v>
      </c>
      <c r="AA984" s="37">
        <v>76</v>
      </c>
      <c r="AB984" s="37">
        <v>8</v>
      </c>
      <c r="AC984" s="37">
        <v>3</v>
      </c>
      <c r="AD984" s="37" t="s">
        <v>1762</v>
      </c>
      <c r="AF984" s="37" t="s">
        <v>1764</v>
      </c>
    </row>
    <row r="985" spans="3:32" x14ac:dyDescent="0.2">
      <c r="G985" s="37" t="s">
        <v>166</v>
      </c>
      <c r="H985" s="37" t="s">
        <v>166</v>
      </c>
      <c r="I985" s="37" t="s">
        <v>166</v>
      </c>
      <c r="J985" s="37" t="s">
        <v>18</v>
      </c>
      <c r="K985" s="37">
        <v>13</v>
      </c>
      <c r="L985" s="37">
        <v>17</v>
      </c>
      <c r="M985" s="37">
        <v>1</v>
      </c>
      <c r="N985" s="37">
        <v>31</v>
      </c>
      <c r="O985" s="37">
        <v>12</v>
      </c>
      <c r="P985" s="37">
        <v>6</v>
      </c>
      <c r="Q985" s="37">
        <v>49</v>
      </c>
      <c r="R985" s="37">
        <v>566</v>
      </c>
      <c r="T985" s="37" t="s">
        <v>166</v>
      </c>
      <c r="U985" s="37" t="s">
        <v>166</v>
      </c>
      <c r="V985" s="37" t="s">
        <v>166</v>
      </c>
      <c r="W985" s="37" t="s">
        <v>19</v>
      </c>
      <c r="X985" s="37" t="s">
        <v>166</v>
      </c>
      <c r="Y985" s="37" t="s">
        <v>166</v>
      </c>
      <c r="Z985" s="37" t="s">
        <v>22</v>
      </c>
      <c r="AA985" s="37">
        <v>76</v>
      </c>
      <c r="AB985" s="37">
        <v>8</v>
      </c>
      <c r="AC985" s="37">
        <v>3</v>
      </c>
      <c r="AD985" s="37" t="s">
        <v>1762</v>
      </c>
      <c r="AF985" s="37" t="s">
        <v>1765</v>
      </c>
    </row>
    <row r="986" spans="3:32" x14ac:dyDescent="0.2">
      <c r="C986" s="37" t="s">
        <v>22</v>
      </c>
      <c r="D986" s="37">
        <v>76</v>
      </c>
      <c r="E986" s="37">
        <v>11</v>
      </c>
      <c r="F986" s="37">
        <v>4</v>
      </c>
      <c r="G986" s="37">
        <v>3.8</v>
      </c>
      <c r="H986" s="37" t="s">
        <v>181</v>
      </c>
      <c r="I986" s="37" t="s">
        <v>23</v>
      </c>
      <c r="J986" s="37" t="s">
        <v>17</v>
      </c>
      <c r="K986" s="37">
        <v>12</v>
      </c>
      <c r="L986" s="37">
        <v>52</v>
      </c>
      <c r="M986" s="37">
        <v>11</v>
      </c>
      <c r="N986" s="37">
        <v>75</v>
      </c>
      <c r="O986" s="37">
        <v>29</v>
      </c>
      <c r="P986" s="37">
        <v>15</v>
      </c>
      <c r="Q986" s="37">
        <v>119</v>
      </c>
      <c r="R986" s="37">
        <v>6139</v>
      </c>
      <c r="T986" s="37" t="s">
        <v>181</v>
      </c>
      <c r="U986" s="37" t="s">
        <v>270</v>
      </c>
      <c r="V986" s="37">
        <v>80</v>
      </c>
      <c r="W986" s="37" t="s">
        <v>19</v>
      </c>
      <c r="X986" s="37" t="s">
        <v>190</v>
      </c>
      <c r="Y986" s="37">
        <v>608</v>
      </c>
      <c r="Z986" s="37" t="s">
        <v>22</v>
      </c>
      <c r="AA986" s="37">
        <v>76</v>
      </c>
      <c r="AB986" s="37">
        <v>11</v>
      </c>
      <c r="AC986" s="37">
        <v>4</v>
      </c>
      <c r="AD986" s="37" t="s">
        <v>1766</v>
      </c>
      <c r="AF986" s="37" t="s">
        <v>1767</v>
      </c>
    </row>
    <row r="987" spans="3:32" x14ac:dyDescent="0.2">
      <c r="G987" s="37" t="s">
        <v>166</v>
      </c>
      <c r="H987" s="37" t="s">
        <v>166</v>
      </c>
      <c r="I987" s="37" t="s">
        <v>166</v>
      </c>
      <c r="J987" s="37" t="s">
        <v>19</v>
      </c>
      <c r="K987" s="37">
        <v>29</v>
      </c>
      <c r="L987" s="37">
        <v>143</v>
      </c>
      <c r="M987" s="37">
        <v>25</v>
      </c>
      <c r="N987" s="37">
        <v>197</v>
      </c>
      <c r="O987" s="37">
        <v>117</v>
      </c>
      <c r="P987" s="37">
        <v>38</v>
      </c>
      <c r="Q987" s="37">
        <v>352</v>
      </c>
      <c r="R987" s="37">
        <v>9735</v>
      </c>
      <c r="T987" s="37" t="s">
        <v>166</v>
      </c>
      <c r="U987" s="37" t="s">
        <v>166</v>
      </c>
      <c r="V987" s="37" t="s">
        <v>166</v>
      </c>
      <c r="W987" s="37" t="s">
        <v>19</v>
      </c>
      <c r="X987" s="37" t="s">
        <v>166</v>
      </c>
      <c r="Y987" s="37" t="s">
        <v>166</v>
      </c>
      <c r="Z987" s="37" t="s">
        <v>22</v>
      </c>
      <c r="AA987" s="37">
        <v>76</v>
      </c>
      <c r="AB987" s="37">
        <v>11</v>
      </c>
      <c r="AC987" s="37">
        <v>4</v>
      </c>
      <c r="AD987" s="37" t="s">
        <v>1766</v>
      </c>
      <c r="AF987" s="37" t="s">
        <v>1768</v>
      </c>
    </row>
    <row r="988" spans="3:32" x14ac:dyDescent="0.2">
      <c r="G988" s="37" t="s">
        <v>166</v>
      </c>
      <c r="H988" s="37" t="s">
        <v>166</v>
      </c>
      <c r="I988" s="37" t="s">
        <v>166</v>
      </c>
      <c r="J988" s="37" t="s">
        <v>18</v>
      </c>
      <c r="K988" s="37">
        <v>33</v>
      </c>
      <c r="L988" s="37">
        <v>37</v>
      </c>
      <c r="M988" s="37">
        <v>2</v>
      </c>
      <c r="N988" s="37">
        <v>72</v>
      </c>
      <c r="O988" s="37">
        <v>31</v>
      </c>
      <c r="P988" s="37">
        <v>15</v>
      </c>
      <c r="Q988" s="37">
        <v>118</v>
      </c>
      <c r="R988" s="37">
        <v>1343</v>
      </c>
      <c r="T988" s="37" t="s">
        <v>166</v>
      </c>
      <c r="U988" s="37" t="s">
        <v>166</v>
      </c>
      <c r="V988" s="37" t="s">
        <v>166</v>
      </c>
      <c r="W988" s="37" t="s">
        <v>19</v>
      </c>
      <c r="X988" s="37" t="s">
        <v>166</v>
      </c>
      <c r="Y988" s="37" t="s">
        <v>166</v>
      </c>
      <c r="Z988" s="37" t="s">
        <v>22</v>
      </c>
      <c r="AA988" s="37">
        <v>76</v>
      </c>
      <c r="AB988" s="37">
        <v>11</v>
      </c>
      <c r="AC988" s="37">
        <v>4</v>
      </c>
      <c r="AD988" s="37" t="s">
        <v>1766</v>
      </c>
      <c r="AF988" s="37" t="s">
        <v>1769</v>
      </c>
    </row>
    <row r="989" spans="3:32" x14ac:dyDescent="0.2">
      <c r="C989" s="37" t="s">
        <v>22</v>
      </c>
      <c r="D989" s="37">
        <v>76</v>
      </c>
      <c r="E989" s="37">
        <v>21</v>
      </c>
      <c r="F989" s="37">
        <v>5</v>
      </c>
      <c r="G989" s="37">
        <v>1.5</v>
      </c>
      <c r="H989" s="37" t="s">
        <v>181</v>
      </c>
      <c r="I989" s="37" t="s">
        <v>23</v>
      </c>
      <c r="J989" s="37" t="s">
        <v>17</v>
      </c>
      <c r="K989" s="37">
        <v>6</v>
      </c>
      <c r="L989" s="37">
        <v>24</v>
      </c>
      <c r="M989" s="37">
        <v>5</v>
      </c>
      <c r="N989" s="37">
        <v>35</v>
      </c>
      <c r="O989" s="37">
        <v>12</v>
      </c>
      <c r="P989" s="37">
        <v>7</v>
      </c>
      <c r="Q989" s="37">
        <v>54</v>
      </c>
      <c r="R989" s="37">
        <v>2861</v>
      </c>
      <c r="T989" s="37" t="s">
        <v>181</v>
      </c>
      <c r="U989" s="37" t="s">
        <v>271</v>
      </c>
      <c r="V989" s="37">
        <v>70</v>
      </c>
      <c r="W989" s="37" t="s">
        <v>19</v>
      </c>
      <c r="X989" s="37" t="s">
        <v>190</v>
      </c>
      <c r="Y989" s="37">
        <v>285</v>
      </c>
      <c r="Z989" s="37" t="s">
        <v>22</v>
      </c>
      <c r="AA989" s="37">
        <v>76</v>
      </c>
      <c r="AB989" s="37">
        <v>21</v>
      </c>
      <c r="AC989" s="37">
        <v>5</v>
      </c>
      <c r="AD989" s="37" t="s">
        <v>1770</v>
      </c>
      <c r="AF989" s="37" t="s">
        <v>1771</v>
      </c>
    </row>
    <row r="990" spans="3:32" x14ac:dyDescent="0.2">
      <c r="G990" s="37" t="s">
        <v>166</v>
      </c>
      <c r="H990" s="37" t="s">
        <v>166</v>
      </c>
      <c r="I990" s="37" t="s">
        <v>166</v>
      </c>
      <c r="J990" s="37" t="s">
        <v>19</v>
      </c>
      <c r="K990" s="37">
        <v>14</v>
      </c>
      <c r="L990" s="37">
        <v>77</v>
      </c>
      <c r="M990" s="37">
        <v>13</v>
      </c>
      <c r="N990" s="37">
        <v>104</v>
      </c>
      <c r="O990" s="37">
        <v>59</v>
      </c>
      <c r="P990" s="37">
        <v>19</v>
      </c>
      <c r="Q990" s="37">
        <v>182</v>
      </c>
      <c r="R990" s="37">
        <v>5083</v>
      </c>
      <c r="T990" s="37" t="s">
        <v>166</v>
      </c>
      <c r="U990" s="37" t="s">
        <v>166</v>
      </c>
      <c r="V990" s="37" t="s">
        <v>166</v>
      </c>
      <c r="W990" s="37" t="s">
        <v>19</v>
      </c>
      <c r="X990" s="37" t="s">
        <v>166</v>
      </c>
      <c r="Y990" s="37" t="s">
        <v>166</v>
      </c>
      <c r="Z990" s="37" t="s">
        <v>22</v>
      </c>
      <c r="AA990" s="37">
        <v>76</v>
      </c>
      <c r="AB990" s="37">
        <v>21</v>
      </c>
      <c r="AC990" s="37">
        <v>5</v>
      </c>
      <c r="AD990" s="37" t="s">
        <v>1770</v>
      </c>
      <c r="AF990" s="37" t="s">
        <v>1772</v>
      </c>
    </row>
    <row r="991" spans="3:32" x14ac:dyDescent="0.2">
      <c r="G991" s="37" t="s">
        <v>166</v>
      </c>
      <c r="H991" s="37" t="s">
        <v>166</v>
      </c>
      <c r="I991" s="37" t="s">
        <v>166</v>
      </c>
      <c r="J991" s="37" t="s">
        <v>18</v>
      </c>
      <c r="K991" s="37">
        <v>9</v>
      </c>
      <c r="L991" s="37">
        <v>13</v>
      </c>
      <c r="M991" s="37">
        <v>1</v>
      </c>
      <c r="N991" s="37">
        <v>23</v>
      </c>
      <c r="O991" s="37">
        <v>8</v>
      </c>
      <c r="P991" s="37">
        <v>5</v>
      </c>
      <c r="Q991" s="37">
        <v>36</v>
      </c>
      <c r="R991" s="37">
        <v>414</v>
      </c>
      <c r="T991" s="37" t="s">
        <v>166</v>
      </c>
      <c r="U991" s="37" t="s">
        <v>166</v>
      </c>
      <c r="V991" s="37" t="s">
        <v>166</v>
      </c>
      <c r="W991" s="37" t="s">
        <v>19</v>
      </c>
      <c r="X991" s="37" t="s">
        <v>166</v>
      </c>
      <c r="Y991" s="37" t="s">
        <v>166</v>
      </c>
      <c r="Z991" s="37" t="s">
        <v>22</v>
      </c>
      <c r="AA991" s="37">
        <v>76</v>
      </c>
      <c r="AB991" s="37">
        <v>21</v>
      </c>
      <c r="AC991" s="37">
        <v>5</v>
      </c>
      <c r="AD991" s="37" t="s">
        <v>1770</v>
      </c>
      <c r="AF991" s="37" t="s">
        <v>1773</v>
      </c>
    </row>
    <row r="992" spans="3:32" x14ac:dyDescent="0.2">
      <c r="C992" s="37" t="s">
        <v>22</v>
      </c>
      <c r="D992" s="37">
        <v>76</v>
      </c>
      <c r="E992" s="37">
        <v>22</v>
      </c>
      <c r="F992" s="37">
        <v>6</v>
      </c>
      <c r="G992" s="37">
        <v>2</v>
      </c>
      <c r="H992" s="37" t="s">
        <v>181</v>
      </c>
      <c r="I992" s="37" t="s">
        <v>23</v>
      </c>
      <c r="J992" s="37" t="s">
        <v>17</v>
      </c>
      <c r="K992" s="37">
        <v>6</v>
      </c>
      <c r="L992" s="37">
        <v>34</v>
      </c>
      <c r="M992" s="37">
        <v>9</v>
      </c>
      <c r="N992" s="37">
        <v>49</v>
      </c>
      <c r="O992" s="37">
        <v>16</v>
      </c>
      <c r="P992" s="37">
        <v>10</v>
      </c>
      <c r="Q992" s="37">
        <v>75</v>
      </c>
      <c r="R992" s="37">
        <v>3897</v>
      </c>
      <c r="T992" s="37" t="s">
        <v>181</v>
      </c>
      <c r="U992" s="37" t="s">
        <v>392</v>
      </c>
      <c r="V992" s="37">
        <v>80</v>
      </c>
      <c r="W992" s="37" t="s">
        <v>19</v>
      </c>
      <c r="X992" s="37" t="s">
        <v>190</v>
      </c>
      <c r="Y992" s="37">
        <v>380</v>
      </c>
      <c r="Z992" s="37" t="s">
        <v>22</v>
      </c>
      <c r="AA992" s="37">
        <v>76</v>
      </c>
      <c r="AB992" s="37">
        <v>22</v>
      </c>
      <c r="AC992" s="37">
        <v>6</v>
      </c>
      <c r="AD992" s="37" t="s">
        <v>1774</v>
      </c>
      <c r="AF992" s="37" t="s">
        <v>1775</v>
      </c>
    </row>
    <row r="993" spans="3:32" x14ac:dyDescent="0.2">
      <c r="G993" s="37" t="s">
        <v>166</v>
      </c>
      <c r="H993" s="37" t="s">
        <v>166</v>
      </c>
      <c r="I993" s="37" t="s">
        <v>166</v>
      </c>
      <c r="J993" s="37" t="s">
        <v>19</v>
      </c>
      <c r="K993" s="37">
        <v>9</v>
      </c>
      <c r="L993" s="37">
        <v>84</v>
      </c>
      <c r="M993" s="37">
        <v>14</v>
      </c>
      <c r="N993" s="37">
        <v>107</v>
      </c>
      <c r="O993" s="37">
        <v>59</v>
      </c>
      <c r="P993" s="37">
        <v>19</v>
      </c>
      <c r="Q993" s="37">
        <v>185</v>
      </c>
      <c r="R993" s="37">
        <v>5127</v>
      </c>
      <c r="T993" s="37" t="s">
        <v>166</v>
      </c>
      <c r="U993" s="37" t="s">
        <v>166</v>
      </c>
      <c r="V993" s="37" t="s">
        <v>166</v>
      </c>
      <c r="W993" s="37" t="s">
        <v>19</v>
      </c>
      <c r="X993" s="37" t="s">
        <v>166</v>
      </c>
      <c r="Y993" s="37" t="s">
        <v>166</v>
      </c>
      <c r="Z993" s="37" t="s">
        <v>22</v>
      </c>
      <c r="AA993" s="37">
        <v>76</v>
      </c>
      <c r="AB993" s="37">
        <v>22</v>
      </c>
      <c r="AC993" s="37">
        <v>6</v>
      </c>
      <c r="AD993" s="37" t="s">
        <v>1774</v>
      </c>
      <c r="AF993" s="37" t="s">
        <v>1776</v>
      </c>
    </row>
    <row r="994" spans="3:32" x14ac:dyDescent="0.2">
      <c r="G994" s="37" t="s">
        <v>166</v>
      </c>
      <c r="H994" s="37" t="s">
        <v>166</v>
      </c>
      <c r="I994" s="37" t="s">
        <v>166</v>
      </c>
      <c r="J994" s="37" t="s">
        <v>18</v>
      </c>
      <c r="K994" s="37">
        <v>28</v>
      </c>
      <c r="L994" s="37">
        <v>44</v>
      </c>
      <c r="M994" s="37">
        <v>2</v>
      </c>
      <c r="N994" s="37">
        <v>74</v>
      </c>
      <c r="O994" s="37">
        <v>25</v>
      </c>
      <c r="P994" s="37">
        <v>13</v>
      </c>
      <c r="Q994" s="37">
        <v>112</v>
      </c>
      <c r="R994" s="37">
        <v>1348</v>
      </c>
      <c r="T994" s="37" t="s">
        <v>166</v>
      </c>
      <c r="U994" s="37" t="s">
        <v>166</v>
      </c>
      <c r="V994" s="37" t="s">
        <v>166</v>
      </c>
      <c r="W994" s="37" t="s">
        <v>19</v>
      </c>
      <c r="X994" s="37" t="s">
        <v>166</v>
      </c>
      <c r="Y994" s="37" t="s">
        <v>166</v>
      </c>
      <c r="Z994" s="37" t="s">
        <v>22</v>
      </c>
      <c r="AA994" s="37">
        <v>76</v>
      </c>
      <c r="AB994" s="37">
        <v>22</v>
      </c>
      <c r="AC994" s="37">
        <v>6</v>
      </c>
      <c r="AD994" s="37" t="s">
        <v>1774</v>
      </c>
      <c r="AF994" s="37" t="s">
        <v>1777</v>
      </c>
    </row>
    <row r="995" spans="3:32" x14ac:dyDescent="0.2">
      <c r="C995" s="37" t="s">
        <v>22</v>
      </c>
      <c r="D995" s="37">
        <v>92</v>
      </c>
      <c r="E995" s="37">
        <v>1</v>
      </c>
      <c r="F995" s="37" t="s">
        <v>296</v>
      </c>
      <c r="G995" s="37">
        <v>1.2</v>
      </c>
      <c r="H995" s="37" t="s">
        <v>181</v>
      </c>
      <c r="I995" s="37" t="s">
        <v>23</v>
      </c>
      <c r="J995" s="37" t="s">
        <v>17</v>
      </c>
      <c r="K995" s="37">
        <v>2</v>
      </c>
      <c r="L995" s="37">
        <v>17</v>
      </c>
      <c r="M995" s="37">
        <v>6</v>
      </c>
      <c r="N995" s="37">
        <v>25</v>
      </c>
      <c r="O995" s="37">
        <v>9</v>
      </c>
      <c r="P995" s="37">
        <v>5</v>
      </c>
      <c r="Q995" s="37">
        <v>39</v>
      </c>
      <c r="R995" s="37">
        <v>1932</v>
      </c>
      <c r="T995" s="37" t="s">
        <v>181</v>
      </c>
      <c r="U995" s="37" t="s">
        <v>260</v>
      </c>
      <c r="V995" s="37">
        <v>70</v>
      </c>
      <c r="W995" s="37" t="s">
        <v>19</v>
      </c>
      <c r="X995" s="37" t="s">
        <v>190</v>
      </c>
      <c r="Y995" s="37">
        <v>228</v>
      </c>
      <c r="Z995" s="37" t="s">
        <v>22</v>
      </c>
      <c r="AA995" s="37">
        <v>92</v>
      </c>
      <c r="AB995" s="37">
        <v>1</v>
      </c>
      <c r="AC995" s="37" t="s">
        <v>296</v>
      </c>
      <c r="AD995" s="37" t="s">
        <v>1778</v>
      </c>
      <c r="AF995" s="37" t="s">
        <v>1779</v>
      </c>
    </row>
    <row r="996" spans="3:32" x14ac:dyDescent="0.2">
      <c r="G996" s="37" t="s">
        <v>166</v>
      </c>
      <c r="H996" s="37" t="s">
        <v>166</v>
      </c>
      <c r="I996" s="37" t="s">
        <v>166</v>
      </c>
      <c r="J996" s="37" t="s">
        <v>19</v>
      </c>
      <c r="K996" s="37">
        <v>9</v>
      </c>
      <c r="L996" s="37">
        <v>79</v>
      </c>
      <c r="M996" s="37">
        <v>13</v>
      </c>
      <c r="N996" s="37">
        <v>101</v>
      </c>
      <c r="O996" s="37">
        <v>56</v>
      </c>
      <c r="P996" s="37">
        <v>18</v>
      </c>
      <c r="Q996" s="37">
        <v>175</v>
      </c>
      <c r="R996" s="37">
        <v>4880</v>
      </c>
      <c r="T996" s="37" t="s">
        <v>166</v>
      </c>
      <c r="U996" s="37" t="s">
        <v>166</v>
      </c>
      <c r="V996" s="37" t="s">
        <v>166</v>
      </c>
      <c r="W996" s="37" t="s">
        <v>19</v>
      </c>
      <c r="X996" s="37" t="s">
        <v>166</v>
      </c>
      <c r="Y996" s="37" t="s">
        <v>166</v>
      </c>
      <c r="Z996" s="37" t="s">
        <v>22</v>
      </c>
      <c r="AA996" s="37">
        <v>92</v>
      </c>
      <c r="AB996" s="37">
        <v>1</v>
      </c>
      <c r="AC996" s="37" t="s">
        <v>296</v>
      </c>
      <c r="AD996" s="37" t="s">
        <v>1778</v>
      </c>
      <c r="AF996" s="37" t="s">
        <v>1780</v>
      </c>
    </row>
    <row r="997" spans="3:32" x14ac:dyDescent="0.2">
      <c r="C997" s="37" t="s">
        <v>22</v>
      </c>
      <c r="D997" s="37">
        <v>92</v>
      </c>
      <c r="E997" s="37">
        <v>28</v>
      </c>
      <c r="F997" s="37">
        <v>2</v>
      </c>
      <c r="G997" s="37">
        <v>3.3</v>
      </c>
      <c r="H997" s="37" t="s">
        <v>181</v>
      </c>
      <c r="I997" s="37" t="s">
        <v>23</v>
      </c>
      <c r="J997" s="37" t="s">
        <v>17</v>
      </c>
      <c r="K997" s="37">
        <v>0</v>
      </c>
      <c r="L997" s="37">
        <v>0</v>
      </c>
      <c r="M997" s="37">
        <v>0</v>
      </c>
      <c r="N997" s="37">
        <v>0</v>
      </c>
      <c r="O997" s="37">
        <v>0</v>
      </c>
      <c r="P997" s="37">
        <v>0</v>
      </c>
      <c r="Q997" s="37">
        <v>0</v>
      </c>
      <c r="R997" s="37">
        <v>0</v>
      </c>
      <c r="T997" s="37" t="s">
        <v>181</v>
      </c>
      <c r="U997" s="37" t="s">
        <v>331</v>
      </c>
      <c r="V997" s="37">
        <v>70</v>
      </c>
      <c r="W997" s="37" t="s">
        <v>19</v>
      </c>
      <c r="X997" s="37" t="s">
        <v>190</v>
      </c>
      <c r="Y997" s="37">
        <v>528</v>
      </c>
      <c r="Z997" s="37" t="s">
        <v>22</v>
      </c>
      <c r="AA997" s="37">
        <v>92</v>
      </c>
      <c r="AB997" s="37">
        <v>28</v>
      </c>
      <c r="AC997" s="37">
        <v>2</v>
      </c>
      <c r="AD997" s="37" t="s">
        <v>1781</v>
      </c>
      <c r="AF997" s="37" t="s">
        <v>1782</v>
      </c>
    </row>
    <row r="998" spans="3:32" x14ac:dyDescent="0.2">
      <c r="G998" s="37" t="s">
        <v>166</v>
      </c>
      <c r="H998" s="37" t="s">
        <v>166</v>
      </c>
      <c r="I998" s="37" t="s">
        <v>166</v>
      </c>
      <c r="J998" s="37" t="s">
        <v>178</v>
      </c>
      <c r="K998" s="37">
        <v>15</v>
      </c>
      <c r="L998" s="37">
        <v>49</v>
      </c>
      <c r="M998" s="37">
        <v>1</v>
      </c>
      <c r="N998" s="37">
        <v>65</v>
      </c>
      <c r="O998" s="37">
        <v>17</v>
      </c>
      <c r="P998" s="37">
        <v>15</v>
      </c>
      <c r="Q998" s="37">
        <v>97</v>
      </c>
      <c r="R998" s="37">
        <v>42823</v>
      </c>
      <c r="T998" s="37" t="s">
        <v>166</v>
      </c>
      <c r="U998" s="37" t="s">
        <v>166</v>
      </c>
      <c r="V998" s="37" t="s">
        <v>166</v>
      </c>
      <c r="W998" s="37" t="s">
        <v>19</v>
      </c>
      <c r="X998" s="37" t="s">
        <v>166</v>
      </c>
      <c r="Y998" s="37" t="s">
        <v>166</v>
      </c>
      <c r="Z998" s="37" t="s">
        <v>22</v>
      </c>
      <c r="AA998" s="37">
        <v>92</v>
      </c>
      <c r="AB998" s="37">
        <v>28</v>
      </c>
      <c r="AC998" s="37">
        <v>2</v>
      </c>
      <c r="AD998" s="37" t="s">
        <v>1781</v>
      </c>
      <c r="AF998" s="37" t="s">
        <v>1783</v>
      </c>
    </row>
    <row r="999" spans="3:32" x14ac:dyDescent="0.2">
      <c r="G999" s="37" t="s">
        <v>166</v>
      </c>
      <c r="H999" s="37" t="s">
        <v>166</v>
      </c>
      <c r="I999" s="37" t="s">
        <v>166</v>
      </c>
      <c r="J999" s="37" t="s">
        <v>19</v>
      </c>
      <c r="K999" s="37">
        <v>19</v>
      </c>
      <c r="L999" s="37">
        <v>125</v>
      </c>
      <c r="M999" s="37">
        <v>28</v>
      </c>
      <c r="N999" s="37">
        <v>172</v>
      </c>
      <c r="O999" s="37">
        <v>107</v>
      </c>
      <c r="P999" s="37">
        <v>32</v>
      </c>
      <c r="Q999" s="37">
        <v>311</v>
      </c>
      <c r="R999" s="37">
        <v>8246</v>
      </c>
      <c r="T999" s="37" t="s">
        <v>166</v>
      </c>
      <c r="U999" s="37" t="s">
        <v>166</v>
      </c>
      <c r="V999" s="37" t="s">
        <v>166</v>
      </c>
      <c r="W999" s="37" t="s">
        <v>19</v>
      </c>
      <c r="X999" s="37" t="s">
        <v>166</v>
      </c>
      <c r="Y999" s="37" t="s">
        <v>166</v>
      </c>
      <c r="Z999" s="37" t="s">
        <v>22</v>
      </c>
      <c r="AA999" s="37">
        <v>92</v>
      </c>
      <c r="AB999" s="37">
        <v>28</v>
      </c>
      <c r="AC999" s="37">
        <v>2</v>
      </c>
      <c r="AD999" s="37" t="s">
        <v>1781</v>
      </c>
      <c r="AF999" s="37" t="s">
        <v>1784</v>
      </c>
    </row>
    <row r="1000" spans="3:32" x14ac:dyDescent="0.2">
      <c r="G1000" s="37" t="s">
        <v>166</v>
      </c>
      <c r="H1000" s="37" t="s">
        <v>166</v>
      </c>
      <c r="I1000" s="37" t="s">
        <v>166</v>
      </c>
      <c r="J1000" s="37" t="s">
        <v>18</v>
      </c>
      <c r="K1000" s="37">
        <v>26</v>
      </c>
      <c r="L1000" s="37">
        <v>35</v>
      </c>
      <c r="M1000" s="37">
        <v>2</v>
      </c>
      <c r="N1000" s="37">
        <v>63</v>
      </c>
      <c r="O1000" s="37">
        <v>27</v>
      </c>
      <c r="P1000" s="37">
        <v>12</v>
      </c>
      <c r="Q1000" s="37">
        <v>102</v>
      </c>
      <c r="R1000" s="37">
        <v>1164</v>
      </c>
      <c r="T1000" s="37" t="s">
        <v>166</v>
      </c>
      <c r="U1000" s="37" t="s">
        <v>166</v>
      </c>
      <c r="V1000" s="37" t="s">
        <v>166</v>
      </c>
      <c r="W1000" s="37" t="s">
        <v>19</v>
      </c>
      <c r="X1000" s="37" t="s">
        <v>166</v>
      </c>
      <c r="Y1000" s="37" t="s">
        <v>166</v>
      </c>
      <c r="Z1000" s="37" t="s">
        <v>22</v>
      </c>
      <c r="AA1000" s="37">
        <v>92</v>
      </c>
      <c r="AB1000" s="37">
        <v>28</v>
      </c>
      <c r="AC1000" s="37">
        <v>2</v>
      </c>
      <c r="AD1000" s="37" t="s">
        <v>1781</v>
      </c>
      <c r="AF1000" s="37" t="s">
        <v>1785</v>
      </c>
    </row>
    <row r="1001" spans="3:32" x14ac:dyDescent="0.2">
      <c r="C1001" s="37" t="s">
        <v>22</v>
      </c>
      <c r="D1001" s="37">
        <v>92</v>
      </c>
      <c r="E1001" s="37">
        <v>28</v>
      </c>
      <c r="F1001" s="37">
        <v>3</v>
      </c>
      <c r="G1001" s="37">
        <v>3.3</v>
      </c>
      <c r="H1001" s="37" t="s">
        <v>181</v>
      </c>
      <c r="I1001" s="37" t="s">
        <v>23</v>
      </c>
      <c r="J1001" s="37" t="s">
        <v>17</v>
      </c>
      <c r="K1001" s="37">
        <v>0</v>
      </c>
      <c r="L1001" s="37">
        <v>0</v>
      </c>
      <c r="M1001" s="37">
        <v>0</v>
      </c>
      <c r="N1001" s="37">
        <v>0</v>
      </c>
      <c r="O1001" s="37">
        <v>0</v>
      </c>
      <c r="P1001" s="37">
        <v>0</v>
      </c>
      <c r="Q1001" s="37">
        <v>0</v>
      </c>
      <c r="R1001" s="37">
        <v>0</v>
      </c>
      <c r="T1001" s="37" t="s">
        <v>181</v>
      </c>
      <c r="U1001" s="37" t="s">
        <v>331</v>
      </c>
      <c r="V1001" s="37">
        <v>70</v>
      </c>
      <c r="W1001" s="37" t="s">
        <v>19</v>
      </c>
      <c r="X1001" s="37" t="s">
        <v>190</v>
      </c>
      <c r="Y1001" s="37">
        <v>528</v>
      </c>
      <c r="Z1001" s="37" t="s">
        <v>22</v>
      </c>
      <c r="AA1001" s="37">
        <v>92</v>
      </c>
      <c r="AB1001" s="37">
        <v>28</v>
      </c>
      <c r="AC1001" s="37">
        <v>3</v>
      </c>
      <c r="AD1001" s="37" t="s">
        <v>1786</v>
      </c>
      <c r="AF1001" s="37" t="s">
        <v>1787</v>
      </c>
    </row>
    <row r="1002" spans="3:32" x14ac:dyDescent="0.2">
      <c r="G1002" s="37" t="s">
        <v>166</v>
      </c>
      <c r="H1002" s="37" t="s">
        <v>166</v>
      </c>
      <c r="I1002" s="37" t="s">
        <v>166</v>
      </c>
      <c r="J1002" s="37" t="s">
        <v>178</v>
      </c>
      <c r="K1002" s="37">
        <v>18</v>
      </c>
      <c r="L1002" s="37">
        <v>47</v>
      </c>
      <c r="M1002" s="37">
        <v>1</v>
      </c>
      <c r="N1002" s="37">
        <v>66</v>
      </c>
      <c r="O1002" s="37">
        <v>19</v>
      </c>
      <c r="P1002" s="37">
        <v>15</v>
      </c>
      <c r="Q1002" s="37">
        <v>100</v>
      </c>
      <c r="R1002" s="37">
        <v>44293</v>
      </c>
      <c r="T1002" s="37" t="s">
        <v>166</v>
      </c>
      <c r="U1002" s="37" t="s">
        <v>166</v>
      </c>
      <c r="V1002" s="37" t="s">
        <v>166</v>
      </c>
      <c r="W1002" s="37" t="s">
        <v>19</v>
      </c>
      <c r="X1002" s="37" t="s">
        <v>166</v>
      </c>
      <c r="Y1002" s="37" t="s">
        <v>166</v>
      </c>
      <c r="Z1002" s="37" t="s">
        <v>22</v>
      </c>
      <c r="AA1002" s="37">
        <v>92</v>
      </c>
      <c r="AB1002" s="37">
        <v>28</v>
      </c>
      <c r="AC1002" s="37">
        <v>3</v>
      </c>
      <c r="AD1002" s="37" t="s">
        <v>1786</v>
      </c>
      <c r="AF1002" s="37" t="s">
        <v>1788</v>
      </c>
    </row>
    <row r="1003" spans="3:32" x14ac:dyDescent="0.2">
      <c r="G1003" s="37" t="s">
        <v>166</v>
      </c>
      <c r="H1003" s="37" t="s">
        <v>166</v>
      </c>
      <c r="I1003" s="37" t="s">
        <v>166</v>
      </c>
      <c r="J1003" s="37" t="s">
        <v>19</v>
      </c>
      <c r="K1003" s="37">
        <v>16</v>
      </c>
      <c r="L1003" s="37">
        <v>122</v>
      </c>
      <c r="M1003" s="37">
        <v>27</v>
      </c>
      <c r="N1003" s="37">
        <v>165</v>
      </c>
      <c r="O1003" s="37">
        <v>106</v>
      </c>
      <c r="P1003" s="37">
        <v>30</v>
      </c>
      <c r="Q1003" s="37">
        <v>301</v>
      </c>
      <c r="R1003" s="37">
        <v>7835</v>
      </c>
      <c r="T1003" s="37" t="s">
        <v>166</v>
      </c>
      <c r="U1003" s="37" t="s">
        <v>166</v>
      </c>
      <c r="V1003" s="37" t="s">
        <v>166</v>
      </c>
      <c r="W1003" s="37" t="s">
        <v>19</v>
      </c>
      <c r="X1003" s="37" t="s">
        <v>166</v>
      </c>
      <c r="Y1003" s="37" t="s">
        <v>166</v>
      </c>
      <c r="Z1003" s="37" t="s">
        <v>22</v>
      </c>
      <c r="AA1003" s="37">
        <v>92</v>
      </c>
      <c r="AB1003" s="37">
        <v>28</v>
      </c>
      <c r="AC1003" s="37">
        <v>3</v>
      </c>
      <c r="AD1003" s="37" t="s">
        <v>1786</v>
      </c>
      <c r="AF1003" s="37" t="s">
        <v>1789</v>
      </c>
    </row>
    <row r="1004" spans="3:32" x14ac:dyDescent="0.2">
      <c r="G1004" s="37" t="s">
        <v>166</v>
      </c>
      <c r="H1004" s="37" t="s">
        <v>166</v>
      </c>
      <c r="I1004" s="37" t="s">
        <v>166</v>
      </c>
      <c r="J1004" s="37" t="s">
        <v>18</v>
      </c>
      <c r="K1004" s="37">
        <v>26</v>
      </c>
      <c r="L1004" s="37">
        <v>41</v>
      </c>
      <c r="M1004" s="37">
        <v>2</v>
      </c>
      <c r="N1004" s="37">
        <v>69</v>
      </c>
      <c r="O1004" s="37">
        <v>32</v>
      </c>
      <c r="P1004" s="37">
        <v>15</v>
      </c>
      <c r="Q1004" s="37">
        <v>116</v>
      </c>
      <c r="R1004" s="37">
        <v>1264</v>
      </c>
      <c r="T1004" s="37" t="s">
        <v>166</v>
      </c>
      <c r="U1004" s="37" t="s">
        <v>166</v>
      </c>
      <c r="V1004" s="37" t="s">
        <v>166</v>
      </c>
      <c r="W1004" s="37" t="s">
        <v>19</v>
      </c>
      <c r="X1004" s="37" t="s">
        <v>166</v>
      </c>
      <c r="Y1004" s="37" t="s">
        <v>166</v>
      </c>
      <c r="Z1004" s="37" t="s">
        <v>22</v>
      </c>
      <c r="AA1004" s="37">
        <v>92</v>
      </c>
      <c r="AB1004" s="37">
        <v>28</v>
      </c>
      <c r="AC1004" s="37">
        <v>3</v>
      </c>
      <c r="AD1004" s="37" t="s">
        <v>1786</v>
      </c>
      <c r="AF1004" s="37" t="s">
        <v>1790</v>
      </c>
    </row>
    <row r="1005" spans="3:32" x14ac:dyDescent="0.2">
      <c r="C1005" s="37" t="s">
        <v>22</v>
      </c>
      <c r="D1005" s="37">
        <v>92</v>
      </c>
      <c r="E1005" s="37">
        <v>28</v>
      </c>
      <c r="F1005" s="37">
        <v>4</v>
      </c>
      <c r="G1005" s="37">
        <v>1.4</v>
      </c>
      <c r="H1005" s="37" t="s">
        <v>181</v>
      </c>
      <c r="I1005" s="37" t="s">
        <v>23</v>
      </c>
      <c r="J1005" s="37" t="s">
        <v>17</v>
      </c>
      <c r="K1005" s="37">
        <v>0</v>
      </c>
      <c r="L1005" s="37">
        <v>0</v>
      </c>
      <c r="M1005" s="37">
        <v>0</v>
      </c>
      <c r="N1005" s="37">
        <v>0</v>
      </c>
      <c r="O1005" s="37">
        <v>0</v>
      </c>
      <c r="P1005" s="37">
        <v>0</v>
      </c>
      <c r="Q1005" s="37">
        <v>0</v>
      </c>
      <c r="R1005" s="37">
        <v>0</v>
      </c>
      <c r="T1005" s="37" t="s">
        <v>181</v>
      </c>
      <c r="U1005" s="37" t="s">
        <v>331</v>
      </c>
      <c r="V1005" s="37">
        <v>70</v>
      </c>
      <c r="W1005" s="37" t="s">
        <v>19</v>
      </c>
      <c r="X1005" s="37" t="s">
        <v>190</v>
      </c>
      <c r="Y1005" s="37">
        <v>224</v>
      </c>
      <c r="Z1005" s="37" t="s">
        <v>22</v>
      </c>
      <c r="AA1005" s="37">
        <v>92</v>
      </c>
      <c r="AB1005" s="37">
        <v>28</v>
      </c>
      <c r="AC1005" s="37">
        <v>4</v>
      </c>
      <c r="AD1005" s="37" t="s">
        <v>1791</v>
      </c>
      <c r="AF1005" s="37" t="s">
        <v>1792</v>
      </c>
    </row>
    <row r="1006" spans="3:32" x14ac:dyDescent="0.2">
      <c r="G1006" s="37" t="s">
        <v>166</v>
      </c>
      <c r="H1006" s="37" t="s">
        <v>166</v>
      </c>
      <c r="I1006" s="37" t="s">
        <v>166</v>
      </c>
      <c r="J1006" s="37" t="s">
        <v>178</v>
      </c>
      <c r="K1006" s="37">
        <v>5</v>
      </c>
      <c r="L1006" s="37">
        <v>15</v>
      </c>
      <c r="M1006" s="37">
        <v>0</v>
      </c>
      <c r="N1006" s="37">
        <v>20</v>
      </c>
      <c r="O1006" s="37">
        <v>6</v>
      </c>
      <c r="P1006" s="37">
        <v>5</v>
      </c>
      <c r="Q1006" s="37">
        <v>31</v>
      </c>
      <c r="R1006" s="37">
        <v>13320</v>
      </c>
      <c r="T1006" s="37" t="s">
        <v>166</v>
      </c>
      <c r="U1006" s="37" t="s">
        <v>166</v>
      </c>
      <c r="V1006" s="37" t="s">
        <v>166</v>
      </c>
      <c r="W1006" s="37" t="s">
        <v>19</v>
      </c>
      <c r="X1006" s="37" t="s">
        <v>166</v>
      </c>
      <c r="Y1006" s="37" t="s">
        <v>166</v>
      </c>
      <c r="Z1006" s="37" t="s">
        <v>22</v>
      </c>
      <c r="AA1006" s="37">
        <v>92</v>
      </c>
      <c r="AB1006" s="37">
        <v>28</v>
      </c>
      <c r="AC1006" s="37">
        <v>4</v>
      </c>
      <c r="AD1006" s="37" t="s">
        <v>1791</v>
      </c>
      <c r="AF1006" s="37" t="s">
        <v>1793</v>
      </c>
    </row>
    <row r="1007" spans="3:32" x14ac:dyDescent="0.2">
      <c r="G1007" s="37" t="s">
        <v>166</v>
      </c>
      <c r="H1007" s="37" t="s">
        <v>166</v>
      </c>
      <c r="I1007" s="37" t="s">
        <v>166</v>
      </c>
      <c r="J1007" s="37" t="s">
        <v>19</v>
      </c>
      <c r="K1007" s="37">
        <v>5</v>
      </c>
      <c r="L1007" s="37">
        <v>52</v>
      </c>
      <c r="M1007" s="37">
        <v>13</v>
      </c>
      <c r="N1007" s="37">
        <v>70</v>
      </c>
      <c r="O1007" s="37">
        <v>44</v>
      </c>
      <c r="P1007" s="37">
        <v>12</v>
      </c>
      <c r="Q1007" s="37">
        <v>126</v>
      </c>
      <c r="R1007" s="37">
        <v>3261</v>
      </c>
      <c r="T1007" s="37" t="s">
        <v>166</v>
      </c>
      <c r="U1007" s="37" t="s">
        <v>166</v>
      </c>
      <c r="V1007" s="37" t="s">
        <v>166</v>
      </c>
      <c r="W1007" s="37" t="s">
        <v>19</v>
      </c>
      <c r="X1007" s="37" t="s">
        <v>166</v>
      </c>
      <c r="Y1007" s="37" t="s">
        <v>166</v>
      </c>
      <c r="Z1007" s="37" t="s">
        <v>22</v>
      </c>
      <c r="AA1007" s="37">
        <v>92</v>
      </c>
      <c r="AB1007" s="37">
        <v>28</v>
      </c>
      <c r="AC1007" s="37">
        <v>4</v>
      </c>
      <c r="AD1007" s="37" t="s">
        <v>1791</v>
      </c>
      <c r="AF1007" s="37" t="s">
        <v>1794</v>
      </c>
    </row>
    <row r="1008" spans="3:32" x14ac:dyDescent="0.2">
      <c r="G1008" s="37" t="s">
        <v>166</v>
      </c>
      <c r="H1008" s="37" t="s">
        <v>166</v>
      </c>
      <c r="I1008" s="37" t="s">
        <v>166</v>
      </c>
      <c r="J1008" s="37" t="s">
        <v>18</v>
      </c>
      <c r="K1008" s="37">
        <v>15</v>
      </c>
      <c r="L1008" s="37">
        <v>22</v>
      </c>
      <c r="M1008" s="37">
        <v>1</v>
      </c>
      <c r="N1008" s="37">
        <v>38</v>
      </c>
      <c r="O1008" s="37">
        <v>16</v>
      </c>
      <c r="P1008" s="37">
        <v>8</v>
      </c>
      <c r="Q1008" s="37">
        <v>62</v>
      </c>
      <c r="R1008" s="37">
        <v>691</v>
      </c>
      <c r="T1008" s="37" t="s">
        <v>166</v>
      </c>
      <c r="U1008" s="37" t="s">
        <v>166</v>
      </c>
      <c r="V1008" s="37" t="s">
        <v>166</v>
      </c>
      <c r="W1008" s="37" t="s">
        <v>19</v>
      </c>
      <c r="X1008" s="37" t="s">
        <v>166</v>
      </c>
      <c r="Y1008" s="37" t="s">
        <v>166</v>
      </c>
      <c r="Z1008" s="37" t="s">
        <v>22</v>
      </c>
      <c r="AA1008" s="37">
        <v>92</v>
      </c>
      <c r="AB1008" s="37">
        <v>28</v>
      </c>
      <c r="AC1008" s="37">
        <v>4</v>
      </c>
      <c r="AD1008" s="37" t="s">
        <v>1791</v>
      </c>
      <c r="AF1008" s="37" t="s">
        <v>1795</v>
      </c>
    </row>
    <row r="1009" spans="3:32" x14ac:dyDescent="0.2">
      <c r="C1009" s="37" t="s">
        <v>22</v>
      </c>
      <c r="D1009" s="37">
        <v>93</v>
      </c>
      <c r="E1009" s="37">
        <v>3</v>
      </c>
      <c r="F1009" s="37" t="s">
        <v>296</v>
      </c>
      <c r="G1009" s="37">
        <v>8.4</v>
      </c>
      <c r="H1009" s="37" t="s">
        <v>181</v>
      </c>
      <c r="I1009" s="37" t="s">
        <v>23</v>
      </c>
      <c r="J1009" s="37" t="s">
        <v>17</v>
      </c>
      <c r="K1009" s="37">
        <v>7</v>
      </c>
      <c r="L1009" s="37">
        <v>55</v>
      </c>
      <c r="M1009" s="37">
        <v>39</v>
      </c>
      <c r="N1009" s="37">
        <v>101</v>
      </c>
      <c r="O1009" s="37">
        <v>38</v>
      </c>
      <c r="P1009" s="37">
        <v>20</v>
      </c>
      <c r="Q1009" s="37">
        <v>159</v>
      </c>
      <c r="R1009" s="37">
        <v>7093</v>
      </c>
      <c r="T1009" s="37" t="s">
        <v>181</v>
      </c>
      <c r="U1009" s="37" t="s">
        <v>393</v>
      </c>
      <c r="V1009" s="37">
        <v>45</v>
      </c>
      <c r="W1009" s="37" t="s">
        <v>18</v>
      </c>
      <c r="X1009" s="37" t="s">
        <v>190</v>
      </c>
      <c r="Y1009" s="37">
        <v>1596</v>
      </c>
      <c r="Z1009" s="37" t="s">
        <v>22</v>
      </c>
      <c r="AA1009" s="37">
        <v>93</v>
      </c>
      <c r="AB1009" s="37">
        <v>3</v>
      </c>
      <c r="AC1009" s="37" t="s">
        <v>296</v>
      </c>
      <c r="AD1009" s="37" t="s">
        <v>1796</v>
      </c>
      <c r="AF1009" s="37" t="s">
        <v>1797</v>
      </c>
    </row>
    <row r="1010" spans="3:32" x14ac:dyDescent="0.2">
      <c r="G1010" s="37" t="s">
        <v>166</v>
      </c>
      <c r="H1010" s="37" t="s">
        <v>166</v>
      </c>
      <c r="I1010" s="37" t="s">
        <v>166</v>
      </c>
      <c r="J1010" s="37" t="s">
        <v>19</v>
      </c>
      <c r="K1010" s="37">
        <v>2</v>
      </c>
      <c r="L1010" s="37">
        <v>135</v>
      </c>
      <c r="M1010" s="37">
        <v>41</v>
      </c>
      <c r="N1010" s="37">
        <v>178</v>
      </c>
      <c r="O1010" s="37">
        <v>118</v>
      </c>
      <c r="P1010" s="37">
        <v>31</v>
      </c>
      <c r="Q1010" s="37">
        <v>327</v>
      </c>
      <c r="R1010" s="37">
        <v>7899</v>
      </c>
      <c r="T1010" s="37" t="s">
        <v>166</v>
      </c>
      <c r="U1010" s="37" t="s">
        <v>166</v>
      </c>
      <c r="V1010" s="37" t="s">
        <v>166</v>
      </c>
      <c r="W1010" s="37" t="s">
        <v>18</v>
      </c>
      <c r="X1010" s="37" t="s">
        <v>166</v>
      </c>
      <c r="Y1010" s="37" t="s">
        <v>166</v>
      </c>
      <c r="Z1010" s="37" t="s">
        <v>22</v>
      </c>
      <c r="AA1010" s="37">
        <v>93</v>
      </c>
      <c r="AB1010" s="37">
        <v>3</v>
      </c>
      <c r="AC1010" s="37" t="s">
        <v>296</v>
      </c>
      <c r="AD1010" s="37" t="s">
        <v>1796</v>
      </c>
      <c r="AF1010" s="37" t="s">
        <v>1798</v>
      </c>
    </row>
    <row r="1011" spans="3:32" x14ac:dyDescent="0.2">
      <c r="G1011" s="37" t="s">
        <v>166</v>
      </c>
      <c r="H1011" s="37" t="s">
        <v>166</v>
      </c>
      <c r="I1011" s="37" t="s">
        <v>166</v>
      </c>
      <c r="J1011" s="37" t="s">
        <v>18</v>
      </c>
      <c r="K1011" s="37">
        <v>410</v>
      </c>
      <c r="L1011" s="37">
        <v>316</v>
      </c>
      <c r="M1011" s="37">
        <v>12</v>
      </c>
      <c r="N1011" s="37">
        <v>738</v>
      </c>
      <c r="O1011" s="37">
        <v>230</v>
      </c>
      <c r="P1011" s="37">
        <v>125</v>
      </c>
      <c r="Q1011" s="37">
        <v>1093</v>
      </c>
      <c r="R1011" s="37">
        <v>14195</v>
      </c>
      <c r="T1011" s="37" t="s">
        <v>166</v>
      </c>
      <c r="U1011" s="37" t="s">
        <v>166</v>
      </c>
      <c r="V1011" s="37" t="s">
        <v>166</v>
      </c>
      <c r="W1011" s="37" t="s">
        <v>18</v>
      </c>
      <c r="X1011" s="37" t="s">
        <v>166</v>
      </c>
      <c r="Y1011" s="37" t="s">
        <v>166</v>
      </c>
      <c r="Z1011" s="37" t="s">
        <v>22</v>
      </c>
      <c r="AA1011" s="37">
        <v>93</v>
      </c>
      <c r="AB1011" s="37">
        <v>3</v>
      </c>
      <c r="AC1011" s="37" t="s">
        <v>296</v>
      </c>
      <c r="AD1011" s="37" t="s">
        <v>1796</v>
      </c>
      <c r="AF1011" s="37" t="s">
        <v>1799</v>
      </c>
    </row>
    <row r="1012" spans="3:32" x14ac:dyDescent="0.2">
      <c r="C1012" s="37" t="s">
        <v>22</v>
      </c>
      <c r="D1012" s="37">
        <v>101</v>
      </c>
      <c r="E1012" s="37">
        <v>28</v>
      </c>
      <c r="F1012" s="37" t="s">
        <v>296</v>
      </c>
      <c r="G1012" s="37">
        <v>2.8</v>
      </c>
      <c r="H1012" s="37" t="s">
        <v>181</v>
      </c>
      <c r="I1012" s="37" t="s">
        <v>23</v>
      </c>
      <c r="J1012" s="37" t="s">
        <v>17</v>
      </c>
      <c r="K1012" s="37">
        <v>29</v>
      </c>
      <c r="L1012" s="37">
        <v>110</v>
      </c>
      <c r="M1012" s="37">
        <v>26</v>
      </c>
      <c r="N1012" s="37">
        <v>165</v>
      </c>
      <c r="O1012" s="37">
        <v>49</v>
      </c>
      <c r="P1012" s="37">
        <v>31</v>
      </c>
      <c r="Q1012" s="37">
        <v>245</v>
      </c>
      <c r="R1012" s="37">
        <v>13542</v>
      </c>
      <c r="T1012" s="37" t="s">
        <v>181</v>
      </c>
      <c r="U1012" s="37" t="s">
        <v>394</v>
      </c>
      <c r="V1012" s="37">
        <v>70</v>
      </c>
      <c r="W1012" s="37" t="s">
        <v>17</v>
      </c>
      <c r="X1012" s="37" t="s">
        <v>190</v>
      </c>
      <c r="Y1012" s="37">
        <v>336</v>
      </c>
      <c r="Z1012" s="37" t="s">
        <v>22</v>
      </c>
      <c r="AA1012" s="37">
        <v>101</v>
      </c>
      <c r="AB1012" s="37">
        <v>28</v>
      </c>
      <c r="AC1012" s="37" t="s">
        <v>296</v>
      </c>
      <c r="AD1012" s="37" t="s">
        <v>1800</v>
      </c>
      <c r="AF1012" s="37" t="s">
        <v>1801</v>
      </c>
    </row>
    <row r="1013" spans="3:32" x14ac:dyDescent="0.2">
      <c r="G1013" s="37" t="s">
        <v>166</v>
      </c>
      <c r="H1013" s="37" t="s">
        <v>166</v>
      </c>
      <c r="I1013" s="37" t="s">
        <v>166</v>
      </c>
      <c r="J1013" s="37" t="s">
        <v>40</v>
      </c>
      <c r="K1013" s="37">
        <v>4</v>
      </c>
      <c r="L1013" s="37">
        <v>34</v>
      </c>
      <c r="M1013" s="37">
        <v>8</v>
      </c>
      <c r="N1013" s="37">
        <v>46</v>
      </c>
      <c r="O1013" s="37">
        <v>12</v>
      </c>
      <c r="P1013" s="37">
        <v>11</v>
      </c>
      <c r="Q1013" s="37">
        <v>69</v>
      </c>
      <c r="R1013" s="37">
        <v>2134</v>
      </c>
      <c r="T1013" s="37" t="s">
        <v>166</v>
      </c>
      <c r="U1013" s="37" t="s">
        <v>166</v>
      </c>
      <c r="V1013" s="37" t="s">
        <v>166</v>
      </c>
      <c r="W1013" s="37" t="s">
        <v>17</v>
      </c>
      <c r="X1013" s="37" t="s">
        <v>166</v>
      </c>
      <c r="Y1013" s="37" t="s">
        <v>166</v>
      </c>
      <c r="Z1013" s="37" t="s">
        <v>22</v>
      </c>
      <c r="AA1013" s="37">
        <v>101</v>
      </c>
      <c r="AB1013" s="37">
        <v>28</v>
      </c>
      <c r="AC1013" s="37" t="s">
        <v>296</v>
      </c>
      <c r="AD1013" s="37" t="s">
        <v>1800</v>
      </c>
      <c r="AF1013" s="37" t="s">
        <v>1802</v>
      </c>
    </row>
    <row r="1014" spans="3:32" x14ac:dyDescent="0.2">
      <c r="C1014" s="37" t="s">
        <v>22</v>
      </c>
      <c r="D1014" s="37">
        <v>107</v>
      </c>
      <c r="E1014" s="37">
        <v>18</v>
      </c>
      <c r="F1014" s="37" t="s">
        <v>296</v>
      </c>
      <c r="G1014" s="37">
        <v>5</v>
      </c>
      <c r="H1014" s="37" t="s">
        <v>181</v>
      </c>
      <c r="I1014" s="37" t="s">
        <v>23</v>
      </c>
      <c r="J1014" s="37" t="s">
        <v>17</v>
      </c>
      <c r="K1014" s="37">
        <v>4</v>
      </c>
      <c r="L1014" s="37">
        <v>44</v>
      </c>
      <c r="M1014" s="37">
        <v>15</v>
      </c>
      <c r="N1014" s="37">
        <v>63</v>
      </c>
      <c r="O1014" s="37">
        <v>22</v>
      </c>
      <c r="P1014" s="37">
        <v>13</v>
      </c>
      <c r="Q1014" s="37">
        <v>98</v>
      </c>
      <c r="R1014" s="37">
        <v>4768</v>
      </c>
      <c r="T1014" s="37" t="s">
        <v>181</v>
      </c>
      <c r="U1014" s="37" t="s">
        <v>200</v>
      </c>
      <c r="V1014" s="37">
        <v>50</v>
      </c>
      <c r="W1014" s="37" t="s">
        <v>18</v>
      </c>
      <c r="X1014" s="37" t="s">
        <v>190</v>
      </c>
      <c r="Y1014" s="37">
        <v>1000</v>
      </c>
      <c r="Z1014" s="37" t="s">
        <v>22</v>
      </c>
      <c r="AA1014" s="37">
        <v>107</v>
      </c>
      <c r="AB1014" s="37">
        <v>18</v>
      </c>
      <c r="AC1014" s="37" t="s">
        <v>296</v>
      </c>
      <c r="AD1014" s="37" t="s">
        <v>1803</v>
      </c>
      <c r="AF1014" s="37" t="s">
        <v>1804</v>
      </c>
    </row>
    <row r="1015" spans="3:32" x14ac:dyDescent="0.2">
      <c r="G1015" s="37" t="s">
        <v>166</v>
      </c>
      <c r="H1015" s="37" t="s">
        <v>166</v>
      </c>
      <c r="I1015" s="37" t="s">
        <v>166</v>
      </c>
      <c r="J1015" s="37" t="s">
        <v>19</v>
      </c>
      <c r="K1015" s="37">
        <v>1</v>
      </c>
      <c r="L1015" s="37">
        <v>81</v>
      </c>
      <c r="M1015" s="37">
        <v>25</v>
      </c>
      <c r="N1015" s="37">
        <v>107</v>
      </c>
      <c r="O1015" s="37">
        <v>70</v>
      </c>
      <c r="P1015" s="37">
        <v>19</v>
      </c>
      <c r="Q1015" s="37">
        <v>196</v>
      </c>
      <c r="R1015" s="37">
        <v>4722</v>
      </c>
      <c r="T1015" s="37" t="s">
        <v>166</v>
      </c>
      <c r="U1015" s="37" t="s">
        <v>166</v>
      </c>
      <c r="V1015" s="37" t="s">
        <v>166</v>
      </c>
      <c r="W1015" s="37" t="s">
        <v>18</v>
      </c>
      <c r="X1015" s="37" t="s">
        <v>166</v>
      </c>
      <c r="Y1015" s="37" t="s">
        <v>166</v>
      </c>
      <c r="Z1015" s="37" t="s">
        <v>22</v>
      </c>
      <c r="AA1015" s="37">
        <v>107</v>
      </c>
      <c r="AB1015" s="37">
        <v>18</v>
      </c>
      <c r="AC1015" s="37" t="s">
        <v>296</v>
      </c>
      <c r="AD1015" s="37" t="s">
        <v>1803</v>
      </c>
      <c r="AF1015" s="37" t="s">
        <v>1805</v>
      </c>
    </row>
    <row r="1016" spans="3:32" x14ac:dyDescent="0.2">
      <c r="G1016" s="37" t="s">
        <v>166</v>
      </c>
      <c r="H1016" s="37" t="s">
        <v>166</v>
      </c>
      <c r="I1016" s="37" t="s">
        <v>166</v>
      </c>
      <c r="J1016" s="37" t="s">
        <v>18</v>
      </c>
      <c r="K1016" s="37">
        <v>217</v>
      </c>
      <c r="L1016" s="37">
        <v>241</v>
      </c>
      <c r="M1016" s="37">
        <v>10</v>
      </c>
      <c r="N1016" s="37">
        <v>468</v>
      </c>
      <c r="O1016" s="37">
        <v>146</v>
      </c>
      <c r="P1016" s="37">
        <v>80</v>
      </c>
      <c r="Q1016" s="37">
        <v>694</v>
      </c>
      <c r="R1016" s="37">
        <v>8764</v>
      </c>
      <c r="T1016" s="37" t="s">
        <v>166</v>
      </c>
      <c r="U1016" s="37" t="s">
        <v>166</v>
      </c>
      <c r="V1016" s="37" t="s">
        <v>166</v>
      </c>
      <c r="W1016" s="37" t="s">
        <v>18</v>
      </c>
      <c r="X1016" s="37" t="s">
        <v>166</v>
      </c>
      <c r="Y1016" s="37" t="s">
        <v>166</v>
      </c>
      <c r="Z1016" s="37" t="s">
        <v>22</v>
      </c>
      <c r="AA1016" s="37">
        <v>107</v>
      </c>
      <c r="AB1016" s="37">
        <v>18</v>
      </c>
      <c r="AC1016" s="37" t="s">
        <v>296</v>
      </c>
      <c r="AD1016" s="37" t="s">
        <v>1803</v>
      </c>
      <c r="AF1016" s="37" t="s">
        <v>1806</v>
      </c>
    </row>
    <row r="1017" spans="3:32" x14ac:dyDescent="0.2">
      <c r="C1017" s="37" t="s">
        <v>22</v>
      </c>
      <c r="D1017" s="37">
        <v>107</v>
      </c>
      <c r="E1017" s="37">
        <v>18</v>
      </c>
      <c r="F1017" s="37">
        <v>2</v>
      </c>
      <c r="G1017" s="37">
        <v>3.1</v>
      </c>
      <c r="H1017" s="37" t="s">
        <v>181</v>
      </c>
      <c r="I1017" s="37" t="s">
        <v>23</v>
      </c>
      <c r="J1017" s="37" t="s">
        <v>17</v>
      </c>
      <c r="K1017" s="37">
        <v>2</v>
      </c>
      <c r="L1017" s="37">
        <v>28</v>
      </c>
      <c r="M1017" s="37">
        <v>9</v>
      </c>
      <c r="N1017" s="37">
        <v>39</v>
      </c>
      <c r="O1017" s="37">
        <v>13</v>
      </c>
      <c r="P1017" s="37">
        <v>7</v>
      </c>
      <c r="Q1017" s="37">
        <v>59</v>
      </c>
      <c r="R1017" s="37">
        <v>2917</v>
      </c>
      <c r="T1017" s="37" t="s">
        <v>181</v>
      </c>
      <c r="U1017" s="37" t="s">
        <v>200</v>
      </c>
      <c r="V1017" s="37">
        <v>50</v>
      </c>
      <c r="W1017" s="37" t="s">
        <v>18</v>
      </c>
      <c r="X1017" s="37" t="s">
        <v>190</v>
      </c>
      <c r="Y1017" s="37">
        <v>620</v>
      </c>
      <c r="Z1017" s="37" t="s">
        <v>22</v>
      </c>
      <c r="AA1017" s="37">
        <v>107</v>
      </c>
      <c r="AB1017" s="37">
        <v>18</v>
      </c>
      <c r="AC1017" s="37">
        <v>2</v>
      </c>
      <c r="AD1017" s="37" t="s">
        <v>1807</v>
      </c>
      <c r="AF1017" s="37" t="s">
        <v>1808</v>
      </c>
    </row>
    <row r="1018" spans="3:32" x14ac:dyDescent="0.2">
      <c r="G1018" s="37" t="s">
        <v>166</v>
      </c>
      <c r="H1018" s="37" t="s">
        <v>166</v>
      </c>
      <c r="I1018" s="37" t="s">
        <v>166</v>
      </c>
      <c r="J1018" s="37" t="s">
        <v>19</v>
      </c>
      <c r="K1018" s="37">
        <v>1</v>
      </c>
      <c r="L1018" s="37">
        <v>48</v>
      </c>
      <c r="M1018" s="37">
        <v>16</v>
      </c>
      <c r="N1018" s="37">
        <v>65</v>
      </c>
      <c r="O1018" s="37">
        <v>42</v>
      </c>
      <c r="P1018" s="37">
        <v>11</v>
      </c>
      <c r="Q1018" s="37">
        <v>118</v>
      </c>
      <c r="R1018" s="37">
        <v>2863</v>
      </c>
      <c r="T1018" s="37" t="s">
        <v>166</v>
      </c>
      <c r="U1018" s="37" t="s">
        <v>166</v>
      </c>
      <c r="V1018" s="37" t="s">
        <v>166</v>
      </c>
      <c r="W1018" s="37" t="s">
        <v>18</v>
      </c>
      <c r="X1018" s="37" t="s">
        <v>166</v>
      </c>
      <c r="Y1018" s="37" t="s">
        <v>166</v>
      </c>
      <c r="Z1018" s="37" t="s">
        <v>22</v>
      </c>
      <c r="AA1018" s="37">
        <v>107</v>
      </c>
      <c r="AB1018" s="37">
        <v>18</v>
      </c>
      <c r="AC1018" s="37">
        <v>2</v>
      </c>
      <c r="AD1018" s="37" t="s">
        <v>1807</v>
      </c>
      <c r="AF1018" s="37" t="s">
        <v>1809</v>
      </c>
    </row>
    <row r="1019" spans="3:32" x14ac:dyDescent="0.2">
      <c r="G1019" s="37" t="s">
        <v>166</v>
      </c>
      <c r="H1019" s="37" t="s">
        <v>166</v>
      </c>
      <c r="I1019" s="37" t="s">
        <v>166</v>
      </c>
      <c r="J1019" s="37" t="s">
        <v>18</v>
      </c>
      <c r="K1019" s="37">
        <v>126</v>
      </c>
      <c r="L1019" s="37">
        <v>148</v>
      </c>
      <c r="M1019" s="37">
        <v>9</v>
      </c>
      <c r="N1019" s="37">
        <v>283</v>
      </c>
      <c r="O1019" s="37">
        <v>88</v>
      </c>
      <c r="P1019" s="37">
        <v>48</v>
      </c>
      <c r="Q1019" s="37">
        <v>419</v>
      </c>
      <c r="R1019" s="37">
        <v>5252</v>
      </c>
      <c r="T1019" s="37" t="s">
        <v>166</v>
      </c>
      <c r="U1019" s="37" t="s">
        <v>166</v>
      </c>
      <c r="V1019" s="37" t="s">
        <v>166</v>
      </c>
      <c r="W1019" s="37" t="s">
        <v>18</v>
      </c>
      <c r="X1019" s="37" t="s">
        <v>166</v>
      </c>
      <c r="Y1019" s="37" t="s">
        <v>166</v>
      </c>
      <c r="Z1019" s="37" t="s">
        <v>22</v>
      </c>
      <c r="AA1019" s="37">
        <v>107</v>
      </c>
      <c r="AB1019" s="37">
        <v>18</v>
      </c>
      <c r="AC1019" s="37">
        <v>2</v>
      </c>
      <c r="AD1019" s="37" t="s">
        <v>1807</v>
      </c>
      <c r="AF1019" s="37" t="s">
        <v>1810</v>
      </c>
    </row>
    <row r="1020" spans="3:32" x14ac:dyDescent="0.2">
      <c r="C1020" s="37" t="s">
        <v>22</v>
      </c>
      <c r="D1020" s="37">
        <v>108</v>
      </c>
      <c r="E1020" s="37">
        <v>19</v>
      </c>
      <c r="F1020" s="37" t="s">
        <v>296</v>
      </c>
      <c r="G1020" s="37">
        <v>3</v>
      </c>
      <c r="H1020" s="37" t="s">
        <v>181</v>
      </c>
      <c r="I1020" s="37" t="s">
        <v>23</v>
      </c>
      <c r="J1020" s="37" t="s">
        <v>17</v>
      </c>
      <c r="K1020" s="37">
        <v>5</v>
      </c>
      <c r="L1020" s="37">
        <v>34</v>
      </c>
      <c r="M1020" s="37">
        <v>12</v>
      </c>
      <c r="N1020" s="37">
        <v>51</v>
      </c>
      <c r="O1020" s="37">
        <v>18</v>
      </c>
      <c r="P1020" s="37">
        <v>10</v>
      </c>
      <c r="Q1020" s="37">
        <v>79</v>
      </c>
      <c r="R1020" s="37">
        <v>3897</v>
      </c>
      <c r="T1020" s="37" t="s">
        <v>181</v>
      </c>
      <c r="U1020" s="37" t="s">
        <v>189</v>
      </c>
      <c r="V1020" s="37">
        <v>60</v>
      </c>
      <c r="W1020" s="37" t="s">
        <v>18</v>
      </c>
      <c r="X1020" s="37" t="s">
        <v>190</v>
      </c>
      <c r="Y1020" s="37">
        <v>720</v>
      </c>
      <c r="Z1020" s="37" t="s">
        <v>22</v>
      </c>
      <c r="AA1020" s="37">
        <v>108</v>
      </c>
      <c r="AB1020" s="37">
        <v>19</v>
      </c>
      <c r="AC1020" s="37" t="s">
        <v>296</v>
      </c>
      <c r="AD1020" s="37" t="s">
        <v>1811</v>
      </c>
      <c r="AF1020" s="37" t="s">
        <v>1812</v>
      </c>
    </row>
    <row r="1021" spans="3:32" x14ac:dyDescent="0.2">
      <c r="G1021" s="37" t="s">
        <v>166</v>
      </c>
      <c r="H1021" s="37" t="s">
        <v>166</v>
      </c>
      <c r="I1021" s="37" t="s">
        <v>166</v>
      </c>
      <c r="J1021" s="37" t="s">
        <v>18</v>
      </c>
      <c r="K1021" s="37">
        <v>221</v>
      </c>
      <c r="L1021" s="37">
        <v>193</v>
      </c>
      <c r="M1021" s="37">
        <v>13</v>
      </c>
      <c r="N1021" s="37">
        <v>427</v>
      </c>
      <c r="O1021" s="37">
        <v>135</v>
      </c>
      <c r="P1021" s="37">
        <v>73</v>
      </c>
      <c r="Q1021" s="37">
        <v>635</v>
      </c>
      <c r="R1021" s="37">
        <v>8080</v>
      </c>
      <c r="T1021" s="37" t="s">
        <v>166</v>
      </c>
      <c r="U1021" s="37" t="s">
        <v>166</v>
      </c>
      <c r="V1021" s="37" t="s">
        <v>166</v>
      </c>
      <c r="W1021" s="37" t="s">
        <v>18</v>
      </c>
      <c r="X1021" s="37" t="s">
        <v>166</v>
      </c>
      <c r="Y1021" s="37" t="s">
        <v>166</v>
      </c>
      <c r="Z1021" s="37" t="s">
        <v>22</v>
      </c>
      <c r="AA1021" s="37">
        <v>108</v>
      </c>
      <c r="AB1021" s="37">
        <v>19</v>
      </c>
      <c r="AC1021" s="37" t="s">
        <v>296</v>
      </c>
      <c r="AD1021" s="37" t="s">
        <v>1811</v>
      </c>
      <c r="AF1021" s="37" t="s">
        <v>1813</v>
      </c>
    </row>
    <row r="1022" spans="3:32" x14ac:dyDescent="0.2">
      <c r="C1022" s="37" t="s">
        <v>22</v>
      </c>
      <c r="D1022" s="37">
        <v>108</v>
      </c>
      <c r="E1022" s="37">
        <v>20</v>
      </c>
      <c r="F1022" s="37">
        <v>2</v>
      </c>
      <c r="G1022" s="37">
        <v>2.4</v>
      </c>
      <c r="H1022" s="37" t="s">
        <v>181</v>
      </c>
      <c r="I1022" s="37" t="s">
        <v>23</v>
      </c>
      <c r="J1022" s="37" t="s">
        <v>17</v>
      </c>
      <c r="K1022" s="37">
        <v>6</v>
      </c>
      <c r="L1022" s="37">
        <v>43</v>
      </c>
      <c r="M1022" s="37">
        <v>17</v>
      </c>
      <c r="N1022" s="37">
        <v>66</v>
      </c>
      <c r="O1022" s="37">
        <v>21</v>
      </c>
      <c r="P1022" s="37">
        <v>12</v>
      </c>
      <c r="Q1022" s="37">
        <v>99</v>
      </c>
      <c r="R1022" s="37">
        <v>4922</v>
      </c>
      <c r="T1022" s="37" t="s">
        <v>181</v>
      </c>
      <c r="U1022" s="37" t="s">
        <v>226</v>
      </c>
      <c r="V1022" s="37">
        <v>45</v>
      </c>
      <c r="W1022" s="37" t="s">
        <v>18</v>
      </c>
      <c r="X1022" s="37" t="s">
        <v>190</v>
      </c>
      <c r="Y1022" s="37">
        <v>504</v>
      </c>
      <c r="Z1022" s="37" t="s">
        <v>22</v>
      </c>
      <c r="AA1022" s="37">
        <v>108</v>
      </c>
      <c r="AB1022" s="37">
        <v>20</v>
      </c>
      <c r="AC1022" s="37">
        <v>2</v>
      </c>
      <c r="AD1022" s="37" t="s">
        <v>1814</v>
      </c>
      <c r="AF1022" s="37" t="s">
        <v>1815</v>
      </c>
    </row>
    <row r="1023" spans="3:32" x14ac:dyDescent="0.2">
      <c r="G1023" s="37" t="s">
        <v>166</v>
      </c>
      <c r="H1023" s="37" t="s">
        <v>166</v>
      </c>
      <c r="I1023" s="37" t="s">
        <v>166</v>
      </c>
      <c r="J1023" s="37" t="s">
        <v>18</v>
      </c>
      <c r="K1023" s="37">
        <v>94</v>
      </c>
      <c r="L1023" s="37">
        <v>129</v>
      </c>
      <c r="M1023" s="37">
        <v>8</v>
      </c>
      <c r="N1023" s="37">
        <v>231</v>
      </c>
      <c r="O1023" s="37">
        <v>80</v>
      </c>
      <c r="P1023" s="37">
        <v>41</v>
      </c>
      <c r="Q1023" s="37">
        <v>352</v>
      </c>
      <c r="R1023" s="37">
        <v>4240</v>
      </c>
      <c r="T1023" s="37" t="s">
        <v>166</v>
      </c>
      <c r="U1023" s="37" t="s">
        <v>166</v>
      </c>
      <c r="V1023" s="37" t="s">
        <v>166</v>
      </c>
      <c r="W1023" s="37" t="s">
        <v>18</v>
      </c>
      <c r="X1023" s="37" t="s">
        <v>166</v>
      </c>
      <c r="Y1023" s="37" t="s">
        <v>166</v>
      </c>
      <c r="Z1023" s="37" t="s">
        <v>22</v>
      </c>
      <c r="AA1023" s="37">
        <v>108</v>
      </c>
      <c r="AB1023" s="37">
        <v>20</v>
      </c>
      <c r="AC1023" s="37">
        <v>2</v>
      </c>
      <c r="AD1023" s="37" t="s">
        <v>1814</v>
      </c>
      <c r="AF1023" s="37" t="s">
        <v>1816</v>
      </c>
    </row>
    <row r="1024" spans="3:32" x14ac:dyDescent="0.2">
      <c r="C1024" s="37" t="s">
        <v>22</v>
      </c>
      <c r="D1024" s="37">
        <v>115</v>
      </c>
      <c r="E1024" s="37">
        <v>6</v>
      </c>
      <c r="F1024" s="37" t="s">
        <v>296</v>
      </c>
      <c r="G1024" s="37">
        <v>4</v>
      </c>
      <c r="H1024" s="37" t="s">
        <v>181</v>
      </c>
      <c r="I1024" s="37" t="s">
        <v>23</v>
      </c>
      <c r="J1024" s="37" t="s">
        <v>17</v>
      </c>
      <c r="K1024" s="37">
        <v>0</v>
      </c>
      <c r="L1024" s="37">
        <v>0</v>
      </c>
      <c r="M1024" s="37">
        <v>0</v>
      </c>
      <c r="N1024" s="37">
        <v>0</v>
      </c>
      <c r="O1024" s="37">
        <v>0</v>
      </c>
      <c r="P1024" s="37">
        <v>0</v>
      </c>
      <c r="Q1024" s="37">
        <v>0</v>
      </c>
      <c r="R1024" s="37">
        <v>0</v>
      </c>
      <c r="T1024" s="37" t="s">
        <v>181</v>
      </c>
      <c r="U1024" s="37" t="s">
        <v>225</v>
      </c>
      <c r="V1024" s="37">
        <v>45</v>
      </c>
      <c r="W1024" s="37" t="s">
        <v>18</v>
      </c>
      <c r="X1024" s="37" t="s">
        <v>190</v>
      </c>
      <c r="Y1024" s="37">
        <v>720</v>
      </c>
      <c r="Z1024" s="37" t="s">
        <v>22</v>
      </c>
      <c r="AA1024" s="37">
        <v>115</v>
      </c>
      <c r="AB1024" s="37">
        <v>6</v>
      </c>
      <c r="AC1024" s="37" t="s">
        <v>296</v>
      </c>
      <c r="AD1024" s="37" t="s">
        <v>1817</v>
      </c>
      <c r="AF1024" s="37" t="s">
        <v>1818</v>
      </c>
    </row>
    <row r="1025" spans="3:32" x14ac:dyDescent="0.2">
      <c r="G1025" s="37" t="s">
        <v>166</v>
      </c>
      <c r="H1025" s="37" t="s">
        <v>166</v>
      </c>
      <c r="I1025" s="37" t="s">
        <v>166</v>
      </c>
      <c r="J1025" s="37" t="s">
        <v>18</v>
      </c>
      <c r="K1025" s="37">
        <v>184</v>
      </c>
      <c r="L1025" s="37">
        <v>267</v>
      </c>
      <c r="M1025" s="37">
        <v>18</v>
      </c>
      <c r="N1025" s="37">
        <v>469</v>
      </c>
      <c r="O1025" s="37">
        <v>160</v>
      </c>
      <c r="P1025" s="37">
        <v>85</v>
      </c>
      <c r="Q1025" s="37">
        <v>714</v>
      </c>
      <c r="R1025" s="37">
        <v>8546</v>
      </c>
      <c r="T1025" s="37" t="s">
        <v>166</v>
      </c>
      <c r="U1025" s="37" t="s">
        <v>166</v>
      </c>
      <c r="V1025" s="37" t="s">
        <v>166</v>
      </c>
      <c r="W1025" s="37" t="s">
        <v>18</v>
      </c>
      <c r="X1025" s="37" t="s">
        <v>166</v>
      </c>
      <c r="Y1025" s="37" t="s">
        <v>166</v>
      </c>
      <c r="Z1025" s="37" t="s">
        <v>22</v>
      </c>
      <c r="AA1025" s="37">
        <v>115</v>
      </c>
      <c r="AB1025" s="37">
        <v>6</v>
      </c>
      <c r="AC1025" s="37" t="s">
        <v>296</v>
      </c>
      <c r="AD1025" s="37" t="s">
        <v>1817</v>
      </c>
      <c r="AF1025" s="37" t="s">
        <v>1819</v>
      </c>
    </row>
    <row r="1026" spans="3:32" x14ac:dyDescent="0.2">
      <c r="C1026" s="37" t="s">
        <v>22</v>
      </c>
      <c r="D1026" s="37">
        <v>115</v>
      </c>
      <c r="E1026" s="37">
        <v>6</v>
      </c>
      <c r="F1026" s="37">
        <v>2</v>
      </c>
      <c r="G1026" s="37">
        <v>3.2</v>
      </c>
      <c r="H1026" s="37" t="s">
        <v>181</v>
      </c>
      <c r="I1026" s="37" t="s">
        <v>23</v>
      </c>
      <c r="J1026" s="37" t="s">
        <v>17</v>
      </c>
      <c r="K1026" s="37">
        <v>0</v>
      </c>
      <c r="L1026" s="37">
        <v>0</v>
      </c>
      <c r="M1026" s="37">
        <v>0</v>
      </c>
      <c r="N1026" s="37">
        <v>0</v>
      </c>
      <c r="O1026" s="37">
        <v>0</v>
      </c>
      <c r="P1026" s="37">
        <v>0</v>
      </c>
      <c r="Q1026" s="37">
        <v>0</v>
      </c>
      <c r="R1026" s="37">
        <v>0</v>
      </c>
      <c r="T1026" s="37" t="s">
        <v>181</v>
      </c>
      <c r="U1026" s="37" t="s">
        <v>225</v>
      </c>
      <c r="V1026" s="37">
        <v>45</v>
      </c>
      <c r="W1026" s="37" t="s">
        <v>18</v>
      </c>
      <c r="X1026" s="37" t="s">
        <v>190</v>
      </c>
      <c r="Y1026" s="37">
        <v>576</v>
      </c>
      <c r="Z1026" s="37" t="s">
        <v>22</v>
      </c>
      <c r="AA1026" s="37">
        <v>115</v>
      </c>
      <c r="AB1026" s="37">
        <v>6</v>
      </c>
      <c r="AC1026" s="37">
        <v>2</v>
      </c>
      <c r="AD1026" s="37" t="s">
        <v>1820</v>
      </c>
      <c r="AF1026" s="37" t="s">
        <v>1821</v>
      </c>
    </row>
    <row r="1027" spans="3:32" x14ac:dyDescent="0.2">
      <c r="G1027" s="37" t="s">
        <v>166</v>
      </c>
      <c r="H1027" s="37" t="s">
        <v>166</v>
      </c>
      <c r="I1027" s="37" t="s">
        <v>166</v>
      </c>
      <c r="J1027" s="37" t="s">
        <v>18</v>
      </c>
      <c r="K1027" s="37">
        <v>121</v>
      </c>
      <c r="L1027" s="37">
        <v>218</v>
      </c>
      <c r="M1027" s="37">
        <v>16</v>
      </c>
      <c r="N1027" s="37">
        <v>355</v>
      </c>
      <c r="O1027" s="37">
        <v>135</v>
      </c>
      <c r="P1027" s="37">
        <v>68</v>
      </c>
      <c r="Q1027" s="37">
        <v>558</v>
      </c>
      <c r="R1027" s="37">
        <v>6376</v>
      </c>
      <c r="T1027" s="37" t="s">
        <v>166</v>
      </c>
      <c r="U1027" s="37" t="s">
        <v>166</v>
      </c>
      <c r="V1027" s="37" t="s">
        <v>166</v>
      </c>
      <c r="W1027" s="37" t="s">
        <v>18</v>
      </c>
      <c r="X1027" s="37" t="s">
        <v>166</v>
      </c>
      <c r="Y1027" s="37" t="s">
        <v>166</v>
      </c>
      <c r="Z1027" s="37" t="s">
        <v>22</v>
      </c>
      <c r="AA1027" s="37">
        <v>115</v>
      </c>
      <c r="AB1027" s="37">
        <v>6</v>
      </c>
      <c r="AC1027" s="37">
        <v>2</v>
      </c>
      <c r="AD1027" s="37" t="s">
        <v>1820</v>
      </c>
      <c r="AF1027" s="37" t="s">
        <v>1822</v>
      </c>
    </row>
    <row r="1028" spans="3:32" x14ac:dyDescent="0.2">
      <c r="C1028" s="37" t="s">
        <v>22</v>
      </c>
      <c r="D1028" s="37">
        <v>115</v>
      </c>
      <c r="E1028" s="37">
        <v>6</v>
      </c>
      <c r="F1028" s="37">
        <v>3</v>
      </c>
      <c r="G1028" s="37">
        <v>3.2</v>
      </c>
      <c r="H1028" s="37" t="s">
        <v>181</v>
      </c>
      <c r="I1028" s="37" t="s">
        <v>23</v>
      </c>
      <c r="J1028" s="37" t="s">
        <v>17</v>
      </c>
      <c r="K1028" s="37">
        <v>0</v>
      </c>
      <c r="L1028" s="37">
        <v>0</v>
      </c>
      <c r="M1028" s="37">
        <v>0</v>
      </c>
      <c r="N1028" s="37">
        <v>0</v>
      </c>
      <c r="O1028" s="37">
        <v>0</v>
      </c>
      <c r="P1028" s="37">
        <v>0</v>
      </c>
      <c r="Q1028" s="37">
        <v>0</v>
      </c>
      <c r="R1028" s="37">
        <v>0</v>
      </c>
      <c r="T1028" s="37" t="s">
        <v>181</v>
      </c>
      <c r="U1028" s="37" t="s">
        <v>225</v>
      </c>
      <c r="V1028" s="37">
        <v>45</v>
      </c>
      <c r="W1028" s="37" t="s">
        <v>18</v>
      </c>
      <c r="X1028" s="37" t="s">
        <v>190</v>
      </c>
      <c r="Y1028" s="37">
        <v>576</v>
      </c>
      <c r="Z1028" s="37" t="s">
        <v>22</v>
      </c>
      <c r="AA1028" s="37">
        <v>115</v>
      </c>
      <c r="AB1028" s="37">
        <v>6</v>
      </c>
      <c r="AC1028" s="37">
        <v>3</v>
      </c>
      <c r="AD1028" s="37" t="s">
        <v>1823</v>
      </c>
      <c r="AF1028" s="37" t="s">
        <v>1824</v>
      </c>
    </row>
    <row r="1029" spans="3:32" x14ac:dyDescent="0.2">
      <c r="G1029" s="37" t="s">
        <v>166</v>
      </c>
      <c r="H1029" s="37" t="s">
        <v>166</v>
      </c>
      <c r="I1029" s="37" t="s">
        <v>166</v>
      </c>
      <c r="J1029" s="37" t="s">
        <v>18</v>
      </c>
      <c r="K1029" s="37">
        <v>110</v>
      </c>
      <c r="L1029" s="37">
        <v>228</v>
      </c>
      <c r="M1029" s="37">
        <v>17</v>
      </c>
      <c r="N1029" s="37">
        <v>355</v>
      </c>
      <c r="O1029" s="37">
        <v>141</v>
      </c>
      <c r="P1029" s="37">
        <v>70</v>
      </c>
      <c r="Q1029" s="37">
        <v>566</v>
      </c>
      <c r="R1029" s="37">
        <v>6301</v>
      </c>
      <c r="T1029" s="37" t="s">
        <v>166</v>
      </c>
      <c r="U1029" s="37" t="s">
        <v>166</v>
      </c>
      <c r="V1029" s="37" t="s">
        <v>166</v>
      </c>
      <c r="W1029" s="37" t="s">
        <v>18</v>
      </c>
      <c r="X1029" s="37" t="s">
        <v>166</v>
      </c>
      <c r="Y1029" s="37" t="s">
        <v>166</v>
      </c>
      <c r="Z1029" s="37" t="s">
        <v>22</v>
      </c>
      <c r="AA1029" s="37">
        <v>115</v>
      </c>
      <c r="AB1029" s="37">
        <v>6</v>
      </c>
      <c r="AC1029" s="37">
        <v>3</v>
      </c>
      <c r="AD1029" s="37" t="s">
        <v>1823</v>
      </c>
      <c r="AF1029" s="37" t="s">
        <v>1825</v>
      </c>
    </row>
    <row r="1030" spans="3:32" x14ac:dyDescent="0.2">
      <c r="C1030" s="37" t="s">
        <v>27</v>
      </c>
      <c r="D1030" s="37">
        <v>2</v>
      </c>
      <c r="E1030" s="37">
        <v>19</v>
      </c>
      <c r="F1030" s="37" t="s">
        <v>296</v>
      </c>
      <c r="G1030" s="37">
        <v>1</v>
      </c>
      <c r="H1030" s="37" t="s">
        <v>181</v>
      </c>
      <c r="I1030" s="37" t="s">
        <v>23</v>
      </c>
      <c r="J1030" s="37" t="s">
        <v>17</v>
      </c>
      <c r="K1030" s="37">
        <v>0</v>
      </c>
      <c r="L1030" s="37">
        <v>0</v>
      </c>
      <c r="M1030" s="37">
        <v>0</v>
      </c>
      <c r="N1030" s="37">
        <v>0</v>
      </c>
      <c r="O1030" s="37">
        <v>0</v>
      </c>
      <c r="P1030" s="37">
        <v>0</v>
      </c>
      <c r="Q1030" s="37">
        <v>0</v>
      </c>
      <c r="R1030" s="37">
        <v>0</v>
      </c>
      <c r="T1030" s="37" t="s">
        <v>209</v>
      </c>
      <c r="U1030" s="37" t="s">
        <v>297</v>
      </c>
      <c r="V1030" s="37">
        <v>100</v>
      </c>
      <c r="W1030" s="37" t="s">
        <v>223</v>
      </c>
      <c r="X1030" s="37" t="s">
        <v>190</v>
      </c>
      <c r="Y1030" s="37">
        <v>190</v>
      </c>
      <c r="Z1030" s="37" t="s">
        <v>27</v>
      </c>
      <c r="AA1030" s="37">
        <v>2</v>
      </c>
      <c r="AB1030" s="37">
        <v>19</v>
      </c>
      <c r="AC1030" s="37" t="s">
        <v>296</v>
      </c>
      <c r="AD1030" s="37" t="s">
        <v>1826</v>
      </c>
      <c r="AF1030" s="37" t="s">
        <v>1827</v>
      </c>
    </row>
    <row r="1031" spans="3:32" x14ac:dyDescent="0.2">
      <c r="G1031" s="37" t="s">
        <v>166</v>
      </c>
      <c r="H1031" s="37" t="s">
        <v>166</v>
      </c>
      <c r="I1031" s="37" t="s">
        <v>166</v>
      </c>
      <c r="J1031" s="37" t="s">
        <v>223</v>
      </c>
      <c r="K1031" s="37">
        <v>108</v>
      </c>
      <c r="L1031" s="37">
        <v>52</v>
      </c>
      <c r="M1031" s="37">
        <v>4</v>
      </c>
      <c r="N1031" s="37">
        <v>164</v>
      </c>
      <c r="O1031" s="37">
        <v>26</v>
      </c>
      <c r="P1031" s="37">
        <v>24</v>
      </c>
      <c r="Q1031" s="37">
        <v>214</v>
      </c>
      <c r="R1031" s="37">
        <v>33000</v>
      </c>
      <c r="T1031" s="37" t="s">
        <v>166</v>
      </c>
      <c r="U1031" s="37" t="s">
        <v>166</v>
      </c>
      <c r="V1031" s="37" t="s">
        <v>166</v>
      </c>
      <c r="W1031" s="37" t="s">
        <v>223</v>
      </c>
      <c r="X1031" s="37" t="s">
        <v>166</v>
      </c>
      <c r="Y1031" s="37" t="s">
        <v>166</v>
      </c>
      <c r="Z1031" s="37" t="s">
        <v>27</v>
      </c>
      <c r="AA1031" s="37">
        <v>2</v>
      </c>
      <c r="AB1031" s="37">
        <v>19</v>
      </c>
      <c r="AC1031" s="37" t="s">
        <v>296</v>
      </c>
      <c r="AD1031" s="37" t="s">
        <v>1826</v>
      </c>
      <c r="AF1031" s="37" t="s">
        <v>1828</v>
      </c>
    </row>
    <row r="1032" spans="3:32" x14ac:dyDescent="0.2">
      <c r="C1032" s="37" t="s">
        <v>27</v>
      </c>
      <c r="D1032" s="37">
        <v>3</v>
      </c>
      <c r="E1032" s="37">
        <v>3</v>
      </c>
      <c r="F1032" s="37" t="s">
        <v>296</v>
      </c>
      <c r="G1032" s="37">
        <v>10</v>
      </c>
      <c r="H1032" s="37" t="s">
        <v>181</v>
      </c>
      <c r="I1032" s="37" t="s">
        <v>23</v>
      </c>
      <c r="J1032" s="37" t="s">
        <v>17</v>
      </c>
      <c r="K1032" s="37">
        <v>0</v>
      </c>
      <c r="L1032" s="37">
        <v>0</v>
      </c>
      <c r="M1032" s="37">
        <v>0</v>
      </c>
      <c r="N1032" s="37">
        <v>0</v>
      </c>
      <c r="O1032" s="37">
        <v>0</v>
      </c>
      <c r="P1032" s="37">
        <v>0</v>
      </c>
      <c r="Q1032" s="37">
        <v>0</v>
      </c>
      <c r="R1032" s="37">
        <v>0</v>
      </c>
      <c r="T1032" s="37" t="s">
        <v>181</v>
      </c>
      <c r="U1032" s="37" t="s">
        <v>261</v>
      </c>
      <c r="V1032" s="37">
        <v>75</v>
      </c>
      <c r="W1032" s="37" t="s">
        <v>19</v>
      </c>
      <c r="X1032" s="37" t="s">
        <v>190</v>
      </c>
      <c r="Y1032" s="37">
        <v>1900</v>
      </c>
      <c r="Z1032" s="37" t="s">
        <v>27</v>
      </c>
      <c r="AA1032" s="37">
        <v>3</v>
      </c>
      <c r="AB1032" s="37">
        <v>3</v>
      </c>
      <c r="AC1032" s="37" t="s">
        <v>296</v>
      </c>
      <c r="AD1032" s="37" t="s">
        <v>1829</v>
      </c>
      <c r="AF1032" s="37" t="s">
        <v>1830</v>
      </c>
    </row>
    <row r="1033" spans="3:32" x14ac:dyDescent="0.2">
      <c r="G1033" s="37" t="s">
        <v>166</v>
      </c>
      <c r="H1033" s="37" t="s">
        <v>166</v>
      </c>
      <c r="I1033" s="37" t="s">
        <v>166</v>
      </c>
      <c r="J1033" s="37" t="s">
        <v>19</v>
      </c>
      <c r="K1033" s="37">
        <v>270</v>
      </c>
      <c r="L1033" s="37">
        <v>725</v>
      </c>
      <c r="M1033" s="37">
        <v>59</v>
      </c>
      <c r="N1033" s="37">
        <v>1054</v>
      </c>
      <c r="O1033" s="37">
        <v>656</v>
      </c>
      <c r="P1033" s="37">
        <v>218</v>
      </c>
      <c r="Q1033" s="37">
        <v>1928</v>
      </c>
      <c r="R1033" s="37">
        <v>55864</v>
      </c>
      <c r="T1033" s="37" t="s">
        <v>166</v>
      </c>
      <c r="U1033" s="37" t="s">
        <v>166</v>
      </c>
      <c r="V1033" s="37" t="s">
        <v>166</v>
      </c>
      <c r="W1033" s="37" t="s">
        <v>19</v>
      </c>
      <c r="X1033" s="37" t="s">
        <v>166</v>
      </c>
      <c r="Y1033" s="37" t="s">
        <v>166</v>
      </c>
      <c r="Z1033" s="37" t="s">
        <v>27</v>
      </c>
      <c r="AA1033" s="37">
        <v>3</v>
      </c>
      <c r="AB1033" s="37">
        <v>3</v>
      </c>
      <c r="AC1033" s="37" t="s">
        <v>296</v>
      </c>
      <c r="AD1033" s="37" t="s">
        <v>1829</v>
      </c>
      <c r="AF1033" s="37" t="s">
        <v>1831</v>
      </c>
    </row>
    <row r="1034" spans="3:32" x14ac:dyDescent="0.2">
      <c r="C1034" s="37" t="s">
        <v>27</v>
      </c>
      <c r="D1034" s="37">
        <v>4</v>
      </c>
      <c r="E1034" s="37">
        <v>1</v>
      </c>
      <c r="F1034" s="37" t="s">
        <v>296</v>
      </c>
      <c r="G1034" s="37">
        <v>10</v>
      </c>
      <c r="H1034" s="37" t="s">
        <v>181</v>
      </c>
      <c r="I1034" s="37" t="s">
        <v>23</v>
      </c>
      <c r="J1034" s="37" t="s">
        <v>17</v>
      </c>
      <c r="K1034" s="37">
        <v>0</v>
      </c>
      <c r="L1034" s="37">
        <v>0</v>
      </c>
      <c r="M1034" s="37">
        <v>0</v>
      </c>
      <c r="N1034" s="37">
        <v>0</v>
      </c>
      <c r="O1034" s="37">
        <v>0</v>
      </c>
      <c r="P1034" s="37">
        <v>0</v>
      </c>
      <c r="Q1034" s="37">
        <v>0</v>
      </c>
      <c r="R1034" s="37">
        <v>0</v>
      </c>
      <c r="T1034" s="37" t="s">
        <v>181</v>
      </c>
      <c r="U1034" s="37" t="s">
        <v>282</v>
      </c>
      <c r="V1034" s="37">
        <v>75</v>
      </c>
      <c r="W1034" s="37" t="s">
        <v>19</v>
      </c>
      <c r="X1034" s="37" t="s">
        <v>190</v>
      </c>
      <c r="Y1034" s="37">
        <v>1900</v>
      </c>
      <c r="Z1034" s="37" t="s">
        <v>27</v>
      </c>
      <c r="AA1034" s="37">
        <v>4</v>
      </c>
      <c r="AB1034" s="37">
        <v>1</v>
      </c>
      <c r="AC1034" s="37" t="s">
        <v>296</v>
      </c>
      <c r="AD1034" s="37" t="s">
        <v>1832</v>
      </c>
      <c r="AF1034" s="37" t="s">
        <v>1833</v>
      </c>
    </row>
    <row r="1035" spans="3:32" x14ac:dyDescent="0.2">
      <c r="G1035" s="37" t="s">
        <v>166</v>
      </c>
      <c r="H1035" s="37" t="s">
        <v>166</v>
      </c>
      <c r="I1035" s="37" t="s">
        <v>166</v>
      </c>
      <c r="J1035" s="37" t="s">
        <v>19</v>
      </c>
      <c r="K1035" s="37">
        <v>309</v>
      </c>
      <c r="L1035" s="37">
        <v>722</v>
      </c>
      <c r="M1035" s="37">
        <v>55</v>
      </c>
      <c r="N1035" s="37">
        <v>1086</v>
      </c>
      <c r="O1035" s="37">
        <v>713</v>
      </c>
      <c r="P1035" s="37">
        <v>234</v>
      </c>
      <c r="Q1035" s="37">
        <v>2033</v>
      </c>
      <c r="R1035" s="37">
        <v>58340</v>
      </c>
      <c r="T1035" s="37" t="s">
        <v>166</v>
      </c>
      <c r="U1035" s="37" t="s">
        <v>166</v>
      </c>
      <c r="V1035" s="37" t="s">
        <v>166</v>
      </c>
      <c r="W1035" s="37" t="s">
        <v>19</v>
      </c>
      <c r="X1035" s="37" t="s">
        <v>166</v>
      </c>
      <c r="Y1035" s="37" t="s">
        <v>166</v>
      </c>
      <c r="Z1035" s="37" t="s">
        <v>27</v>
      </c>
      <c r="AA1035" s="37">
        <v>4</v>
      </c>
      <c r="AB1035" s="37">
        <v>1</v>
      </c>
      <c r="AC1035" s="37" t="s">
        <v>296</v>
      </c>
      <c r="AD1035" s="37" t="s">
        <v>1832</v>
      </c>
      <c r="AF1035" s="37" t="s">
        <v>1834</v>
      </c>
    </row>
    <row r="1036" spans="3:32" x14ac:dyDescent="0.2">
      <c r="C1036" s="37" t="s">
        <v>27</v>
      </c>
      <c r="D1036" s="37">
        <v>4</v>
      </c>
      <c r="E1036" s="37">
        <v>1</v>
      </c>
      <c r="F1036" s="37">
        <v>2</v>
      </c>
      <c r="G1036" s="37">
        <v>10</v>
      </c>
      <c r="H1036" s="37" t="s">
        <v>181</v>
      </c>
      <c r="I1036" s="37" t="s">
        <v>23</v>
      </c>
      <c r="J1036" s="37" t="s">
        <v>17</v>
      </c>
      <c r="K1036" s="37">
        <v>0</v>
      </c>
      <c r="L1036" s="37">
        <v>0</v>
      </c>
      <c r="M1036" s="37">
        <v>0</v>
      </c>
      <c r="N1036" s="37">
        <v>0</v>
      </c>
      <c r="O1036" s="37">
        <v>0</v>
      </c>
      <c r="P1036" s="37">
        <v>0</v>
      </c>
      <c r="Q1036" s="37">
        <v>0</v>
      </c>
      <c r="R1036" s="37">
        <v>0</v>
      </c>
      <c r="T1036" s="37" t="s">
        <v>181</v>
      </c>
      <c r="U1036" s="37" t="s">
        <v>282</v>
      </c>
      <c r="V1036" s="37">
        <v>75</v>
      </c>
      <c r="W1036" s="37" t="s">
        <v>19</v>
      </c>
      <c r="X1036" s="37" t="s">
        <v>190</v>
      </c>
      <c r="Y1036" s="37">
        <v>1900</v>
      </c>
      <c r="Z1036" s="37" t="s">
        <v>27</v>
      </c>
      <c r="AA1036" s="37">
        <v>4</v>
      </c>
      <c r="AB1036" s="37">
        <v>1</v>
      </c>
      <c r="AC1036" s="37">
        <v>2</v>
      </c>
      <c r="AD1036" s="37" t="s">
        <v>1835</v>
      </c>
      <c r="AF1036" s="37" t="s">
        <v>1836</v>
      </c>
    </row>
    <row r="1037" spans="3:32" x14ac:dyDescent="0.2">
      <c r="G1037" s="37" t="s">
        <v>166</v>
      </c>
      <c r="H1037" s="37" t="s">
        <v>166</v>
      </c>
      <c r="I1037" s="37" t="s">
        <v>166</v>
      </c>
      <c r="J1037" s="37" t="s">
        <v>19</v>
      </c>
      <c r="K1037" s="37">
        <v>296</v>
      </c>
      <c r="L1037" s="37">
        <v>719</v>
      </c>
      <c r="M1037" s="37">
        <v>56</v>
      </c>
      <c r="N1037" s="37">
        <v>1071</v>
      </c>
      <c r="O1037" s="37">
        <v>730</v>
      </c>
      <c r="P1037" s="37">
        <v>233</v>
      </c>
      <c r="Q1037" s="37">
        <v>2034</v>
      </c>
      <c r="R1037" s="37">
        <v>57358</v>
      </c>
      <c r="T1037" s="37" t="s">
        <v>166</v>
      </c>
      <c r="U1037" s="37" t="s">
        <v>166</v>
      </c>
      <c r="V1037" s="37" t="s">
        <v>166</v>
      </c>
      <c r="W1037" s="37" t="s">
        <v>19</v>
      </c>
      <c r="X1037" s="37" t="s">
        <v>166</v>
      </c>
      <c r="Y1037" s="37" t="s">
        <v>166</v>
      </c>
      <c r="Z1037" s="37" t="s">
        <v>27</v>
      </c>
      <c r="AA1037" s="37">
        <v>4</v>
      </c>
      <c r="AB1037" s="37">
        <v>1</v>
      </c>
      <c r="AC1037" s="37">
        <v>2</v>
      </c>
      <c r="AD1037" s="37" t="s">
        <v>1835</v>
      </c>
      <c r="AF1037" s="37" t="s">
        <v>1837</v>
      </c>
    </row>
    <row r="1038" spans="3:32" x14ac:dyDescent="0.2">
      <c r="C1038" s="37" t="s">
        <v>27</v>
      </c>
      <c r="D1038" s="37">
        <v>7</v>
      </c>
      <c r="E1038" s="37">
        <v>10</v>
      </c>
      <c r="F1038" s="37" t="s">
        <v>296</v>
      </c>
      <c r="G1038" s="37">
        <v>4.5</v>
      </c>
      <c r="H1038" s="37" t="s">
        <v>181</v>
      </c>
      <c r="I1038" s="37" t="s">
        <v>23</v>
      </c>
      <c r="J1038" s="37" t="s">
        <v>17</v>
      </c>
      <c r="K1038" s="37">
        <v>0</v>
      </c>
      <c r="L1038" s="37">
        <v>0</v>
      </c>
      <c r="M1038" s="37">
        <v>0</v>
      </c>
      <c r="N1038" s="37">
        <v>0</v>
      </c>
      <c r="O1038" s="37">
        <v>0</v>
      </c>
      <c r="P1038" s="37">
        <v>0</v>
      </c>
      <c r="Q1038" s="37">
        <v>0</v>
      </c>
      <c r="R1038" s="37">
        <v>0</v>
      </c>
      <c r="T1038" s="37" t="s">
        <v>181</v>
      </c>
      <c r="U1038" s="37" t="s">
        <v>189</v>
      </c>
      <c r="V1038" s="37">
        <v>45</v>
      </c>
      <c r="W1038" s="37" t="s">
        <v>18</v>
      </c>
      <c r="X1038" s="37" t="s">
        <v>190</v>
      </c>
      <c r="Y1038" s="37">
        <v>990</v>
      </c>
      <c r="Z1038" s="37" t="s">
        <v>27</v>
      </c>
      <c r="AA1038" s="37">
        <v>7</v>
      </c>
      <c r="AB1038" s="37">
        <v>10</v>
      </c>
      <c r="AC1038" s="37" t="s">
        <v>296</v>
      </c>
      <c r="AD1038" s="37" t="s">
        <v>1838</v>
      </c>
      <c r="AF1038" s="37" t="s">
        <v>1839</v>
      </c>
    </row>
    <row r="1039" spans="3:32" x14ac:dyDescent="0.2">
      <c r="G1039" s="37" t="s">
        <v>166</v>
      </c>
      <c r="H1039" s="37" t="s">
        <v>166</v>
      </c>
      <c r="I1039" s="37" t="s">
        <v>166</v>
      </c>
      <c r="J1039" s="37" t="s">
        <v>18</v>
      </c>
      <c r="K1039" s="37">
        <v>463</v>
      </c>
      <c r="L1039" s="37">
        <v>228</v>
      </c>
      <c r="M1039" s="37">
        <v>0</v>
      </c>
      <c r="N1039" s="37">
        <v>691</v>
      </c>
      <c r="O1039" s="37">
        <v>209</v>
      </c>
      <c r="P1039" s="37">
        <v>116</v>
      </c>
      <c r="Q1039" s="37">
        <v>1016</v>
      </c>
      <c r="R1039" s="37">
        <v>13780</v>
      </c>
      <c r="T1039" s="37" t="s">
        <v>166</v>
      </c>
      <c r="U1039" s="37" t="s">
        <v>166</v>
      </c>
      <c r="V1039" s="37" t="s">
        <v>166</v>
      </c>
      <c r="W1039" s="37" t="s">
        <v>18</v>
      </c>
      <c r="X1039" s="37" t="s">
        <v>166</v>
      </c>
      <c r="Y1039" s="37" t="s">
        <v>166</v>
      </c>
      <c r="Z1039" s="37" t="s">
        <v>27</v>
      </c>
      <c r="AA1039" s="37">
        <v>7</v>
      </c>
      <c r="AB1039" s="37">
        <v>10</v>
      </c>
      <c r="AC1039" s="37" t="s">
        <v>296</v>
      </c>
      <c r="AD1039" s="37" t="s">
        <v>1838</v>
      </c>
      <c r="AF1039" s="37" t="s">
        <v>1840</v>
      </c>
    </row>
    <row r="1040" spans="3:32" x14ac:dyDescent="0.2">
      <c r="C1040" s="37" t="s">
        <v>27</v>
      </c>
      <c r="D1040" s="37">
        <v>8</v>
      </c>
      <c r="E1040" s="37">
        <v>6</v>
      </c>
      <c r="F1040" s="37" t="s">
        <v>296</v>
      </c>
      <c r="G1040" s="37">
        <v>10</v>
      </c>
      <c r="H1040" s="37" t="s">
        <v>181</v>
      </c>
      <c r="I1040" s="37" t="s">
        <v>23</v>
      </c>
      <c r="J1040" s="37" t="s">
        <v>17</v>
      </c>
      <c r="K1040" s="37">
        <v>462</v>
      </c>
      <c r="L1040" s="37">
        <v>647</v>
      </c>
      <c r="M1040" s="37">
        <v>81</v>
      </c>
      <c r="N1040" s="37">
        <v>1190</v>
      </c>
      <c r="O1040" s="37">
        <v>431</v>
      </c>
      <c r="P1040" s="37">
        <v>233</v>
      </c>
      <c r="Q1040" s="37">
        <v>1854</v>
      </c>
      <c r="R1040" s="37">
        <v>110276</v>
      </c>
      <c r="T1040" s="37" t="s">
        <v>181</v>
      </c>
      <c r="U1040" s="37" t="s">
        <v>216</v>
      </c>
      <c r="V1040" s="37">
        <v>65</v>
      </c>
      <c r="W1040" s="37" t="s">
        <v>17</v>
      </c>
      <c r="X1040" s="37" t="s">
        <v>190</v>
      </c>
      <c r="Y1040" s="37">
        <v>1800</v>
      </c>
      <c r="Z1040" s="37" t="s">
        <v>27</v>
      </c>
      <c r="AA1040" s="37">
        <v>8</v>
      </c>
      <c r="AB1040" s="37">
        <v>6</v>
      </c>
      <c r="AC1040" s="37" t="s">
        <v>296</v>
      </c>
      <c r="AD1040" s="37" t="s">
        <v>1841</v>
      </c>
      <c r="AF1040" s="37" t="s">
        <v>1842</v>
      </c>
    </row>
    <row r="1041" spans="3:32" x14ac:dyDescent="0.2">
      <c r="C1041" s="37" t="s">
        <v>27</v>
      </c>
      <c r="D1041" s="37">
        <v>12</v>
      </c>
      <c r="E1041" s="37">
        <v>3</v>
      </c>
      <c r="F1041" s="37" t="s">
        <v>296</v>
      </c>
      <c r="G1041" s="37">
        <v>9.8000000000000007</v>
      </c>
      <c r="H1041" s="37" t="s">
        <v>181</v>
      </c>
      <c r="I1041" s="37" t="s">
        <v>23</v>
      </c>
      <c r="J1041" s="37" t="s">
        <v>17</v>
      </c>
      <c r="K1041" s="37">
        <v>0</v>
      </c>
      <c r="L1041" s="37">
        <v>0</v>
      </c>
      <c r="M1041" s="37">
        <v>0</v>
      </c>
      <c r="N1041" s="37">
        <v>0</v>
      </c>
      <c r="O1041" s="37">
        <v>0</v>
      </c>
      <c r="P1041" s="37">
        <v>0</v>
      </c>
      <c r="Q1041" s="37">
        <v>0</v>
      </c>
      <c r="R1041" s="37">
        <v>0</v>
      </c>
      <c r="T1041" s="37" t="s">
        <v>181</v>
      </c>
      <c r="U1041" s="37" t="s">
        <v>207</v>
      </c>
      <c r="V1041" s="37">
        <v>55</v>
      </c>
      <c r="W1041" s="37" t="s">
        <v>18</v>
      </c>
      <c r="X1041" s="37" t="s">
        <v>190</v>
      </c>
      <c r="Y1041" s="37">
        <v>2352</v>
      </c>
      <c r="Z1041" s="37" t="s">
        <v>27</v>
      </c>
      <c r="AA1041" s="37">
        <v>12</v>
      </c>
      <c r="AB1041" s="37">
        <v>3</v>
      </c>
      <c r="AC1041" s="37" t="s">
        <v>296</v>
      </c>
      <c r="AD1041" s="37" t="s">
        <v>1843</v>
      </c>
      <c r="AF1041" s="37" t="s">
        <v>1844</v>
      </c>
    </row>
    <row r="1042" spans="3:32" x14ac:dyDescent="0.2">
      <c r="G1042" s="37" t="s">
        <v>166</v>
      </c>
      <c r="H1042" s="37" t="s">
        <v>166</v>
      </c>
      <c r="I1042" s="37" t="s">
        <v>166</v>
      </c>
      <c r="J1042" s="37" t="s">
        <v>18</v>
      </c>
      <c r="K1042" s="37">
        <v>1102</v>
      </c>
      <c r="L1042" s="37">
        <v>509</v>
      </c>
      <c r="M1042" s="37">
        <v>3</v>
      </c>
      <c r="N1042" s="37">
        <v>1614</v>
      </c>
      <c r="O1042" s="37">
        <v>485</v>
      </c>
      <c r="P1042" s="37">
        <v>269</v>
      </c>
      <c r="Q1042" s="37">
        <v>2368</v>
      </c>
      <c r="R1042" s="37">
        <v>32252</v>
      </c>
      <c r="T1042" s="37" t="s">
        <v>166</v>
      </c>
      <c r="U1042" s="37" t="s">
        <v>166</v>
      </c>
      <c r="V1042" s="37" t="s">
        <v>166</v>
      </c>
      <c r="W1042" s="37" t="s">
        <v>18</v>
      </c>
      <c r="X1042" s="37" t="s">
        <v>166</v>
      </c>
      <c r="Y1042" s="37" t="s">
        <v>166</v>
      </c>
      <c r="Z1042" s="37" t="s">
        <v>27</v>
      </c>
      <c r="AA1042" s="37">
        <v>12</v>
      </c>
      <c r="AB1042" s="37">
        <v>3</v>
      </c>
      <c r="AC1042" s="37" t="s">
        <v>296</v>
      </c>
      <c r="AD1042" s="37" t="s">
        <v>1843</v>
      </c>
      <c r="AF1042" s="37" t="s">
        <v>1845</v>
      </c>
    </row>
    <row r="1043" spans="3:32" x14ac:dyDescent="0.2">
      <c r="C1043" s="37" t="s">
        <v>27</v>
      </c>
      <c r="D1043" s="37">
        <v>25</v>
      </c>
      <c r="E1043" s="37">
        <v>28</v>
      </c>
      <c r="F1043" s="37" t="s">
        <v>296</v>
      </c>
      <c r="G1043" s="37">
        <v>2</v>
      </c>
      <c r="H1043" s="37" t="s">
        <v>181</v>
      </c>
      <c r="I1043" s="37" t="s">
        <v>23</v>
      </c>
      <c r="J1043" s="37" t="s">
        <v>17</v>
      </c>
      <c r="K1043" s="37">
        <v>0</v>
      </c>
      <c r="L1043" s="37">
        <v>0</v>
      </c>
      <c r="M1043" s="37">
        <v>0</v>
      </c>
      <c r="N1043" s="37">
        <v>0</v>
      </c>
      <c r="O1043" s="37">
        <v>0</v>
      </c>
      <c r="P1043" s="37">
        <v>0</v>
      </c>
      <c r="Q1043" s="37">
        <v>0</v>
      </c>
      <c r="R1043" s="37">
        <v>0</v>
      </c>
      <c r="T1043" s="37" t="s">
        <v>181</v>
      </c>
      <c r="U1043" s="37" t="s">
        <v>373</v>
      </c>
      <c r="V1043" s="37">
        <v>65</v>
      </c>
      <c r="W1043" s="37" t="s">
        <v>40</v>
      </c>
      <c r="X1043" s="37" t="s">
        <v>190</v>
      </c>
      <c r="Y1043" s="37">
        <v>320</v>
      </c>
      <c r="Z1043" s="37" t="s">
        <v>27</v>
      </c>
      <c r="AA1043" s="37">
        <v>25</v>
      </c>
      <c r="AB1043" s="37">
        <v>28</v>
      </c>
      <c r="AC1043" s="37" t="s">
        <v>296</v>
      </c>
      <c r="AD1043" s="37" t="s">
        <v>1846</v>
      </c>
      <c r="AF1043" s="37" t="s">
        <v>1847</v>
      </c>
    </row>
    <row r="1044" spans="3:32" x14ac:dyDescent="0.2">
      <c r="C1044" s="37" t="s">
        <v>27</v>
      </c>
      <c r="D1044" s="37">
        <v>42</v>
      </c>
      <c r="E1044" s="37">
        <v>22</v>
      </c>
      <c r="F1044" s="37" t="s">
        <v>296</v>
      </c>
      <c r="G1044" s="37">
        <v>10</v>
      </c>
      <c r="H1044" s="37" t="s">
        <v>181</v>
      </c>
      <c r="I1044" s="37" t="s">
        <v>23</v>
      </c>
      <c r="J1044" s="37" t="s">
        <v>17</v>
      </c>
      <c r="K1044" s="37">
        <v>0</v>
      </c>
      <c r="L1044" s="37">
        <v>0</v>
      </c>
      <c r="M1044" s="37">
        <v>0</v>
      </c>
      <c r="N1044" s="37">
        <v>0</v>
      </c>
      <c r="O1044" s="37">
        <v>0</v>
      </c>
      <c r="P1044" s="37">
        <v>0</v>
      </c>
      <c r="Q1044" s="37">
        <v>0</v>
      </c>
      <c r="R1044" s="37">
        <v>0</v>
      </c>
      <c r="T1044" s="37" t="s">
        <v>181</v>
      </c>
      <c r="U1044" s="37" t="s">
        <v>226</v>
      </c>
      <c r="V1044" s="37">
        <v>50</v>
      </c>
      <c r="W1044" s="37" t="s">
        <v>18</v>
      </c>
      <c r="X1044" s="37" t="s">
        <v>190</v>
      </c>
      <c r="Y1044" s="37">
        <v>2500</v>
      </c>
      <c r="Z1044" s="37" t="s">
        <v>27</v>
      </c>
      <c r="AA1044" s="37">
        <v>42</v>
      </c>
      <c r="AB1044" s="37">
        <v>22</v>
      </c>
      <c r="AC1044" s="37" t="s">
        <v>296</v>
      </c>
      <c r="AD1044" s="37" t="s">
        <v>1848</v>
      </c>
      <c r="AF1044" s="37" t="s">
        <v>1849</v>
      </c>
    </row>
    <row r="1045" spans="3:32" x14ac:dyDescent="0.2">
      <c r="G1045" s="37" t="s">
        <v>166</v>
      </c>
      <c r="H1045" s="37" t="s">
        <v>166</v>
      </c>
      <c r="I1045" s="37" t="s">
        <v>166</v>
      </c>
      <c r="J1045" s="37" t="s">
        <v>18</v>
      </c>
      <c r="K1045" s="37">
        <v>1160</v>
      </c>
      <c r="L1045" s="37">
        <v>496</v>
      </c>
      <c r="M1045" s="37">
        <v>6</v>
      </c>
      <c r="N1045" s="37">
        <v>1662</v>
      </c>
      <c r="O1045" s="37">
        <v>594</v>
      </c>
      <c r="P1045" s="37">
        <v>302</v>
      </c>
      <c r="Q1045" s="37">
        <v>2558</v>
      </c>
      <c r="R1045" s="37">
        <v>33379</v>
      </c>
      <c r="T1045" s="37" t="s">
        <v>166</v>
      </c>
      <c r="U1045" s="37" t="s">
        <v>166</v>
      </c>
      <c r="V1045" s="37" t="s">
        <v>166</v>
      </c>
      <c r="W1045" s="37" t="s">
        <v>18</v>
      </c>
      <c r="X1045" s="37" t="s">
        <v>166</v>
      </c>
      <c r="Y1045" s="37" t="s">
        <v>166</v>
      </c>
      <c r="Z1045" s="37" t="s">
        <v>27</v>
      </c>
      <c r="AA1045" s="37">
        <v>42</v>
      </c>
      <c r="AB1045" s="37">
        <v>22</v>
      </c>
      <c r="AC1045" s="37" t="s">
        <v>296</v>
      </c>
      <c r="AD1045" s="37" t="s">
        <v>1848</v>
      </c>
      <c r="AF1045" s="37" t="s">
        <v>1850</v>
      </c>
    </row>
    <row r="1046" spans="3:32" x14ac:dyDescent="0.2">
      <c r="C1046" s="37" t="s">
        <v>27</v>
      </c>
      <c r="D1046" s="37">
        <v>48</v>
      </c>
      <c r="E1046" s="37">
        <v>5</v>
      </c>
      <c r="F1046" s="37" t="s">
        <v>296</v>
      </c>
      <c r="G1046" s="37">
        <v>6</v>
      </c>
      <c r="H1046" s="37" t="s">
        <v>181</v>
      </c>
      <c r="I1046" s="37" t="s">
        <v>23</v>
      </c>
      <c r="J1046" s="37" t="s">
        <v>17</v>
      </c>
      <c r="K1046" s="37">
        <v>170</v>
      </c>
      <c r="L1046" s="37">
        <v>399</v>
      </c>
      <c r="M1046" s="37">
        <v>81</v>
      </c>
      <c r="N1046" s="37">
        <v>650</v>
      </c>
      <c r="O1046" s="37">
        <v>249</v>
      </c>
      <c r="P1046" s="37">
        <v>128</v>
      </c>
      <c r="Q1046" s="37">
        <v>1027</v>
      </c>
      <c r="R1046" s="37">
        <v>56273</v>
      </c>
      <c r="T1046" s="37" t="s">
        <v>181</v>
      </c>
      <c r="U1046" s="37" t="s">
        <v>400</v>
      </c>
      <c r="V1046" s="37">
        <v>65</v>
      </c>
      <c r="W1046" s="37" t="s">
        <v>17</v>
      </c>
      <c r="X1046" s="37" t="s">
        <v>190</v>
      </c>
      <c r="Y1046" s="37">
        <v>900</v>
      </c>
      <c r="Z1046" s="37" t="s">
        <v>27</v>
      </c>
      <c r="AA1046" s="37">
        <v>48</v>
      </c>
      <c r="AB1046" s="37">
        <v>5</v>
      </c>
      <c r="AC1046" s="37" t="s">
        <v>296</v>
      </c>
      <c r="AD1046" s="37" t="s">
        <v>1851</v>
      </c>
      <c r="AF1046" s="37" t="s">
        <v>1852</v>
      </c>
    </row>
    <row r="1047" spans="3:32" x14ac:dyDescent="0.2">
      <c r="C1047" s="37" t="s">
        <v>27</v>
      </c>
      <c r="D1047" s="37">
        <v>48</v>
      </c>
      <c r="E1047" s="37">
        <v>5</v>
      </c>
      <c r="F1047" s="37">
        <v>2</v>
      </c>
      <c r="G1047" s="37">
        <v>5.3</v>
      </c>
      <c r="H1047" s="37" t="s">
        <v>181</v>
      </c>
      <c r="I1047" s="37" t="s">
        <v>23</v>
      </c>
      <c r="J1047" s="37" t="s">
        <v>17</v>
      </c>
      <c r="K1047" s="37">
        <v>211</v>
      </c>
      <c r="L1047" s="37">
        <v>280</v>
      </c>
      <c r="M1047" s="37">
        <v>63</v>
      </c>
      <c r="N1047" s="37">
        <v>554</v>
      </c>
      <c r="O1047" s="37">
        <v>196</v>
      </c>
      <c r="P1047" s="37">
        <v>108</v>
      </c>
      <c r="Q1047" s="37">
        <v>858</v>
      </c>
      <c r="R1047" s="37">
        <v>50144</v>
      </c>
      <c r="T1047" s="37" t="s">
        <v>181</v>
      </c>
      <c r="U1047" s="37" t="s">
        <v>400</v>
      </c>
      <c r="V1047" s="37">
        <v>65</v>
      </c>
      <c r="W1047" s="37" t="s">
        <v>17</v>
      </c>
      <c r="X1047" s="37" t="s">
        <v>190</v>
      </c>
      <c r="Y1047" s="37">
        <v>795</v>
      </c>
      <c r="Z1047" s="37" t="s">
        <v>27</v>
      </c>
      <c r="AA1047" s="37">
        <v>48</v>
      </c>
      <c r="AB1047" s="37">
        <v>5</v>
      </c>
      <c r="AC1047" s="37">
        <v>2</v>
      </c>
      <c r="AD1047" s="37" t="s">
        <v>1853</v>
      </c>
      <c r="AF1047" s="37" t="s">
        <v>1854</v>
      </c>
    </row>
    <row r="1048" spans="3:32" x14ac:dyDescent="0.2">
      <c r="C1048" s="37" t="s">
        <v>27</v>
      </c>
      <c r="D1048" s="37">
        <v>48</v>
      </c>
      <c r="E1048" s="37">
        <v>5</v>
      </c>
      <c r="F1048" s="37">
        <v>3</v>
      </c>
      <c r="G1048" s="37">
        <v>6</v>
      </c>
      <c r="H1048" s="37" t="s">
        <v>181</v>
      </c>
      <c r="I1048" s="37" t="s">
        <v>23</v>
      </c>
      <c r="J1048" s="37" t="s">
        <v>17</v>
      </c>
      <c r="K1048" s="37">
        <v>239</v>
      </c>
      <c r="L1048" s="37">
        <v>334</v>
      </c>
      <c r="M1048" s="37">
        <v>70</v>
      </c>
      <c r="N1048" s="37">
        <v>643</v>
      </c>
      <c r="O1048" s="37">
        <v>207</v>
      </c>
      <c r="P1048" s="37">
        <v>122</v>
      </c>
      <c r="Q1048" s="37">
        <v>972</v>
      </c>
      <c r="R1048" s="37">
        <v>58022</v>
      </c>
      <c r="T1048" s="37" t="s">
        <v>181</v>
      </c>
      <c r="U1048" s="37" t="s">
        <v>400</v>
      </c>
      <c r="V1048" s="37">
        <v>65</v>
      </c>
      <c r="W1048" s="37" t="s">
        <v>17</v>
      </c>
      <c r="X1048" s="37" t="s">
        <v>190</v>
      </c>
      <c r="Y1048" s="37">
        <v>900</v>
      </c>
      <c r="Z1048" s="37" t="s">
        <v>27</v>
      </c>
      <c r="AA1048" s="37">
        <v>48</v>
      </c>
      <c r="AB1048" s="37">
        <v>5</v>
      </c>
      <c r="AC1048" s="37">
        <v>3</v>
      </c>
      <c r="AD1048" s="37" t="s">
        <v>1855</v>
      </c>
      <c r="AF1048" s="37" t="s">
        <v>1856</v>
      </c>
    </row>
    <row r="1049" spans="3:32" x14ac:dyDescent="0.2">
      <c r="C1049" s="37" t="s">
        <v>27</v>
      </c>
      <c r="D1049" s="37">
        <v>49</v>
      </c>
      <c r="E1049" s="37">
        <v>3</v>
      </c>
      <c r="F1049" s="37" t="s">
        <v>296</v>
      </c>
      <c r="G1049" s="37">
        <v>6</v>
      </c>
      <c r="H1049" s="37" t="s">
        <v>181</v>
      </c>
      <c r="I1049" s="37" t="s">
        <v>23</v>
      </c>
      <c r="J1049" s="37" t="s">
        <v>17</v>
      </c>
      <c r="K1049" s="37">
        <v>139</v>
      </c>
      <c r="L1049" s="37">
        <v>321</v>
      </c>
      <c r="M1049" s="37">
        <v>70</v>
      </c>
      <c r="N1049" s="37">
        <v>530</v>
      </c>
      <c r="O1049" s="37">
        <v>170</v>
      </c>
      <c r="P1049" s="37">
        <v>101</v>
      </c>
      <c r="Q1049" s="37">
        <v>801</v>
      </c>
      <c r="R1049" s="37">
        <v>45493</v>
      </c>
      <c r="T1049" s="37" t="s">
        <v>181</v>
      </c>
      <c r="U1049" s="37" t="s">
        <v>254</v>
      </c>
      <c r="V1049" s="37">
        <v>65</v>
      </c>
      <c r="W1049" s="37" t="s">
        <v>17</v>
      </c>
      <c r="X1049" s="37" t="s">
        <v>190</v>
      </c>
      <c r="Y1049" s="37">
        <v>780</v>
      </c>
      <c r="Z1049" s="37" t="s">
        <v>27</v>
      </c>
      <c r="AA1049" s="37">
        <v>49</v>
      </c>
      <c r="AB1049" s="37">
        <v>3</v>
      </c>
      <c r="AC1049" s="37" t="s">
        <v>296</v>
      </c>
      <c r="AD1049" s="37" t="s">
        <v>1857</v>
      </c>
      <c r="AF1049" s="37" t="s">
        <v>1858</v>
      </c>
    </row>
    <row r="1050" spans="3:32" x14ac:dyDescent="0.2">
      <c r="C1050" s="37" t="s">
        <v>27</v>
      </c>
      <c r="D1050" s="37">
        <v>49</v>
      </c>
      <c r="E1050" s="37">
        <v>3</v>
      </c>
      <c r="F1050" s="37">
        <v>2</v>
      </c>
      <c r="G1050" s="37">
        <v>6</v>
      </c>
      <c r="H1050" s="37" t="s">
        <v>181</v>
      </c>
      <c r="I1050" s="37" t="s">
        <v>23</v>
      </c>
      <c r="J1050" s="37" t="s">
        <v>17</v>
      </c>
      <c r="K1050" s="37">
        <v>146</v>
      </c>
      <c r="L1050" s="37">
        <v>300</v>
      </c>
      <c r="M1050" s="37">
        <v>72</v>
      </c>
      <c r="N1050" s="37">
        <v>518</v>
      </c>
      <c r="O1050" s="37">
        <v>182</v>
      </c>
      <c r="P1050" s="37">
        <v>101</v>
      </c>
      <c r="Q1050" s="37">
        <v>801</v>
      </c>
      <c r="R1050" s="37">
        <v>44725</v>
      </c>
      <c r="T1050" s="37" t="s">
        <v>181</v>
      </c>
      <c r="U1050" s="37" t="s">
        <v>254</v>
      </c>
      <c r="V1050" s="37">
        <v>65</v>
      </c>
      <c r="W1050" s="37" t="s">
        <v>17</v>
      </c>
      <c r="X1050" s="37" t="s">
        <v>190</v>
      </c>
      <c r="Y1050" s="37">
        <v>780</v>
      </c>
      <c r="Z1050" s="37" t="s">
        <v>27</v>
      </c>
      <c r="AA1050" s="37">
        <v>49</v>
      </c>
      <c r="AB1050" s="37">
        <v>3</v>
      </c>
      <c r="AC1050" s="37">
        <v>2</v>
      </c>
      <c r="AD1050" s="37" t="s">
        <v>1859</v>
      </c>
      <c r="AF1050" s="37" t="s">
        <v>1860</v>
      </c>
    </row>
    <row r="1051" spans="3:32" x14ac:dyDescent="0.2">
      <c r="C1051" s="37" t="s">
        <v>27</v>
      </c>
      <c r="D1051" s="37">
        <v>49</v>
      </c>
      <c r="E1051" s="37">
        <v>8</v>
      </c>
      <c r="F1051" s="37">
        <v>3</v>
      </c>
      <c r="G1051" s="37">
        <v>3</v>
      </c>
      <c r="H1051" s="37" t="s">
        <v>181</v>
      </c>
      <c r="I1051" s="37" t="s">
        <v>23</v>
      </c>
      <c r="J1051" s="37" t="s">
        <v>17</v>
      </c>
      <c r="K1051" s="37">
        <v>0</v>
      </c>
      <c r="L1051" s="37">
        <v>0</v>
      </c>
      <c r="M1051" s="37">
        <v>0</v>
      </c>
      <c r="N1051" s="37">
        <v>0</v>
      </c>
      <c r="O1051" s="37">
        <v>0</v>
      </c>
      <c r="P1051" s="37">
        <v>0</v>
      </c>
      <c r="Q1051" s="37">
        <v>0</v>
      </c>
      <c r="R1051" s="37">
        <v>0</v>
      </c>
      <c r="T1051" s="37" t="s">
        <v>181</v>
      </c>
      <c r="U1051" s="37" t="s">
        <v>309</v>
      </c>
      <c r="V1051" s="37">
        <v>70</v>
      </c>
      <c r="W1051" s="37" t="s">
        <v>40</v>
      </c>
      <c r="X1051" s="37" t="s">
        <v>190</v>
      </c>
      <c r="Y1051" s="37">
        <v>540</v>
      </c>
      <c r="Z1051" s="37" t="s">
        <v>27</v>
      </c>
      <c r="AA1051" s="37">
        <v>49</v>
      </c>
      <c r="AB1051" s="37">
        <v>8</v>
      </c>
      <c r="AC1051" s="37">
        <v>3</v>
      </c>
      <c r="AD1051" s="37" t="s">
        <v>1861</v>
      </c>
      <c r="AF1051" s="37" t="s">
        <v>1862</v>
      </c>
    </row>
    <row r="1052" spans="3:32" x14ac:dyDescent="0.2">
      <c r="G1052" s="37" t="s">
        <v>166</v>
      </c>
      <c r="H1052" s="37" t="s">
        <v>166</v>
      </c>
      <c r="I1052" s="37" t="s">
        <v>166</v>
      </c>
      <c r="J1052" s="37" t="s">
        <v>40</v>
      </c>
      <c r="K1052" s="37">
        <v>111</v>
      </c>
      <c r="L1052" s="37">
        <v>269</v>
      </c>
      <c r="M1052" s="37">
        <v>32</v>
      </c>
      <c r="N1052" s="37">
        <v>412</v>
      </c>
      <c r="O1052" s="37">
        <v>128</v>
      </c>
      <c r="P1052" s="37">
        <v>100</v>
      </c>
      <c r="Q1052" s="37">
        <v>640</v>
      </c>
      <c r="R1052" s="37">
        <v>21544</v>
      </c>
      <c r="T1052" s="37" t="s">
        <v>166</v>
      </c>
      <c r="U1052" s="37" t="s">
        <v>166</v>
      </c>
      <c r="V1052" s="37" t="s">
        <v>166</v>
      </c>
      <c r="W1052" s="37" t="s">
        <v>40</v>
      </c>
      <c r="X1052" s="37" t="s">
        <v>166</v>
      </c>
      <c r="Y1052" s="37" t="s">
        <v>166</v>
      </c>
      <c r="Z1052" s="37" t="s">
        <v>27</v>
      </c>
      <c r="AA1052" s="37">
        <v>49</v>
      </c>
      <c r="AB1052" s="37">
        <v>8</v>
      </c>
      <c r="AC1052" s="37">
        <v>3</v>
      </c>
      <c r="AD1052" s="37" t="s">
        <v>1861</v>
      </c>
      <c r="AF1052" s="37" t="s">
        <v>1863</v>
      </c>
    </row>
    <row r="1053" spans="3:32" x14ac:dyDescent="0.2">
      <c r="C1053" s="37" t="s">
        <v>27</v>
      </c>
      <c r="D1053" s="37">
        <v>50</v>
      </c>
      <c r="E1053" s="37">
        <v>8</v>
      </c>
      <c r="F1053" s="37" t="s">
        <v>296</v>
      </c>
      <c r="G1053" s="37">
        <v>7</v>
      </c>
      <c r="H1053" s="37" t="s">
        <v>181</v>
      </c>
      <c r="I1053" s="37" t="s">
        <v>23</v>
      </c>
      <c r="J1053" s="37" t="s">
        <v>17</v>
      </c>
      <c r="K1053" s="37">
        <v>318</v>
      </c>
      <c r="L1053" s="37">
        <v>451</v>
      </c>
      <c r="M1053" s="37">
        <v>34</v>
      </c>
      <c r="N1053" s="37">
        <v>803</v>
      </c>
      <c r="O1053" s="37">
        <v>377</v>
      </c>
      <c r="P1053" s="37">
        <v>166</v>
      </c>
      <c r="Q1053" s="37">
        <v>1346</v>
      </c>
      <c r="R1053" s="37">
        <v>76081</v>
      </c>
      <c r="T1053" s="37" t="s">
        <v>181</v>
      </c>
      <c r="U1053" s="37" t="s">
        <v>228</v>
      </c>
      <c r="V1053" s="37">
        <v>65</v>
      </c>
      <c r="W1053" s="37" t="s">
        <v>17</v>
      </c>
      <c r="X1053" s="37" t="s">
        <v>190</v>
      </c>
      <c r="Y1053" s="37">
        <v>1330</v>
      </c>
      <c r="Z1053" s="37" t="s">
        <v>27</v>
      </c>
      <c r="AA1053" s="37">
        <v>50</v>
      </c>
      <c r="AB1053" s="37">
        <v>8</v>
      </c>
      <c r="AC1053" s="37" t="s">
        <v>296</v>
      </c>
      <c r="AD1053" s="37" t="s">
        <v>1864</v>
      </c>
      <c r="AF1053" s="37" t="s">
        <v>1865</v>
      </c>
    </row>
    <row r="1054" spans="3:32" x14ac:dyDescent="0.2">
      <c r="C1054" s="37" t="s">
        <v>27</v>
      </c>
      <c r="D1054" s="37">
        <v>57</v>
      </c>
      <c r="E1054" s="37">
        <v>13</v>
      </c>
      <c r="F1054" s="37" t="s">
        <v>296</v>
      </c>
      <c r="G1054" s="37">
        <v>8</v>
      </c>
      <c r="H1054" s="37" t="s">
        <v>181</v>
      </c>
      <c r="I1054" s="37" t="s">
        <v>23</v>
      </c>
      <c r="J1054" s="37" t="s">
        <v>17</v>
      </c>
      <c r="K1054" s="37">
        <v>0</v>
      </c>
      <c r="L1054" s="37">
        <v>0</v>
      </c>
      <c r="M1054" s="37">
        <v>0</v>
      </c>
      <c r="N1054" s="37">
        <v>0</v>
      </c>
      <c r="O1054" s="37">
        <v>0</v>
      </c>
      <c r="P1054" s="37">
        <v>0</v>
      </c>
      <c r="Q1054" s="37">
        <v>0</v>
      </c>
      <c r="R1054" s="37">
        <v>0</v>
      </c>
      <c r="T1054" s="37" t="s">
        <v>181</v>
      </c>
      <c r="U1054" s="37" t="s">
        <v>226</v>
      </c>
      <c r="V1054" s="37">
        <v>55</v>
      </c>
      <c r="W1054" s="37" t="s">
        <v>18</v>
      </c>
      <c r="X1054" s="37" t="s">
        <v>190</v>
      </c>
      <c r="Y1054" s="37">
        <v>1440</v>
      </c>
      <c r="Z1054" s="37" t="s">
        <v>27</v>
      </c>
      <c r="AA1054" s="37">
        <v>57</v>
      </c>
      <c r="AB1054" s="37">
        <v>13</v>
      </c>
      <c r="AC1054" s="37" t="s">
        <v>296</v>
      </c>
      <c r="AD1054" s="37" t="s">
        <v>1866</v>
      </c>
      <c r="AF1054" s="37" t="s">
        <v>1867</v>
      </c>
    </row>
    <row r="1055" spans="3:32" x14ac:dyDescent="0.2">
      <c r="G1055" s="37" t="s">
        <v>166</v>
      </c>
      <c r="H1055" s="37" t="s">
        <v>166</v>
      </c>
      <c r="I1055" s="37" t="s">
        <v>166</v>
      </c>
      <c r="J1055" s="37" t="s">
        <v>18</v>
      </c>
      <c r="K1055" s="37">
        <v>599</v>
      </c>
      <c r="L1055" s="37">
        <v>234</v>
      </c>
      <c r="M1055" s="37">
        <v>0</v>
      </c>
      <c r="N1055" s="37">
        <v>833</v>
      </c>
      <c r="O1055" s="37">
        <v>347</v>
      </c>
      <c r="P1055" s="37">
        <v>165</v>
      </c>
      <c r="Q1055" s="37">
        <v>1345</v>
      </c>
      <c r="R1055" s="37">
        <v>16873.7</v>
      </c>
      <c r="T1055" s="37" t="s">
        <v>166</v>
      </c>
      <c r="U1055" s="37" t="s">
        <v>166</v>
      </c>
      <c r="V1055" s="37" t="s">
        <v>166</v>
      </c>
      <c r="W1055" s="37" t="s">
        <v>18</v>
      </c>
      <c r="X1055" s="37" t="s">
        <v>166</v>
      </c>
      <c r="Y1055" s="37" t="s">
        <v>166</v>
      </c>
      <c r="Z1055" s="37" t="s">
        <v>27</v>
      </c>
      <c r="AA1055" s="37">
        <v>57</v>
      </c>
      <c r="AB1055" s="37">
        <v>13</v>
      </c>
      <c r="AC1055" s="37" t="s">
        <v>296</v>
      </c>
      <c r="AD1055" s="37" t="s">
        <v>1866</v>
      </c>
      <c r="AF1055" s="37" t="s">
        <v>1868</v>
      </c>
    </row>
    <row r="1056" spans="3:32" x14ac:dyDescent="0.2">
      <c r="C1056" s="37" t="s">
        <v>27</v>
      </c>
      <c r="D1056" s="37">
        <v>57</v>
      </c>
      <c r="E1056" s="37">
        <v>19</v>
      </c>
      <c r="F1056" s="37">
        <v>2</v>
      </c>
      <c r="G1056" s="37">
        <v>7</v>
      </c>
      <c r="H1056" s="37" t="s">
        <v>181</v>
      </c>
      <c r="I1056" s="37" t="s">
        <v>23</v>
      </c>
      <c r="J1056" s="37" t="s">
        <v>17</v>
      </c>
      <c r="K1056" s="37">
        <v>150</v>
      </c>
      <c r="L1056" s="37">
        <v>319</v>
      </c>
      <c r="M1056" s="37">
        <v>27</v>
      </c>
      <c r="N1056" s="37">
        <v>496</v>
      </c>
      <c r="O1056" s="37">
        <v>254</v>
      </c>
      <c r="P1056" s="37">
        <v>105</v>
      </c>
      <c r="Q1056" s="37">
        <v>855</v>
      </c>
      <c r="R1056" s="37">
        <v>45318</v>
      </c>
      <c r="T1056" s="37" t="s">
        <v>181</v>
      </c>
      <c r="U1056" s="37" t="s">
        <v>235</v>
      </c>
      <c r="V1056" s="37">
        <v>65</v>
      </c>
      <c r="W1056" s="37" t="s">
        <v>17</v>
      </c>
      <c r="X1056" s="37" t="s">
        <v>190</v>
      </c>
      <c r="Y1056" s="37">
        <v>840</v>
      </c>
      <c r="Z1056" s="37" t="s">
        <v>27</v>
      </c>
      <c r="AA1056" s="37">
        <v>57</v>
      </c>
      <c r="AB1056" s="37">
        <v>19</v>
      </c>
      <c r="AC1056" s="37">
        <v>2</v>
      </c>
      <c r="AD1056" s="37" t="s">
        <v>1869</v>
      </c>
      <c r="AF1056" s="37" t="s">
        <v>1870</v>
      </c>
    </row>
    <row r="1057" spans="3:32" x14ac:dyDescent="0.2">
      <c r="C1057" s="37" t="s">
        <v>27</v>
      </c>
      <c r="D1057" s="37">
        <v>68</v>
      </c>
      <c r="E1057" s="37">
        <v>7</v>
      </c>
      <c r="F1057" s="37" t="s">
        <v>296</v>
      </c>
      <c r="G1057" s="37">
        <v>10</v>
      </c>
      <c r="H1057" s="37" t="s">
        <v>181</v>
      </c>
      <c r="I1057" s="37" t="s">
        <v>23</v>
      </c>
      <c r="J1057" s="37" t="s">
        <v>17</v>
      </c>
      <c r="K1057" s="37">
        <v>0</v>
      </c>
      <c r="L1057" s="37">
        <v>0</v>
      </c>
      <c r="M1057" s="37">
        <v>0</v>
      </c>
      <c r="N1057" s="37">
        <v>0</v>
      </c>
      <c r="O1057" s="37">
        <v>0</v>
      </c>
      <c r="P1057" s="37">
        <v>0</v>
      </c>
      <c r="Q1057" s="37">
        <v>0</v>
      </c>
      <c r="R1057" s="37">
        <v>0</v>
      </c>
      <c r="T1057" s="37" t="s">
        <v>181</v>
      </c>
      <c r="U1057" s="37" t="s">
        <v>210</v>
      </c>
      <c r="V1057" s="37">
        <v>45</v>
      </c>
      <c r="W1057" s="37" t="s">
        <v>18</v>
      </c>
      <c r="X1057" s="37" t="s">
        <v>190</v>
      </c>
      <c r="Y1057" s="37">
        <v>1900</v>
      </c>
      <c r="Z1057" s="37" t="s">
        <v>27</v>
      </c>
      <c r="AA1057" s="37">
        <v>68</v>
      </c>
      <c r="AB1057" s="37">
        <v>7</v>
      </c>
      <c r="AC1057" s="37" t="s">
        <v>296</v>
      </c>
      <c r="AD1057" s="37" t="s">
        <v>1871</v>
      </c>
      <c r="AF1057" s="37" t="s">
        <v>1872</v>
      </c>
    </row>
    <row r="1058" spans="3:32" x14ac:dyDescent="0.2">
      <c r="G1058" s="37" t="s">
        <v>166</v>
      </c>
      <c r="H1058" s="37" t="s">
        <v>166</v>
      </c>
      <c r="I1058" s="37" t="s">
        <v>166</v>
      </c>
      <c r="J1058" s="37" t="s">
        <v>18</v>
      </c>
      <c r="K1058" s="37">
        <v>768</v>
      </c>
      <c r="L1058" s="37">
        <v>461</v>
      </c>
      <c r="M1058" s="37">
        <v>7</v>
      </c>
      <c r="N1058" s="37">
        <v>1236</v>
      </c>
      <c r="O1058" s="37">
        <v>465</v>
      </c>
      <c r="P1058" s="37">
        <v>233</v>
      </c>
      <c r="Q1058" s="37">
        <v>1934</v>
      </c>
      <c r="R1058" s="37">
        <v>24324</v>
      </c>
      <c r="T1058" s="37" t="s">
        <v>166</v>
      </c>
      <c r="U1058" s="37" t="s">
        <v>166</v>
      </c>
      <c r="V1058" s="37" t="s">
        <v>166</v>
      </c>
      <c r="W1058" s="37" t="s">
        <v>18</v>
      </c>
      <c r="X1058" s="37" t="s">
        <v>166</v>
      </c>
      <c r="Y1058" s="37" t="s">
        <v>166</v>
      </c>
      <c r="Z1058" s="37" t="s">
        <v>27</v>
      </c>
      <c r="AA1058" s="37">
        <v>68</v>
      </c>
      <c r="AB1058" s="37">
        <v>7</v>
      </c>
      <c r="AC1058" s="37" t="s">
        <v>296</v>
      </c>
      <c r="AD1058" s="37" t="s">
        <v>1871</v>
      </c>
      <c r="AF1058" s="37" t="s">
        <v>1873</v>
      </c>
    </row>
    <row r="1059" spans="3:32" x14ac:dyDescent="0.2">
      <c r="C1059" s="37" t="s">
        <v>27</v>
      </c>
      <c r="D1059" s="37">
        <v>77</v>
      </c>
      <c r="E1059" s="37">
        <v>4</v>
      </c>
      <c r="F1059" s="37" t="s">
        <v>296</v>
      </c>
      <c r="G1059" s="37">
        <v>9</v>
      </c>
      <c r="H1059" s="37" t="s">
        <v>181</v>
      </c>
      <c r="I1059" s="37" t="s">
        <v>23</v>
      </c>
      <c r="J1059" s="37" t="s">
        <v>17</v>
      </c>
      <c r="K1059" s="37">
        <v>397</v>
      </c>
      <c r="L1059" s="37">
        <v>565</v>
      </c>
      <c r="M1059" s="37">
        <v>78</v>
      </c>
      <c r="N1059" s="37">
        <v>1040</v>
      </c>
      <c r="O1059" s="37">
        <v>379</v>
      </c>
      <c r="P1059" s="37">
        <v>205</v>
      </c>
      <c r="Q1059" s="37">
        <v>1624</v>
      </c>
      <c r="R1059" s="37">
        <v>95903</v>
      </c>
      <c r="T1059" s="37" t="s">
        <v>181</v>
      </c>
      <c r="U1059" s="37" t="s">
        <v>376</v>
      </c>
      <c r="V1059" s="37">
        <v>65</v>
      </c>
      <c r="W1059" s="37" t="s">
        <v>17</v>
      </c>
      <c r="X1059" s="37" t="s">
        <v>190</v>
      </c>
      <c r="Y1059" s="37">
        <v>1620</v>
      </c>
      <c r="Z1059" s="37" t="s">
        <v>27</v>
      </c>
      <c r="AA1059" s="37">
        <v>77</v>
      </c>
      <c r="AB1059" s="37">
        <v>4</v>
      </c>
      <c r="AC1059" s="37" t="s">
        <v>296</v>
      </c>
      <c r="AD1059" s="37" t="s">
        <v>1874</v>
      </c>
      <c r="AF1059" s="37" t="s">
        <v>1875</v>
      </c>
    </row>
    <row r="1060" spans="3:32" x14ac:dyDescent="0.2">
      <c r="C1060" s="37" t="s">
        <v>27</v>
      </c>
      <c r="D1060" s="37">
        <v>92</v>
      </c>
      <c r="E1060" s="37">
        <v>10</v>
      </c>
      <c r="F1060" s="37" t="s">
        <v>296</v>
      </c>
      <c r="G1060" s="37">
        <v>9.3000000000000007</v>
      </c>
      <c r="H1060" s="37" t="s">
        <v>181</v>
      </c>
      <c r="I1060" s="37" t="s">
        <v>23</v>
      </c>
      <c r="J1060" s="37" t="s">
        <v>17</v>
      </c>
      <c r="K1060" s="37">
        <v>0</v>
      </c>
      <c r="L1060" s="37">
        <v>0</v>
      </c>
      <c r="M1060" s="37">
        <v>0</v>
      </c>
      <c r="N1060" s="37">
        <v>0</v>
      </c>
      <c r="O1060" s="37">
        <v>0</v>
      </c>
      <c r="P1060" s="37">
        <v>0</v>
      </c>
      <c r="Q1060" s="37">
        <v>0</v>
      </c>
      <c r="R1060" s="37">
        <v>0</v>
      </c>
      <c r="T1060" s="37" t="s">
        <v>181</v>
      </c>
      <c r="U1060" s="37" t="s">
        <v>405</v>
      </c>
      <c r="V1060" s="37">
        <v>80</v>
      </c>
      <c r="W1060" s="37" t="s">
        <v>19</v>
      </c>
      <c r="X1060" s="37" t="s">
        <v>190</v>
      </c>
      <c r="Y1060" s="37">
        <v>1581.0000000000002</v>
      </c>
      <c r="Z1060" s="37" t="s">
        <v>27</v>
      </c>
      <c r="AA1060" s="37">
        <v>92</v>
      </c>
      <c r="AB1060" s="37">
        <v>10</v>
      </c>
      <c r="AC1060" s="37" t="s">
        <v>296</v>
      </c>
      <c r="AD1060" s="37" t="s">
        <v>1876</v>
      </c>
      <c r="AF1060" s="37" t="s">
        <v>1877</v>
      </c>
    </row>
    <row r="1061" spans="3:32" x14ac:dyDescent="0.2">
      <c r="G1061" s="37" t="s">
        <v>166</v>
      </c>
      <c r="H1061" s="37" t="s">
        <v>166</v>
      </c>
      <c r="I1061" s="37" t="s">
        <v>166</v>
      </c>
      <c r="J1061" s="37" t="s">
        <v>19</v>
      </c>
      <c r="K1061" s="37">
        <v>169</v>
      </c>
      <c r="L1061" s="37">
        <v>598</v>
      </c>
      <c r="M1061" s="37">
        <v>49</v>
      </c>
      <c r="N1061" s="37">
        <v>816</v>
      </c>
      <c r="O1061" s="37">
        <v>543</v>
      </c>
      <c r="P1061" s="37">
        <v>170</v>
      </c>
      <c r="Q1061" s="37">
        <v>1529</v>
      </c>
      <c r="R1061" s="37">
        <v>42443</v>
      </c>
      <c r="T1061" s="37" t="s">
        <v>166</v>
      </c>
      <c r="U1061" s="37" t="s">
        <v>166</v>
      </c>
      <c r="V1061" s="37" t="s">
        <v>166</v>
      </c>
      <c r="W1061" s="37" t="s">
        <v>19</v>
      </c>
      <c r="X1061" s="37" t="s">
        <v>166</v>
      </c>
      <c r="Y1061" s="37" t="s">
        <v>166</v>
      </c>
      <c r="Z1061" s="37" t="s">
        <v>27</v>
      </c>
      <c r="AA1061" s="37">
        <v>92</v>
      </c>
      <c r="AB1061" s="37">
        <v>10</v>
      </c>
      <c r="AC1061" s="37" t="s">
        <v>296</v>
      </c>
      <c r="AD1061" s="37" t="s">
        <v>1876</v>
      </c>
      <c r="AF1061" s="37" t="s">
        <v>1878</v>
      </c>
    </row>
    <row r="1062" spans="3:32" x14ac:dyDescent="0.2">
      <c r="C1062" s="37" t="s">
        <v>27</v>
      </c>
      <c r="D1062" s="37">
        <v>92</v>
      </c>
      <c r="E1062" s="37">
        <v>12</v>
      </c>
      <c r="F1062" s="37">
        <v>2</v>
      </c>
      <c r="G1062" s="37">
        <v>5.2</v>
      </c>
      <c r="H1062" s="37" t="s">
        <v>181</v>
      </c>
      <c r="I1062" s="37" t="s">
        <v>23</v>
      </c>
      <c r="J1062" s="37" t="s">
        <v>17</v>
      </c>
      <c r="K1062" s="37">
        <v>0</v>
      </c>
      <c r="L1062" s="37">
        <v>0</v>
      </c>
      <c r="M1062" s="37">
        <v>0</v>
      </c>
      <c r="N1062" s="37">
        <v>0</v>
      </c>
      <c r="O1062" s="37">
        <v>0</v>
      </c>
      <c r="P1062" s="37">
        <v>0</v>
      </c>
      <c r="Q1062" s="37">
        <v>0</v>
      </c>
      <c r="R1062" s="37">
        <v>0</v>
      </c>
      <c r="T1062" s="37" t="s">
        <v>181</v>
      </c>
      <c r="U1062" s="37" t="s">
        <v>406</v>
      </c>
      <c r="V1062" s="37">
        <v>90</v>
      </c>
      <c r="W1062" s="37" t="s">
        <v>19</v>
      </c>
      <c r="X1062" s="37" t="s">
        <v>190</v>
      </c>
      <c r="Y1062" s="37">
        <v>728</v>
      </c>
      <c r="Z1062" s="37" t="s">
        <v>27</v>
      </c>
      <c r="AA1062" s="37">
        <v>92</v>
      </c>
      <c r="AB1062" s="37">
        <v>12</v>
      </c>
      <c r="AC1062" s="37">
        <v>2</v>
      </c>
      <c r="AD1062" s="37" t="s">
        <v>1879</v>
      </c>
      <c r="AF1062" s="37" t="s">
        <v>1880</v>
      </c>
    </row>
    <row r="1063" spans="3:32" x14ac:dyDescent="0.2">
      <c r="C1063" s="37" t="s">
        <v>27</v>
      </c>
      <c r="D1063" s="37">
        <v>104</v>
      </c>
      <c r="E1063" s="37">
        <v>9</v>
      </c>
      <c r="F1063" s="37" t="s">
        <v>296</v>
      </c>
      <c r="G1063" s="37">
        <v>1.5</v>
      </c>
      <c r="H1063" s="37" t="s">
        <v>181</v>
      </c>
      <c r="I1063" s="37" t="s">
        <v>23</v>
      </c>
      <c r="J1063" s="37" t="s">
        <v>17</v>
      </c>
      <c r="K1063" s="37">
        <v>0</v>
      </c>
      <c r="L1063" s="37">
        <v>0</v>
      </c>
      <c r="M1063" s="37">
        <v>0</v>
      </c>
      <c r="N1063" s="37">
        <v>0</v>
      </c>
      <c r="O1063" s="37">
        <v>0</v>
      </c>
      <c r="P1063" s="37">
        <v>0</v>
      </c>
      <c r="Q1063" s="37">
        <v>0</v>
      </c>
      <c r="R1063" s="37">
        <v>0</v>
      </c>
      <c r="T1063" s="37" t="s">
        <v>181</v>
      </c>
      <c r="U1063" s="37" t="s">
        <v>187</v>
      </c>
      <c r="V1063" s="37">
        <v>45</v>
      </c>
      <c r="W1063" s="37" t="s">
        <v>18</v>
      </c>
      <c r="X1063" s="37" t="s">
        <v>190</v>
      </c>
      <c r="Y1063" s="37">
        <v>315</v>
      </c>
      <c r="Z1063" s="37" t="s">
        <v>27</v>
      </c>
      <c r="AA1063" s="37">
        <v>104</v>
      </c>
      <c r="AB1063" s="37">
        <v>9</v>
      </c>
      <c r="AC1063" s="37" t="s">
        <v>296</v>
      </c>
      <c r="AD1063" s="37" t="s">
        <v>1881</v>
      </c>
      <c r="AF1063" s="37" t="s">
        <v>1882</v>
      </c>
    </row>
    <row r="1064" spans="3:32" x14ac:dyDescent="0.2">
      <c r="G1064" s="37" t="s">
        <v>166</v>
      </c>
      <c r="H1064" s="37" t="s">
        <v>166</v>
      </c>
      <c r="I1064" s="37" t="s">
        <v>166</v>
      </c>
      <c r="J1064" s="37" t="s">
        <v>18</v>
      </c>
      <c r="K1064" s="37">
        <v>154</v>
      </c>
      <c r="L1064" s="37">
        <v>65</v>
      </c>
      <c r="M1064" s="37">
        <v>1</v>
      </c>
      <c r="N1064" s="37">
        <v>220</v>
      </c>
      <c r="O1064" s="37">
        <v>79</v>
      </c>
      <c r="P1064" s="37">
        <v>40</v>
      </c>
      <c r="Q1064" s="37">
        <v>339</v>
      </c>
      <c r="R1064" s="37">
        <v>4408</v>
      </c>
      <c r="T1064" s="37" t="s">
        <v>166</v>
      </c>
      <c r="U1064" s="37" t="s">
        <v>166</v>
      </c>
      <c r="V1064" s="37" t="s">
        <v>166</v>
      </c>
      <c r="W1064" s="37" t="s">
        <v>18</v>
      </c>
      <c r="X1064" s="37" t="s">
        <v>166</v>
      </c>
      <c r="Y1064" s="37" t="s">
        <v>166</v>
      </c>
      <c r="Z1064" s="37" t="s">
        <v>27</v>
      </c>
      <c r="AA1064" s="37">
        <v>104</v>
      </c>
      <c r="AB1064" s="37">
        <v>9</v>
      </c>
      <c r="AC1064" s="37" t="s">
        <v>296</v>
      </c>
      <c r="AD1064" s="37" t="s">
        <v>1881</v>
      </c>
      <c r="AF1064" s="37" t="s">
        <v>1883</v>
      </c>
    </row>
    <row r="1065" spans="3:32" x14ac:dyDescent="0.2">
      <c r="C1065" s="37" t="s">
        <v>27</v>
      </c>
      <c r="D1065" s="37">
        <v>105</v>
      </c>
      <c r="E1065" s="37">
        <v>9</v>
      </c>
      <c r="F1065" s="37" t="s">
        <v>296</v>
      </c>
      <c r="G1065" s="37">
        <v>7.5</v>
      </c>
      <c r="H1065" s="37" t="s">
        <v>181</v>
      </c>
      <c r="I1065" s="37" t="s">
        <v>23</v>
      </c>
      <c r="J1065" s="37" t="s">
        <v>17</v>
      </c>
      <c r="K1065" s="37">
        <v>0</v>
      </c>
      <c r="L1065" s="37">
        <v>0</v>
      </c>
      <c r="M1065" s="37">
        <v>0</v>
      </c>
      <c r="N1065" s="37">
        <v>0</v>
      </c>
      <c r="O1065" s="37">
        <v>0</v>
      </c>
      <c r="P1065" s="37">
        <v>0</v>
      </c>
      <c r="Q1065" s="37">
        <v>0</v>
      </c>
      <c r="R1065" s="37">
        <v>0</v>
      </c>
      <c r="T1065" s="37" t="s">
        <v>181</v>
      </c>
      <c r="U1065" s="37" t="s">
        <v>328</v>
      </c>
      <c r="V1065" s="37">
        <v>55</v>
      </c>
      <c r="W1065" s="37" t="s">
        <v>18</v>
      </c>
      <c r="X1065" s="37" t="s">
        <v>190</v>
      </c>
      <c r="Y1065" s="37">
        <v>975</v>
      </c>
      <c r="Z1065" s="37" t="s">
        <v>27</v>
      </c>
      <c r="AA1065" s="37">
        <v>105</v>
      </c>
      <c r="AB1065" s="37">
        <v>9</v>
      </c>
      <c r="AC1065" s="37" t="s">
        <v>296</v>
      </c>
      <c r="AD1065" s="37" t="s">
        <v>1884</v>
      </c>
      <c r="AF1065" s="37" t="s">
        <v>1885</v>
      </c>
    </row>
    <row r="1066" spans="3:32" x14ac:dyDescent="0.2">
      <c r="G1066" s="37" t="s">
        <v>166</v>
      </c>
      <c r="H1066" s="37" t="s">
        <v>166</v>
      </c>
      <c r="I1066" s="37" t="s">
        <v>166</v>
      </c>
      <c r="J1066" s="37" t="s">
        <v>18</v>
      </c>
      <c r="K1066" s="37">
        <v>357</v>
      </c>
      <c r="L1066" s="37">
        <v>253</v>
      </c>
      <c r="M1066" s="37">
        <v>7</v>
      </c>
      <c r="N1066" s="37">
        <v>617</v>
      </c>
      <c r="O1066" s="37">
        <v>233</v>
      </c>
      <c r="P1066" s="37">
        <v>117</v>
      </c>
      <c r="Q1066" s="37">
        <v>967</v>
      </c>
      <c r="R1066" s="37">
        <v>11990</v>
      </c>
      <c r="T1066" s="37" t="s">
        <v>166</v>
      </c>
      <c r="U1066" s="37" t="s">
        <v>166</v>
      </c>
      <c r="V1066" s="37" t="s">
        <v>166</v>
      </c>
      <c r="W1066" s="37" t="s">
        <v>18</v>
      </c>
      <c r="X1066" s="37" t="s">
        <v>166</v>
      </c>
      <c r="Y1066" s="37" t="s">
        <v>166</v>
      </c>
      <c r="Z1066" s="37" t="s">
        <v>27</v>
      </c>
      <c r="AA1066" s="37">
        <v>105</v>
      </c>
      <c r="AB1066" s="37">
        <v>9</v>
      </c>
      <c r="AC1066" s="37" t="s">
        <v>296</v>
      </c>
      <c r="AD1066" s="37" t="s">
        <v>1884</v>
      </c>
      <c r="AF1066" s="37" t="s">
        <v>1886</v>
      </c>
    </row>
    <row r="1067" spans="3:32" x14ac:dyDescent="0.2">
      <c r="C1067" s="37" t="s">
        <v>27</v>
      </c>
      <c r="D1067" s="37">
        <v>105</v>
      </c>
      <c r="E1067" s="37">
        <v>9</v>
      </c>
      <c r="F1067" s="37">
        <v>2</v>
      </c>
      <c r="G1067" s="37">
        <v>4.5</v>
      </c>
      <c r="H1067" s="37" t="s">
        <v>181</v>
      </c>
      <c r="I1067" s="37" t="s">
        <v>23</v>
      </c>
      <c r="J1067" s="37" t="s">
        <v>17</v>
      </c>
      <c r="K1067" s="37">
        <v>0</v>
      </c>
      <c r="L1067" s="37">
        <v>0</v>
      </c>
      <c r="M1067" s="37">
        <v>0</v>
      </c>
      <c r="N1067" s="37">
        <v>0</v>
      </c>
      <c r="O1067" s="37">
        <v>0</v>
      </c>
      <c r="P1067" s="37">
        <v>0</v>
      </c>
      <c r="Q1067" s="37">
        <v>0</v>
      </c>
      <c r="R1067" s="37">
        <v>0</v>
      </c>
      <c r="T1067" s="37" t="s">
        <v>181</v>
      </c>
      <c r="U1067" s="37" t="s">
        <v>328</v>
      </c>
      <c r="V1067" s="37">
        <v>55</v>
      </c>
      <c r="W1067" s="37" t="s">
        <v>18</v>
      </c>
      <c r="X1067" s="37" t="s">
        <v>190</v>
      </c>
      <c r="Y1067" s="37">
        <v>585</v>
      </c>
      <c r="Z1067" s="37" t="s">
        <v>27</v>
      </c>
      <c r="AA1067" s="37">
        <v>105</v>
      </c>
      <c r="AB1067" s="37">
        <v>9</v>
      </c>
      <c r="AC1067" s="37">
        <v>2</v>
      </c>
      <c r="AD1067" s="37" t="s">
        <v>1887</v>
      </c>
      <c r="AF1067" s="37" t="s">
        <v>1888</v>
      </c>
    </row>
    <row r="1068" spans="3:32" x14ac:dyDescent="0.2">
      <c r="G1068" s="37" t="s">
        <v>166</v>
      </c>
      <c r="H1068" s="37" t="s">
        <v>166</v>
      </c>
      <c r="I1068" s="37" t="s">
        <v>166</v>
      </c>
      <c r="J1068" s="37" t="s">
        <v>18</v>
      </c>
      <c r="K1068" s="37">
        <v>160</v>
      </c>
      <c r="L1068" s="37">
        <v>182</v>
      </c>
      <c r="M1068" s="37">
        <v>4</v>
      </c>
      <c r="N1068" s="37">
        <v>346</v>
      </c>
      <c r="O1068" s="37">
        <v>134</v>
      </c>
      <c r="P1068" s="37">
        <v>67</v>
      </c>
      <c r="Q1068" s="37">
        <v>547</v>
      </c>
      <c r="R1068" s="37">
        <v>6526</v>
      </c>
      <c r="T1068" s="37" t="s">
        <v>166</v>
      </c>
      <c r="U1068" s="37" t="s">
        <v>166</v>
      </c>
      <c r="V1068" s="37" t="s">
        <v>166</v>
      </c>
      <c r="W1068" s="37" t="s">
        <v>18</v>
      </c>
      <c r="X1068" s="37" t="s">
        <v>166</v>
      </c>
      <c r="Y1068" s="37" t="s">
        <v>166</v>
      </c>
      <c r="Z1068" s="37" t="s">
        <v>27</v>
      </c>
      <c r="AA1068" s="37">
        <v>105</v>
      </c>
      <c r="AB1068" s="37">
        <v>9</v>
      </c>
      <c r="AC1068" s="37">
        <v>2</v>
      </c>
      <c r="AD1068" s="37" t="s">
        <v>1887</v>
      </c>
      <c r="AF1068" s="37" t="s">
        <v>1889</v>
      </c>
    </row>
    <row r="1069" spans="3:32" x14ac:dyDescent="0.2">
      <c r="C1069" s="37" t="s">
        <v>27</v>
      </c>
      <c r="D1069" s="37">
        <v>105</v>
      </c>
      <c r="E1069" s="37">
        <v>9</v>
      </c>
      <c r="F1069" s="37">
        <v>3</v>
      </c>
      <c r="G1069" s="37">
        <v>7</v>
      </c>
      <c r="H1069" s="37" t="s">
        <v>181</v>
      </c>
      <c r="I1069" s="37" t="s">
        <v>23</v>
      </c>
      <c r="J1069" s="37" t="s">
        <v>17</v>
      </c>
      <c r="K1069" s="37">
        <v>0</v>
      </c>
      <c r="L1069" s="37">
        <v>0</v>
      </c>
      <c r="M1069" s="37">
        <v>0</v>
      </c>
      <c r="N1069" s="37">
        <v>0</v>
      </c>
      <c r="O1069" s="37">
        <v>0</v>
      </c>
      <c r="P1069" s="37">
        <v>0</v>
      </c>
      <c r="Q1069" s="37">
        <v>0</v>
      </c>
      <c r="R1069" s="37">
        <v>0</v>
      </c>
      <c r="T1069" s="37" t="s">
        <v>181</v>
      </c>
      <c r="U1069" s="37" t="s">
        <v>328</v>
      </c>
      <c r="V1069" s="37">
        <v>55</v>
      </c>
      <c r="W1069" s="37" t="s">
        <v>18</v>
      </c>
      <c r="X1069" s="37" t="s">
        <v>190</v>
      </c>
      <c r="Y1069" s="37">
        <v>910</v>
      </c>
      <c r="Z1069" s="37" t="s">
        <v>27</v>
      </c>
      <c r="AA1069" s="37">
        <v>105</v>
      </c>
      <c r="AB1069" s="37">
        <v>9</v>
      </c>
      <c r="AC1069" s="37">
        <v>3</v>
      </c>
      <c r="AD1069" s="37" t="s">
        <v>1890</v>
      </c>
      <c r="AF1069" s="37" t="s">
        <v>1891</v>
      </c>
    </row>
    <row r="1070" spans="3:32" x14ac:dyDescent="0.2">
      <c r="G1070" s="37" t="s">
        <v>166</v>
      </c>
      <c r="H1070" s="37" t="s">
        <v>166</v>
      </c>
      <c r="I1070" s="37" t="s">
        <v>166</v>
      </c>
      <c r="J1070" s="37" t="s">
        <v>18</v>
      </c>
      <c r="K1070" s="37">
        <v>335</v>
      </c>
      <c r="L1070" s="37">
        <v>242</v>
      </c>
      <c r="M1070" s="37">
        <v>6</v>
      </c>
      <c r="N1070" s="37">
        <v>583</v>
      </c>
      <c r="O1070" s="37">
        <v>217</v>
      </c>
      <c r="P1070" s="37">
        <v>109</v>
      </c>
      <c r="Q1070" s="37">
        <v>909</v>
      </c>
      <c r="R1070" s="37">
        <v>11317</v>
      </c>
      <c r="T1070" s="37" t="s">
        <v>166</v>
      </c>
      <c r="U1070" s="37" t="s">
        <v>166</v>
      </c>
      <c r="V1070" s="37" t="s">
        <v>166</v>
      </c>
      <c r="W1070" s="37" t="s">
        <v>18</v>
      </c>
      <c r="X1070" s="37" t="s">
        <v>166</v>
      </c>
      <c r="Y1070" s="37" t="s">
        <v>166</v>
      </c>
      <c r="Z1070" s="37" t="s">
        <v>27</v>
      </c>
      <c r="AA1070" s="37">
        <v>105</v>
      </c>
      <c r="AB1070" s="37">
        <v>9</v>
      </c>
      <c r="AC1070" s="37">
        <v>3</v>
      </c>
      <c r="AD1070" s="37" t="s">
        <v>1890</v>
      </c>
      <c r="AF1070" s="37" t="s">
        <v>1892</v>
      </c>
    </row>
    <row r="1071" spans="3:32" x14ac:dyDescent="0.2">
      <c r="C1071" s="37" t="s">
        <v>27</v>
      </c>
      <c r="D1071" s="37">
        <v>106</v>
      </c>
      <c r="E1071" s="37">
        <v>8</v>
      </c>
      <c r="F1071" s="37" t="s">
        <v>296</v>
      </c>
      <c r="G1071" s="37">
        <v>5.7</v>
      </c>
      <c r="H1071" s="37" t="s">
        <v>181</v>
      </c>
      <c r="I1071" s="37" t="s">
        <v>23</v>
      </c>
      <c r="J1071" s="37" t="s">
        <v>17</v>
      </c>
      <c r="K1071" s="37">
        <v>0</v>
      </c>
      <c r="L1071" s="37">
        <v>0</v>
      </c>
      <c r="M1071" s="37">
        <v>0</v>
      </c>
      <c r="N1071" s="37">
        <v>0</v>
      </c>
      <c r="O1071" s="37">
        <v>0</v>
      </c>
      <c r="P1071" s="37">
        <v>0</v>
      </c>
      <c r="Q1071" s="37">
        <v>0</v>
      </c>
      <c r="R1071" s="37">
        <v>0</v>
      </c>
      <c r="T1071" s="37" t="s">
        <v>181</v>
      </c>
      <c r="U1071" s="37" t="s">
        <v>219</v>
      </c>
      <c r="V1071" s="37">
        <v>60</v>
      </c>
      <c r="W1071" s="37" t="s">
        <v>18</v>
      </c>
      <c r="X1071" s="37" t="s">
        <v>190</v>
      </c>
      <c r="Y1071" s="37">
        <v>798</v>
      </c>
      <c r="Z1071" s="37" t="s">
        <v>27</v>
      </c>
      <c r="AA1071" s="37">
        <v>106</v>
      </c>
      <c r="AB1071" s="37">
        <v>8</v>
      </c>
      <c r="AC1071" s="37" t="s">
        <v>296</v>
      </c>
      <c r="AD1071" s="37" t="s">
        <v>1893</v>
      </c>
      <c r="AF1071" s="37" t="s">
        <v>1894</v>
      </c>
    </row>
    <row r="1072" spans="3:32" x14ac:dyDescent="0.2">
      <c r="G1072" s="37" t="s">
        <v>166</v>
      </c>
      <c r="H1072" s="37" t="s">
        <v>166</v>
      </c>
      <c r="I1072" s="37" t="s">
        <v>166</v>
      </c>
      <c r="J1072" s="37" t="s">
        <v>18</v>
      </c>
      <c r="K1072" s="37">
        <v>294</v>
      </c>
      <c r="L1072" s="37">
        <v>206</v>
      </c>
      <c r="M1072" s="37">
        <v>7</v>
      </c>
      <c r="N1072" s="37">
        <v>507</v>
      </c>
      <c r="O1072" s="37">
        <v>182</v>
      </c>
      <c r="P1072" s="37">
        <v>93</v>
      </c>
      <c r="Q1072" s="37">
        <v>782</v>
      </c>
      <c r="R1072" s="37">
        <v>9834</v>
      </c>
      <c r="T1072" s="37" t="s">
        <v>166</v>
      </c>
      <c r="U1072" s="37" t="s">
        <v>166</v>
      </c>
      <c r="V1072" s="37" t="s">
        <v>166</v>
      </c>
      <c r="W1072" s="37" t="s">
        <v>18</v>
      </c>
      <c r="X1072" s="37" t="s">
        <v>166</v>
      </c>
      <c r="Y1072" s="37" t="s">
        <v>166</v>
      </c>
      <c r="Z1072" s="37" t="s">
        <v>27</v>
      </c>
      <c r="AA1072" s="37">
        <v>106</v>
      </c>
      <c r="AB1072" s="37">
        <v>8</v>
      </c>
      <c r="AC1072" s="37" t="s">
        <v>296</v>
      </c>
      <c r="AD1072" s="37" t="s">
        <v>1893</v>
      </c>
      <c r="AF1072" s="37" t="s">
        <v>1895</v>
      </c>
    </row>
    <row r="1073" spans="3:32" x14ac:dyDescent="0.2">
      <c r="C1073" s="37" t="s">
        <v>27</v>
      </c>
      <c r="D1073" s="37">
        <v>107</v>
      </c>
      <c r="E1073" s="37">
        <v>7</v>
      </c>
      <c r="F1073" s="37" t="s">
        <v>296</v>
      </c>
      <c r="G1073" s="37">
        <v>10</v>
      </c>
      <c r="H1073" s="37" t="s">
        <v>181</v>
      </c>
      <c r="I1073" s="37" t="s">
        <v>23</v>
      </c>
      <c r="J1073" s="37" t="s">
        <v>17</v>
      </c>
      <c r="K1073" s="37">
        <v>265</v>
      </c>
      <c r="L1073" s="37">
        <v>432</v>
      </c>
      <c r="M1073" s="37">
        <v>37</v>
      </c>
      <c r="N1073" s="37">
        <v>734</v>
      </c>
      <c r="O1073" s="37">
        <v>366</v>
      </c>
      <c r="P1073" s="37">
        <v>155</v>
      </c>
      <c r="Q1073" s="37">
        <v>1255</v>
      </c>
      <c r="R1073" s="37">
        <v>68498</v>
      </c>
      <c r="T1073" s="37" t="s">
        <v>181</v>
      </c>
      <c r="U1073" s="37" t="s">
        <v>232</v>
      </c>
      <c r="V1073" s="37">
        <v>65</v>
      </c>
      <c r="W1073" s="37" t="s">
        <v>17</v>
      </c>
      <c r="X1073" s="37" t="s">
        <v>190</v>
      </c>
      <c r="Y1073" s="37">
        <v>1200</v>
      </c>
      <c r="Z1073" s="37" t="s">
        <v>27</v>
      </c>
      <c r="AA1073" s="37">
        <v>107</v>
      </c>
      <c r="AB1073" s="37">
        <v>7</v>
      </c>
      <c r="AC1073" s="37" t="s">
        <v>296</v>
      </c>
      <c r="AD1073" s="37" t="s">
        <v>1896</v>
      </c>
      <c r="AF1073" s="37" t="s">
        <v>1897</v>
      </c>
    </row>
    <row r="1074" spans="3:32" x14ac:dyDescent="0.2">
      <c r="C1074" s="37" t="s">
        <v>27</v>
      </c>
      <c r="D1074" s="37">
        <v>107</v>
      </c>
      <c r="E1074" s="37">
        <v>15</v>
      </c>
      <c r="F1074" s="37">
        <v>2</v>
      </c>
      <c r="G1074" s="37">
        <v>3</v>
      </c>
      <c r="H1074" s="37" t="s">
        <v>181</v>
      </c>
      <c r="I1074" s="37" t="s">
        <v>23</v>
      </c>
      <c r="J1074" s="37" t="s">
        <v>17</v>
      </c>
      <c r="K1074" s="37">
        <v>0</v>
      </c>
      <c r="L1074" s="37">
        <v>0</v>
      </c>
      <c r="M1074" s="37">
        <v>0</v>
      </c>
      <c r="N1074" s="37">
        <v>0</v>
      </c>
      <c r="O1074" s="37">
        <v>0</v>
      </c>
      <c r="P1074" s="37">
        <v>0</v>
      </c>
      <c r="Q1074" s="37">
        <v>0</v>
      </c>
      <c r="R1074" s="37">
        <v>0</v>
      </c>
      <c r="T1074" s="37" t="s">
        <v>174</v>
      </c>
      <c r="U1074" s="37" t="s">
        <v>407</v>
      </c>
      <c r="V1074" s="37">
        <v>65</v>
      </c>
      <c r="W1074" s="37" t="s">
        <v>178</v>
      </c>
      <c r="X1074" s="37" t="s">
        <v>190</v>
      </c>
      <c r="Y1074" s="37">
        <v>510</v>
      </c>
      <c r="Z1074" s="37" t="s">
        <v>27</v>
      </c>
      <c r="AA1074" s="37">
        <v>107</v>
      </c>
      <c r="AB1074" s="37">
        <v>15</v>
      </c>
      <c r="AC1074" s="37">
        <v>2</v>
      </c>
      <c r="AD1074" s="37" t="s">
        <v>1898</v>
      </c>
      <c r="AF1074" s="37" t="s">
        <v>1899</v>
      </c>
    </row>
    <row r="1075" spans="3:32" x14ac:dyDescent="0.2">
      <c r="G1075" s="37" t="s">
        <v>166</v>
      </c>
      <c r="H1075" s="37" t="s">
        <v>166</v>
      </c>
      <c r="I1075" s="37" t="s">
        <v>166</v>
      </c>
      <c r="J1075" s="37" t="s">
        <v>178</v>
      </c>
      <c r="K1075" s="37">
        <v>65</v>
      </c>
      <c r="L1075" s="37">
        <v>259</v>
      </c>
      <c r="M1075" s="37">
        <v>17</v>
      </c>
      <c r="N1075" s="37">
        <v>341</v>
      </c>
      <c r="O1075" s="37">
        <v>110</v>
      </c>
      <c r="P1075" s="37">
        <v>84</v>
      </c>
      <c r="Q1075" s="37">
        <v>535</v>
      </c>
      <c r="R1075" s="37">
        <v>219810</v>
      </c>
      <c r="T1075" s="37" t="s">
        <v>166</v>
      </c>
      <c r="U1075" s="37" t="s">
        <v>166</v>
      </c>
      <c r="V1075" s="37" t="s">
        <v>166</v>
      </c>
      <c r="W1075" s="37" t="s">
        <v>178</v>
      </c>
      <c r="X1075" s="37" t="s">
        <v>166</v>
      </c>
      <c r="Y1075" s="37" t="s">
        <v>166</v>
      </c>
      <c r="Z1075" s="37" t="s">
        <v>27</v>
      </c>
      <c r="AA1075" s="37">
        <v>107</v>
      </c>
      <c r="AB1075" s="37">
        <v>15</v>
      </c>
      <c r="AC1075" s="37">
        <v>2</v>
      </c>
      <c r="AD1075" s="37" t="s">
        <v>1898</v>
      </c>
      <c r="AF1075" s="37" t="s">
        <v>1900</v>
      </c>
    </row>
    <row r="1076" spans="3:32" x14ac:dyDescent="0.2">
      <c r="C1076" s="37" t="s">
        <v>27</v>
      </c>
      <c r="D1076" s="37">
        <v>114</v>
      </c>
      <c r="E1076" s="37">
        <v>10</v>
      </c>
      <c r="F1076" s="37" t="s">
        <v>296</v>
      </c>
      <c r="G1076" s="37">
        <v>6.8</v>
      </c>
      <c r="H1076" s="37" t="s">
        <v>181</v>
      </c>
      <c r="I1076" s="37" t="s">
        <v>23</v>
      </c>
      <c r="J1076" s="37" t="s">
        <v>17</v>
      </c>
      <c r="K1076" s="37">
        <v>352</v>
      </c>
      <c r="L1076" s="37">
        <v>544</v>
      </c>
      <c r="M1076" s="37">
        <v>56</v>
      </c>
      <c r="N1076" s="37">
        <v>952</v>
      </c>
      <c r="O1076" s="37">
        <v>398</v>
      </c>
      <c r="P1076" s="37">
        <v>192</v>
      </c>
      <c r="Q1076" s="37">
        <v>1542</v>
      </c>
      <c r="R1076" s="37">
        <v>88276</v>
      </c>
      <c r="T1076" s="37" t="s">
        <v>181</v>
      </c>
      <c r="U1076" s="37" t="s">
        <v>409</v>
      </c>
      <c r="V1076" s="37">
        <v>65</v>
      </c>
      <c r="W1076" s="37" t="s">
        <v>17</v>
      </c>
      <c r="X1076" s="37" t="s">
        <v>190</v>
      </c>
      <c r="Y1076" s="37">
        <v>1428</v>
      </c>
      <c r="Z1076" s="37" t="s">
        <v>27</v>
      </c>
      <c r="AA1076" s="37">
        <v>114</v>
      </c>
      <c r="AB1076" s="37">
        <v>10</v>
      </c>
      <c r="AC1076" s="37" t="s">
        <v>296</v>
      </c>
      <c r="AD1076" s="37" t="s">
        <v>1901</v>
      </c>
      <c r="AF1076" s="37" t="s">
        <v>1902</v>
      </c>
    </row>
    <row r="1077" spans="3:32" x14ac:dyDescent="0.2">
      <c r="C1077" s="37" t="s">
        <v>27</v>
      </c>
      <c r="D1077" s="37">
        <v>120</v>
      </c>
      <c r="E1077" s="37">
        <v>4</v>
      </c>
      <c r="F1077" s="37" t="s">
        <v>296</v>
      </c>
      <c r="G1077" s="37">
        <v>3.5</v>
      </c>
      <c r="H1077" s="37" t="s">
        <v>181</v>
      </c>
      <c r="I1077" s="37" t="s">
        <v>23</v>
      </c>
      <c r="J1077" s="37" t="s">
        <v>17</v>
      </c>
      <c r="K1077" s="37">
        <v>0</v>
      </c>
      <c r="L1077" s="37">
        <v>0</v>
      </c>
      <c r="M1077" s="37">
        <v>0</v>
      </c>
      <c r="N1077" s="37">
        <v>0</v>
      </c>
      <c r="O1077" s="37">
        <v>0</v>
      </c>
      <c r="P1077" s="37">
        <v>0</v>
      </c>
      <c r="Q1077" s="37">
        <v>0</v>
      </c>
      <c r="R1077" s="37">
        <v>0</v>
      </c>
      <c r="T1077" s="37" t="s">
        <v>181</v>
      </c>
      <c r="U1077" s="37" t="s">
        <v>410</v>
      </c>
      <c r="V1077" s="37">
        <v>60</v>
      </c>
      <c r="W1077" s="37" t="s">
        <v>18</v>
      </c>
      <c r="X1077" s="37" t="s">
        <v>190</v>
      </c>
      <c r="Y1077" s="37">
        <v>525</v>
      </c>
      <c r="Z1077" s="37" t="s">
        <v>27</v>
      </c>
      <c r="AA1077" s="37">
        <v>120</v>
      </c>
      <c r="AB1077" s="37">
        <v>4</v>
      </c>
      <c r="AC1077" s="37" t="s">
        <v>296</v>
      </c>
      <c r="AD1077" s="37" t="s">
        <v>1903</v>
      </c>
      <c r="AF1077" s="37" t="s">
        <v>1904</v>
      </c>
    </row>
    <row r="1078" spans="3:32" x14ac:dyDescent="0.2">
      <c r="G1078" s="37" t="s">
        <v>166</v>
      </c>
      <c r="H1078" s="37" t="s">
        <v>166</v>
      </c>
      <c r="I1078" s="37" t="s">
        <v>166</v>
      </c>
      <c r="J1078" s="37" t="s">
        <v>18</v>
      </c>
      <c r="K1078" s="37">
        <v>215</v>
      </c>
      <c r="L1078" s="37">
        <v>165</v>
      </c>
      <c r="M1078" s="37">
        <v>4</v>
      </c>
      <c r="N1078" s="37">
        <v>384</v>
      </c>
      <c r="O1078" s="37">
        <v>136</v>
      </c>
      <c r="P1078" s="37">
        <v>70</v>
      </c>
      <c r="Q1078" s="37">
        <v>590</v>
      </c>
      <c r="R1078" s="37">
        <v>7440</v>
      </c>
      <c r="T1078" s="37" t="s">
        <v>166</v>
      </c>
      <c r="U1078" s="37" t="s">
        <v>166</v>
      </c>
      <c r="V1078" s="37" t="s">
        <v>166</v>
      </c>
      <c r="W1078" s="37" t="s">
        <v>18</v>
      </c>
      <c r="X1078" s="37" t="s">
        <v>166</v>
      </c>
      <c r="Y1078" s="37" t="s">
        <v>166</v>
      </c>
      <c r="Z1078" s="37" t="s">
        <v>27</v>
      </c>
      <c r="AA1078" s="37">
        <v>120</v>
      </c>
      <c r="AB1078" s="37">
        <v>4</v>
      </c>
      <c r="AC1078" s="37" t="s">
        <v>296</v>
      </c>
      <c r="AD1078" s="37" t="s">
        <v>1903</v>
      </c>
      <c r="AF1078" s="37" t="s">
        <v>1905</v>
      </c>
    </row>
    <row r="1079" spans="3:32" x14ac:dyDescent="0.2">
      <c r="C1079" s="37" t="s">
        <v>27</v>
      </c>
      <c r="D1079" s="37">
        <v>136</v>
      </c>
      <c r="E1079" s="37">
        <v>11</v>
      </c>
      <c r="F1079" s="37" t="s">
        <v>296</v>
      </c>
      <c r="G1079" s="37">
        <v>9.5</v>
      </c>
      <c r="H1079" s="37" t="s">
        <v>181</v>
      </c>
      <c r="I1079" s="37" t="s">
        <v>23</v>
      </c>
      <c r="J1079" s="37" t="s">
        <v>17</v>
      </c>
      <c r="K1079" s="37">
        <v>0</v>
      </c>
      <c r="L1079" s="37">
        <v>0</v>
      </c>
      <c r="M1079" s="37">
        <v>0</v>
      </c>
      <c r="N1079" s="37">
        <v>0</v>
      </c>
      <c r="O1079" s="37">
        <v>0</v>
      </c>
      <c r="P1079" s="37">
        <v>0</v>
      </c>
      <c r="Q1079" s="37">
        <v>0</v>
      </c>
      <c r="R1079" s="37">
        <v>0</v>
      </c>
      <c r="T1079" s="37" t="s">
        <v>181</v>
      </c>
      <c r="U1079" s="37" t="s">
        <v>413</v>
      </c>
      <c r="V1079" s="37">
        <v>70</v>
      </c>
      <c r="W1079" s="37" t="s">
        <v>19</v>
      </c>
      <c r="X1079" s="37" t="s">
        <v>190</v>
      </c>
      <c r="Y1079" s="37">
        <v>1995</v>
      </c>
      <c r="Z1079" s="37" t="s">
        <v>27</v>
      </c>
      <c r="AA1079" s="37">
        <v>136</v>
      </c>
      <c r="AB1079" s="37">
        <v>11</v>
      </c>
      <c r="AC1079" s="37" t="s">
        <v>296</v>
      </c>
      <c r="AD1079" s="37" t="s">
        <v>1906</v>
      </c>
      <c r="AF1079" s="37" t="s">
        <v>1907</v>
      </c>
    </row>
    <row r="1080" spans="3:32" x14ac:dyDescent="0.2">
      <c r="G1080" s="37" t="s">
        <v>166</v>
      </c>
      <c r="H1080" s="37" t="s">
        <v>166</v>
      </c>
      <c r="I1080" s="37" t="s">
        <v>166</v>
      </c>
      <c r="J1080" s="37" t="s">
        <v>19</v>
      </c>
      <c r="K1080" s="37">
        <v>228</v>
      </c>
      <c r="L1080" s="37">
        <v>805</v>
      </c>
      <c r="M1080" s="37">
        <v>68</v>
      </c>
      <c r="N1080" s="37">
        <v>1101</v>
      </c>
      <c r="O1080" s="37">
        <v>694</v>
      </c>
      <c r="P1080" s="37">
        <v>224</v>
      </c>
      <c r="Q1080" s="37">
        <v>2019</v>
      </c>
      <c r="R1080" s="37">
        <v>57175</v>
      </c>
      <c r="T1080" s="37" t="s">
        <v>166</v>
      </c>
      <c r="U1080" s="37" t="s">
        <v>166</v>
      </c>
      <c r="V1080" s="37" t="s">
        <v>166</v>
      </c>
      <c r="W1080" s="37" t="s">
        <v>19</v>
      </c>
      <c r="X1080" s="37" t="s">
        <v>166</v>
      </c>
      <c r="Y1080" s="37" t="s">
        <v>166</v>
      </c>
      <c r="Z1080" s="37" t="s">
        <v>27</v>
      </c>
      <c r="AA1080" s="37">
        <v>136</v>
      </c>
      <c r="AB1080" s="37">
        <v>11</v>
      </c>
      <c r="AC1080" s="37" t="s">
        <v>296</v>
      </c>
      <c r="AD1080" s="37" t="s">
        <v>1906</v>
      </c>
      <c r="AF1080" s="37" t="s">
        <v>1908</v>
      </c>
    </row>
    <row r="1081" spans="3:32" x14ac:dyDescent="0.2">
      <c r="C1081" s="37" t="s">
        <v>27</v>
      </c>
      <c r="D1081" s="37">
        <v>141</v>
      </c>
      <c r="E1081" s="37">
        <v>1</v>
      </c>
      <c r="F1081" s="37" t="s">
        <v>296</v>
      </c>
      <c r="G1081" s="37">
        <v>4.2</v>
      </c>
      <c r="H1081" s="37" t="s">
        <v>181</v>
      </c>
      <c r="I1081" s="37" t="s">
        <v>23</v>
      </c>
      <c r="J1081" s="37" t="s">
        <v>17</v>
      </c>
      <c r="K1081" s="37">
        <v>60</v>
      </c>
      <c r="L1081" s="37">
        <v>167</v>
      </c>
      <c r="M1081" s="37">
        <v>13</v>
      </c>
      <c r="N1081" s="37">
        <v>240</v>
      </c>
      <c r="O1081" s="37">
        <v>111</v>
      </c>
      <c r="P1081" s="37">
        <v>50</v>
      </c>
      <c r="Q1081" s="37">
        <v>401</v>
      </c>
      <c r="R1081" s="37">
        <v>21470</v>
      </c>
      <c r="T1081" s="37" t="s">
        <v>181</v>
      </c>
      <c r="U1081" s="37" t="s">
        <v>414</v>
      </c>
      <c r="V1081" s="37">
        <v>65</v>
      </c>
      <c r="W1081" s="37" t="s">
        <v>17</v>
      </c>
      <c r="X1081" s="37" t="s">
        <v>190</v>
      </c>
      <c r="Y1081" s="37">
        <v>378</v>
      </c>
      <c r="Z1081" s="37" t="s">
        <v>27</v>
      </c>
      <c r="AA1081" s="37">
        <v>141</v>
      </c>
      <c r="AB1081" s="37">
        <v>1</v>
      </c>
      <c r="AC1081" s="37" t="s">
        <v>296</v>
      </c>
      <c r="AD1081" s="37" t="s">
        <v>1909</v>
      </c>
      <c r="AF1081" s="37" t="s">
        <v>1910</v>
      </c>
    </row>
    <row r="1082" spans="3:32" x14ac:dyDescent="0.2">
      <c r="C1082" s="37" t="s">
        <v>27</v>
      </c>
      <c r="D1082" s="37">
        <v>143</v>
      </c>
      <c r="E1082" s="37">
        <v>5</v>
      </c>
      <c r="F1082" s="37" t="s">
        <v>296</v>
      </c>
      <c r="G1082" s="37">
        <v>10</v>
      </c>
      <c r="H1082" s="37" t="s">
        <v>181</v>
      </c>
      <c r="I1082" s="37" t="s">
        <v>23</v>
      </c>
      <c r="J1082" s="37" t="s">
        <v>17</v>
      </c>
      <c r="K1082" s="37">
        <v>0</v>
      </c>
      <c r="L1082" s="37">
        <v>0</v>
      </c>
      <c r="M1082" s="37">
        <v>0</v>
      </c>
      <c r="N1082" s="37">
        <v>0</v>
      </c>
      <c r="O1082" s="37">
        <v>0</v>
      </c>
      <c r="P1082" s="37">
        <v>0</v>
      </c>
      <c r="Q1082" s="37">
        <v>0</v>
      </c>
      <c r="R1082" s="37">
        <v>0</v>
      </c>
      <c r="T1082" s="37" t="s">
        <v>181</v>
      </c>
      <c r="U1082" s="37" t="s">
        <v>415</v>
      </c>
      <c r="V1082" s="37">
        <v>90</v>
      </c>
      <c r="W1082" s="37" t="s">
        <v>19</v>
      </c>
      <c r="X1082" s="37" t="s">
        <v>190</v>
      </c>
      <c r="Y1082" s="37">
        <v>1300</v>
      </c>
      <c r="Z1082" s="37" t="s">
        <v>27</v>
      </c>
      <c r="AA1082" s="37">
        <v>143</v>
      </c>
      <c r="AB1082" s="37">
        <v>5</v>
      </c>
      <c r="AC1082" s="37" t="s">
        <v>296</v>
      </c>
      <c r="AD1082" s="37" t="s">
        <v>1911</v>
      </c>
      <c r="AF1082" s="37" t="s">
        <v>1912</v>
      </c>
    </row>
    <row r="1083" spans="3:32" x14ac:dyDescent="0.2">
      <c r="G1083" s="37" t="s">
        <v>166</v>
      </c>
      <c r="H1083" s="37" t="s">
        <v>166</v>
      </c>
      <c r="I1083" s="37" t="s">
        <v>166</v>
      </c>
      <c r="J1083" s="37" t="s">
        <v>19</v>
      </c>
      <c r="K1083" s="37">
        <v>142</v>
      </c>
      <c r="L1083" s="37">
        <v>488</v>
      </c>
      <c r="M1083" s="37">
        <v>44</v>
      </c>
      <c r="N1083" s="37">
        <v>674</v>
      </c>
      <c r="O1083" s="37">
        <v>425</v>
      </c>
      <c r="P1083" s="37">
        <v>137</v>
      </c>
      <c r="Q1083" s="37">
        <v>1236</v>
      </c>
      <c r="R1083" s="37">
        <v>34989</v>
      </c>
      <c r="T1083" s="37" t="s">
        <v>166</v>
      </c>
      <c r="U1083" s="37" t="s">
        <v>166</v>
      </c>
      <c r="V1083" s="37" t="s">
        <v>166</v>
      </c>
      <c r="W1083" s="37" t="s">
        <v>19</v>
      </c>
      <c r="X1083" s="37" t="s">
        <v>166</v>
      </c>
      <c r="Y1083" s="37" t="s">
        <v>166</v>
      </c>
      <c r="Z1083" s="37" t="s">
        <v>27</v>
      </c>
      <c r="AA1083" s="37">
        <v>143</v>
      </c>
      <c r="AB1083" s="37">
        <v>5</v>
      </c>
      <c r="AC1083" s="37" t="s">
        <v>296</v>
      </c>
      <c r="AD1083" s="37" t="s">
        <v>1911</v>
      </c>
      <c r="AF1083" s="37" t="s">
        <v>1913</v>
      </c>
    </row>
    <row r="1084" spans="3:32" x14ac:dyDescent="0.2">
      <c r="C1084" s="37" t="s">
        <v>27</v>
      </c>
      <c r="D1084" s="37">
        <v>143</v>
      </c>
      <c r="E1084" s="37">
        <v>5</v>
      </c>
      <c r="F1084" s="37">
        <v>2</v>
      </c>
      <c r="G1084" s="37">
        <v>10</v>
      </c>
      <c r="H1084" s="37" t="s">
        <v>181</v>
      </c>
      <c r="I1084" s="37" t="s">
        <v>23</v>
      </c>
      <c r="J1084" s="37" t="s">
        <v>17</v>
      </c>
      <c r="K1084" s="37">
        <v>0</v>
      </c>
      <c r="L1084" s="37">
        <v>0</v>
      </c>
      <c r="M1084" s="37">
        <v>0</v>
      </c>
      <c r="N1084" s="37">
        <v>0</v>
      </c>
      <c r="O1084" s="37">
        <v>0</v>
      </c>
      <c r="P1084" s="37">
        <v>0</v>
      </c>
      <c r="Q1084" s="37">
        <v>0</v>
      </c>
      <c r="R1084" s="37">
        <v>0</v>
      </c>
      <c r="T1084" s="37" t="s">
        <v>181</v>
      </c>
      <c r="U1084" s="37" t="s">
        <v>415</v>
      </c>
      <c r="V1084" s="37">
        <v>90</v>
      </c>
      <c r="W1084" s="37" t="s">
        <v>19</v>
      </c>
      <c r="X1084" s="37" t="s">
        <v>190</v>
      </c>
      <c r="Y1084" s="37">
        <v>1300</v>
      </c>
      <c r="Z1084" s="37" t="s">
        <v>27</v>
      </c>
      <c r="AA1084" s="37">
        <v>143</v>
      </c>
      <c r="AB1084" s="37">
        <v>5</v>
      </c>
      <c r="AC1084" s="37">
        <v>2</v>
      </c>
      <c r="AD1084" s="37" t="s">
        <v>1914</v>
      </c>
      <c r="AF1084" s="37" t="s">
        <v>1915</v>
      </c>
    </row>
    <row r="1085" spans="3:32" x14ac:dyDescent="0.2">
      <c r="G1085" s="37" t="s">
        <v>166</v>
      </c>
      <c r="H1085" s="37" t="s">
        <v>166</v>
      </c>
      <c r="I1085" s="37" t="s">
        <v>166</v>
      </c>
      <c r="J1085" s="37" t="s">
        <v>19</v>
      </c>
      <c r="K1085" s="37">
        <v>143</v>
      </c>
      <c r="L1085" s="37">
        <v>493</v>
      </c>
      <c r="M1085" s="37">
        <v>47</v>
      </c>
      <c r="N1085" s="37">
        <v>683</v>
      </c>
      <c r="O1085" s="37">
        <v>418</v>
      </c>
      <c r="P1085" s="37">
        <v>137</v>
      </c>
      <c r="Q1085" s="37">
        <v>1238</v>
      </c>
      <c r="R1085" s="37">
        <v>35400</v>
      </c>
      <c r="T1085" s="37" t="s">
        <v>166</v>
      </c>
      <c r="U1085" s="37" t="s">
        <v>166</v>
      </c>
      <c r="V1085" s="37" t="s">
        <v>166</v>
      </c>
      <c r="W1085" s="37" t="s">
        <v>19</v>
      </c>
      <c r="X1085" s="37" t="s">
        <v>166</v>
      </c>
      <c r="Y1085" s="37" t="s">
        <v>166</v>
      </c>
      <c r="Z1085" s="37" t="s">
        <v>27</v>
      </c>
      <c r="AA1085" s="37">
        <v>143</v>
      </c>
      <c r="AB1085" s="37">
        <v>5</v>
      </c>
      <c r="AC1085" s="37">
        <v>2</v>
      </c>
      <c r="AD1085" s="37" t="s">
        <v>1914</v>
      </c>
      <c r="AF1085" s="37" t="s">
        <v>1916</v>
      </c>
    </row>
    <row r="1086" spans="3:32" x14ac:dyDescent="0.2">
      <c r="C1086" s="37" t="s">
        <v>39</v>
      </c>
      <c r="D1086" s="37">
        <v>6</v>
      </c>
      <c r="E1086" s="37">
        <v>10</v>
      </c>
      <c r="F1086" s="37" t="s">
        <v>296</v>
      </c>
      <c r="G1086" s="37">
        <v>4.7</v>
      </c>
      <c r="H1086" s="37" t="s">
        <v>181</v>
      </c>
      <c r="I1086" s="37" t="s">
        <v>23</v>
      </c>
      <c r="J1086" s="37" t="s">
        <v>17</v>
      </c>
      <c r="K1086" s="37">
        <v>5</v>
      </c>
      <c r="L1086" s="37">
        <v>28</v>
      </c>
      <c r="M1086" s="37">
        <v>18</v>
      </c>
      <c r="N1086" s="37">
        <v>51</v>
      </c>
      <c r="O1086" s="37">
        <v>65</v>
      </c>
      <c r="P1086" s="37">
        <v>16</v>
      </c>
      <c r="Q1086" s="37">
        <v>132</v>
      </c>
      <c r="R1086" s="37">
        <v>3981</v>
      </c>
      <c r="T1086" s="37" t="s">
        <v>181</v>
      </c>
      <c r="U1086" s="37" t="s">
        <v>207</v>
      </c>
      <c r="V1086" s="37">
        <v>55</v>
      </c>
      <c r="W1086" s="37" t="s">
        <v>18</v>
      </c>
      <c r="X1086" s="37" t="s">
        <v>190</v>
      </c>
      <c r="Y1086" s="37">
        <v>658</v>
      </c>
      <c r="Z1086" s="37" t="s">
        <v>39</v>
      </c>
      <c r="AA1086" s="37">
        <v>6</v>
      </c>
      <c r="AB1086" s="37">
        <v>10</v>
      </c>
      <c r="AC1086" s="37" t="s">
        <v>296</v>
      </c>
      <c r="AD1086" s="37" t="s">
        <v>1917</v>
      </c>
      <c r="AF1086" s="37" t="s">
        <v>1918</v>
      </c>
    </row>
    <row r="1087" spans="3:32" x14ac:dyDescent="0.2">
      <c r="G1087" s="37" t="s">
        <v>166</v>
      </c>
      <c r="H1087" s="37" t="s">
        <v>166</v>
      </c>
      <c r="I1087" s="37" t="s">
        <v>166</v>
      </c>
      <c r="J1087" s="37" t="s">
        <v>18</v>
      </c>
      <c r="K1087" s="37">
        <v>93</v>
      </c>
      <c r="L1087" s="37">
        <v>160</v>
      </c>
      <c r="M1087" s="37">
        <v>9</v>
      </c>
      <c r="N1087" s="37">
        <v>262</v>
      </c>
      <c r="O1087" s="37">
        <v>190</v>
      </c>
      <c r="P1087" s="37">
        <v>74</v>
      </c>
      <c r="Q1087" s="37">
        <v>526</v>
      </c>
      <c r="R1087" s="37">
        <v>4783</v>
      </c>
      <c r="T1087" s="37" t="s">
        <v>166</v>
      </c>
      <c r="U1087" s="37" t="s">
        <v>166</v>
      </c>
      <c r="V1087" s="37" t="s">
        <v>166</v>
      </c>
      <c r="W1087" s="37" t="s">
        <v>18</v>
      </c>
      <c r="X1087" s="37" t="s">
        <v>166</v>
      </c>
      <c r="Y1087" s="37" t="s">
        <v>166</v>
      </c>
      <c r="Z1087" s="37" t="s">
        <v>39</v>
      </c>
      <c r="AA1087" s="37">
        <v>6</v>
      </c>
      <c r="AB1087" s="37">
        <v>10</v>
      </c>
      <c r="AC1087" s="37" t="s">
        <v>296</v>
      </c>
      <c r="AD1087" s="37" t="s">
        <v>1917</v>
      </c>
      <c r="AF1087" s="37" t="s">
        <v>1919</v>
      </c>
    </row>
    <row r="1088" spans="3:32" x14ac:dyDescent="0.2">
      <c r="G1088" s="37" t="s">
        <v>166</v>
      </c>
      <c r="H1088" s="37" t="s">
        <v>166</v>
      </c>
      <c r="I1088" s="37" t="s">
        <v>166</v>
      </c>
      <c r="J1088" s="37" t="s">
        <v>19</v>
      </c>
      <c r="M1088" s="37">
        <v>1</v>
      </c>
      <c r="N1088" s="37">
        <v>1</v>
      </c>
      <c r="O1088" s="37">
        <v>0</v>
      </c>
      <c r="P1088" s="37">
        <v>0</v>
      </c>
      <c r="Q1088" s="37">
        <v>1</v>
      </c>
      <c r="R1088" s="37">
        <v>6</v>
      </c>
      <c r="T1088" s="37" t="s">
        <v>166</v>
      </c>
      <c r="U1088" s="37" t="s">
        <v>166</v>
      </c>
      <c r="V1088" s="37" t="s">
        <v>166</v>
      </c>
      <c r="W1088" s="37" t="s">
        <v>18</v>
      </c>
      <c r="X1088" s="37" t="s">
        <v>166</v>
      </c>
      <c r="Y1088" s="37" t="s">
        <v>166</v>
      </c>
      <c r="Z1088" s="37" t="s">
        <v>39</v>
      </c>
      <c r="AA1088" s="37">
        <v>6</v>
      </c>
      <c r="AB1088" s="37">
        <v>10</v>
      </c>
      <c r="AC1088" s="37" t="s">
        <v>296</v>
      </c>
      <c r="AD1088" s="37" t="s">
        <v>1917</v>
      </c>
      <c r="AF1088" s="37" t="s">
        <v>1920</v>
      </c>
    </row>
    <row r="1089" spans="3:32" x14ac:dyDescent="0.2">
      <c r="C1089" s="37" t="s">
        <v>39</v>
      </c>
      <c r="D1089" s="37">
        <v>7</v>
      </c>
      <c r="E1089" s="37">
        <v>8</v>
      </c>
      <c r="F1089" s="37" t="s">
        <v>296</v>
      </c>
      <c r="G1089" s="37">
        <v>1.5</v>
      </c>
      <c r="H1089" s="37" t="s">
        <v>181</v>
      </c>
      <c r="I1089" s="37" t="s">
        <v>23</v>
      </c>
      <c r="J1089" s="37" t="s">
        <v>17</v>
      </c>
      <c r="K1089" s="37">
        <v>0</v>
      </c>
      <c r="L1089" s="37">
        <v>0</v>
      </c>
      <c r="M1089" s="37">
        <v>0</v>
      </c>
      <c r="N1089" s="37">
        <v>0</v>
      </c>
      <c r="O1089" s="37">
        <v>0</v>
      </c>
      <c r="P1089" s="37">
        <v>0</v>
      </c>
      <c r="Q1089" s="37">
        <v>0</v>
      </c>
      <c r="R1089" s="37">
        <v>0</v>
      </c>
      <c r="T1089" s="37" t="s">
        <v>181</v>
      </c>
      <c r="U1089" s="37" t="s">
        <v>323</v>
      </c>
      <c r="V1089" s="37">
        <v>55</v>
      </c>
      <c r="W1089" s="37" t="s">
        <v>18</v>
      </c>
      <c r="X1089" s="37" t="s">
        <v>190</v>
      </c>
      <c r="Y1089" s="37">
        <v>255</v>
      </c>
      <c r="Z1089" s="37" t="s">
        <v>39</v>
      </c>
      <c r="AA1089" s="37">
        <v>7</v>
      </c>
      <c r="AB1089" s="37">
        <v>8</v>
      </c>
      <c r="AC1089" s="37" t="s">
        <v>296</v>
      </c>
      <c r="AD1089" s="37" t="s">
        <v>1921</v>
      </c>
      <c r="AF1089" s="37" t="s">
        <v>1922</v>
      </c>
    </row>
    <row r="1090" spans="3:32" x14ac:dyDescent="0.2">
      <c r="G1090" s="37" t="s">
        <v>166</v>
      </c>
      <c r="H1090" s="37" t="s">
        <v>166</v>
      </c>
      <c r="I1090" s="37" t="s">
        <v>166</v>
      </c>
      <c r="J1090" s="37" t="s">
        <v>178</v>
      </c>
      <c r="K1090" s="37">
        <v>0</v>
      </c>
      <c r="L1090" s="37">
        <v>0</v>
      </c>
      <c r="M1090" s="37">
        <v>0</v>
      </c>
      <c r="N1090" s="37">
        <v>0</v>
      </c>
      <c r="O1090" s="37">
        <v>3</v>
      </c>
      <c r="P1090" s="37">
        <v>0</v>
      </c>
      <c r="Q1090" s="37">
        <v>3</v>
      </c>
      <c r="R1090" s="37">
        <v>68</v>
      </c>
      <c r="T1090" s="37" t="s">
        <v>166</v>
      </c>
      <c r="U1090" s="37" t="s">
        <v>166</v>
      </c>
      <c r="V1090" s="37" t="s">
        <v>166</v>
      </c>
      <c r="W1090" s="37" t="s">
        <v>18</v>
      </c>
      <c r="X1090" s="37" t="s">
        <v>166</v>
      </c>
      <c r="Y1090" s="37" t="s">
        <v>166</v>
      </c>
      <c r="Z1090" s="37" t="s">
        <v>39</v>
      </c>
      <c r="AA1090" s="37">
        <v>7</v>
      </c>
      <c r="AB1090" s="37">
        <v>8</v>
      </c>
      <c r="AC1090" s="37" t="s">
        <v>296</v>
      </c>
      <c r="AD1090" s="37" t="s">
        <v>1921</v>
      </c>
      <c r="AF1090" s="37" t="s">
        <v>1923</v>
      </c>
    </row>
    <row r="1091" spans="3:32" x14ac:dyDescent="0.2">
      <c r="G1091" s="37" t="s">
        <v>166</v>
      </c>
      <c r="H1091" s="37" t="s">
        <v>166</v>
      </c>
      <c r="I1091" s="37" t="s">
        <v>166</v>
      </c>
      <c r="J1091" s="37" t="s">
        <v>19</v>
      </c>
      <c r="K1091" s="37">
        <v>0</v>
      </c>
      <c r="L1091" s="37">
        <v>5</v>
      </c>
      <c r="M1091" s="37">
        <v>3</v>
      </c>
      <c r="N1091" s="37">
        <v>8</v>
      </c>
      <c r="O1091" s="37">
        <v>15</v>
      </c>
      <c r="P1091" s="37">
        <v>3</v>
      </c>
      <c r="Q1091" s="37">
        <v>26</v>
      </c>
      <c r="R1091" s="37">
        <v>351</v>
      </c>
      <c r="T1091" s="37" t="s">
        <v>166</v>
      </c>
      <c r="U1091" s="37" t="s">
        <v>166</v>
      </c>
      <c r="V1091" s="37" t="s">
        <v>166</v>
      </c>
      <c r="W1091" s="37" t="s">
        <v>18</v>
      </c>
      <c r="X1091" s="37" t="s">
        <v>166</v>
      </c>
      <c r="Y1091" s="37" t="s">
        <v>166</v>
      </c>
      <c r="Z1091" s="37" t="s">
        <v>39</v>
      </c>
      <c r="AA1091" s="37">
        <v>7</v>
      </c>
      <c r="AB1091" s="37">
        <v>8</v>
      </c>
      <c r="AC1091" s="37" t="s">
        <v>296</v>
      </c>
      <c r="AD1091" s="37" t="s">
        <v>1921</v>
      </c>
      <c r="AF1091" s="37" t="s">
        <v>1924</v>
      </c>
    </row>
    <row r="1092" spans="3:32" x14ac:dyDescent="0.2">
      <c r="G1092" s="37" t="s">
        <v>166</v>
      </c>
      <c r="H1092" s="37" t="s">
        <v>166</v>
      </c>
      <c r="I1092" s="37" t="s">
        <v>166</v>
      </c>
      <c r="J1092" s="37" t="s">
        <v>18</v>
      </c>
      <c r="K1092" s="37">
        <v>5</v>
      </c>
      <c r="L1092" s="37">
        <v>59</v>
      </c>
      <c r="M1092" s="37">
        <v>6</v>
      </c>
      <c r="N1092" s="37">
        <v>70</v>
      </c>
      <c r="O1092" s="37">
        <v>117</v>
      </c>
      <c r="P1092" s="37">
        <v>38</v>
      </c>
      <c r="Q1092" s="37">
        <v>225</v>
      </c>
      <c r="R1092" s="37">
        <v>1181</v>
      </c>
      <c r="T1092" s="37" t="s">
        <v>166</v>
      </c>
      <c r="U1092" s="37" t="s">
        <v>166</v>
      </c>
      <c r="V1092" s="37" t="s">
        <v>166</v>
      </c>
      <c r="W1092" s="37" t="s">
        <v>18</v>
      </c>
      <c r="X1092" s="37" t="s">
        <v>166</v>
      </c>
      <c r="Y1092" s="37" t="s">
        <v>166</v>
      </c>
      <c r="Z1092" s="37" t="s">
        <v>39</v>
      </c>
      <c r="AA1092" s="37">
        <v>7</v>
      </c>
      <c r="AB1092" s="37">
        <v>8</v>
      </c>
      <c r="AC1092" s="37" t="s">
        <v>296</v>
      </c>
      <c r="AD1092" s="37" t="s">
        <v>1921</v>
      </c>
      <c r="AF1092" s="37" t="s">
        <v>1925</v>
      </c>
    </row>
    <row r="1093" spans="3:32" x14ac:dyDescent="0.2">
      <c r="C1093" s="37" t="s">
        <v>39</v>
      </c>
      <c r="D1093" s="37">
        <v>9</v>
      </c>
      <c r="E1093" s="37">
        <v>19</v>
      </c>
      <c r="F1093" s="37" t="s">
        <v>296</v>
      </c>
      <c r="G1093" s="37">
        <v>5.8</v>
      </c>
      <c r="H1093" s="37" t="s">
        <v>181</v>
      </c>
      <c r="I1093" s="37" t="s">
        <v>23</v>
      </c>
      <c r="J1093" s="37" t="s">
        <v>17</v>
      </c>
      <c r="K1093" s="37">
        <v>0</v>
      </c>
      <c r="L1093" s="37">
        <v>13</v>
      </c>
      <c r="M1093" s="37">
        <v>15</v>
      </c>
      <c r="N1093" s="37">
        <v>28</v>
      </c>
      <c r="O1093" s="37">
        <v>49</v>
      </c>
      <c r="P1093" s="37">
        <v>10</v>
      </c>
      <c r="Q1093" s="37">
        <v>87</v>
      </c>
      <c r="R1093" s="37">
        <v>2003</v>
      </c>
      <c r="T1093" s="37" t="s">
        <v>181</v>
      </c>
      <c r="U1093" s="37" t="s">
        <v>195</v>
      </c>
      <c r="V1093" s="37">
        <v>50</v>
      </c>
      <c r="W1093" s="37" t="s">
        <v>18</v>
      </c>
      <c r="X1093" s="37" t="s">
        <v>190</v>
      </c>
      <c r="Y1093" s="37">
        <v>870</v>
      </c>
      <c r="Z1093" s="37" t="s">
        <v>39</v>
      </c>
      <c r="AA1093" s="37">
        <v>9</v>
      </c>
      <c r="AB1093" s="37">
        <v>19</v>
      </c>
      <c r="AC1093" s="37" t="s">
        <v>296</v>
      </c>
      <c r="AD1093" s="37" t="s">
        <v>1926</v>
      </c>
      <c r="AF1093" s="37" t="s">
        <v>1927</v>
      </c>
    </row>
    <row r="1094" spans="3:32" x14ac:dyDescent="0.2">
      <c r="G1094" s="37" t="s">
        <v>166</v>
      </c>
      <c r="H1094" s="37" t="s">
        <v>166</v>
      </c>
      <c r="I1094" s="37" t="s">
        <v>166</v>
      </c>
      <c r="J1094" s="37" t="s">
        <v>19</v>
      </c>
      <c r="K1094" s="37">
        <v>0</v>
      </c>
      <c r="L1094" s="37">
        <v>16</v>
      </c>
      <c r="M1094" s="37">
        <v>8</v>
      </c>
      <c r="N1094" s="37">
        <v>24</v>
      </c>
      <c r="O1094" s="37">
        <v>54</v>
      </c>
      <c r="P1094" s="37">
        <v>9</v>
      </c>
      <c r="Q1094" s="37">
        <v>87</v>
      </c>
      <c r="R1094" s="37">
        <v>1023</v>
      </c>
      <c r="T1094" s="37" t="s">
        <v>166</v>
      </c>
      <c r="U1094" s="37" t="s">
        <v>166</v>
      </c>
      <c r="V1094" s="37" t="s">
        <v>166</v>
      </c>
      <c r="W1094" s="37" t="s">
        <v>18</v>
      </c>
      <c r="X1094" s="37" t="s">
        <v>166</v>
      </c>
      <c r="Y1094" s="37" t="s">
        <v>166</v>
      </c>
      <c r="Z1094" s="37" t="s">
        <v>39</v>
      </c>
      <c r="AA1094" s="37">
        <v>9</v>
      </c>
      <c r="AB1094" s="37">
        <v>19</v>
      </c>
      <c r="AC1094" s="37" t="s">
        <v>296</v>
      </c>
      <c r="AD1094" s="37" t="s">
        <v>1926</v>
      </c>
      <c r="AF1094" s="37" t="s">
        <v>1928</v>
      </c>
    </row>
    <row r="1095" spans="3:32" x14ac:dyDescent="0.2">
      <c r="G1095" s="37" t="s">
        <v>166</v>
      </c>
      <c r="H1095" s="37" t="s">
        <v>166</v>
      </c>
      <c r="I1095" s="37" t="s">
        <v>166</v>
      </c>
      <c r="J1095" s="37" t="s">
        <v>18</v>
      </c>
      <c r="K1095" s="37">
        <v>0</v>
      </c>
      <c r="L1095" s="37">
        <v>203</v>
      </c>
      <c r="M1095" s="37">
        <v>36</v>
      </c>
      <c r="N1095" s="37">
        <v>239</v>
      </c>
      <c r="O1095" s="37">
        <v>340</v>
      </c>
      <c r="P1095" s="37">
        <v>117</v>
      </c>
      <c r="Q1095" s="37">
        <v>696</v>
      </c>
      <c r="R1095" s="37">
        <v>3800</v>
      </c>
      <c r="T1095" s="37" t="s">
        <v>166</v>
      </c>
      <c r="U1095" s="37" t="s">
        <v>166</v>
      </c>
      <c r="V1095" s="37" t="s">
        <v>166</v>
      </c>
      <c r="W1095" s="37" t="s">
        <v>18</v>
      </c>
      <c r="X1095" s="37" t="s">
        <v>166</v>
      </c>
      <c r="Y1095" s="37" t="s">
        <v>166</v>
      </c>
      <c r="Z1095" s="37" t="s">
        <v>39</v>
      </c>
      <c r="AA1095" s="37">
        <v>9</v>
      </c>
      <c r="AB1095" s="37">
        <v>19</v>
      </c>
      <c r="AC1095" s="37" t="s">
        <v>296</v>
      </c>
      <c r="AD1095" s="37" t="s">
        <v>1926</v>
      </c>
      <c r="AF1095" s="37" t="s">
        <v>1929</v>
      </c>
    </row>
    <row r="1096" spans="3:32" x14ac:dyDescent="0.2">
      <c r="C1096" s="37" t="s">
        <v>39</v>
      </c>
      <c r="D1096" s="37">
        <v>10</v>
      </c>
      <c r="E1096" s="37">
        <v>1</v>
      </c>
      <c r="F1096" s="37" t="s">
        <v>296</v>
      </c>
      <c r="G1096" s="37">
        <v>5.9</v>
      </c>
      <c r="H1096" s="37" t="s">
        <v>181</v>
      </c>
      <c r="I1096" s="37" t="s">
        <v>23</v>
      </c>
      <c r="J1096" s="37" t="s">
        <v>17</v>
      </c>
      <c r="K1096" s="37">
        <v>0</v>
      </c>
      <c r="L1096" s="37">
        <v>0</v>
      </c>
      <c r="M1096" s="37">
        <v>0</v>
      </c>
      <c r="N1096" s="37">
        <v>0</v>
      </c>
      <c r="O1096" s="37">
        <v>1</v>
      </c>
      <c r="P1096" s="37">
        <v>0</v>
      </c>
      <c r="Q1096" s="37">
        <v>1</v>
      </c>
      <c r="R1096" s="37">
        <v>10</v>
      </c>
      <c r="T1096" s="37" t="s">
        <v>181</v>
      </c>
      <c r="U1096" s="37" t="s">
        <v>217</v>
      </c>
      <c r="V1096" s="37">
        <v>50</v>
      </c>
      <c r="W1096" s="37" t="s">
        <v>18</v>
      </c>
      <c r="X1096" s="37" t="s">
        <v>190</v>
      </c>
      <c r="Y1096" s="37">
        <v>826</v>
      </c>
      <c r="Z1096" s="37" t="s">
        <v>39</v>
      </c>
      <c r="AA1096" s="37">
        <v>10</v>
      </c>
      <c r="AB1096" s="37">
        <v>1</v>
      </c>
      <c r="AC1096" s="37" t="s">
        <v>296</v>
      </c>
      <c r="AD1096" s="37" t="s">
        <v>1930</v>
      </c>
      <c r="AF1096" s="37" t="s">
        <v>1931</v>
      </c>
    </row>
    <row r="1097" spans="3:32" x14ac:dyDescent="0.2">
      <c r="G1097" s="37" t="s">
        <v>166</v>
      </c>
      <c r="H1097" s="37" t="s">
        <v>166</v>
      </c>
      <c r="I1097" s="37" t="s">
        <v>166</v>
      </c>
      <c r="J1097" s="37" t="s">
        <v>19</v>
      </c>
      <c r="K1097" s="37">
        <v>0</v>
      </c>
      <c r="L1097" s="37">
        <v>15</v>
      </c>
      <c r="M1097" s="37">
        <v>10</v>
      </c>
      <c r="N1097" s="37">
        <v>25</v>
      </c>
      <c r="O1097" s="37">
        <v>49</v>
      </c>
      <c r="P1097" s="37">
        <v>8</v>
      </c>
      <c r="Q1097" s="37">
        <v>82</v>
      </c>
      <c r="R1097" s="37">
        <v>1019</v>
      </c>
      <c r="T1097" s="37" t="s">
        <v>166</v>
      </c>
      <c r="U1097" s="37" t="s">
        <v>166</v>
      </c>
      <c r="V1097" s="37" t="s">
        <v>166</v>
      </c>
      <c r="W1097" s="37" t="s">
        <v>18</v>
      </c>
      <c r="X1097" s="37" t="s">
        <v>166</v>
      </c>
      <c r="Y1097" s="37" t="s">
        <v>166</v>
      </c>
      <c r="Z1097" s="37" t="s">
        <v>39</v>
      </c>
      <c r="AA1097" s="37">
        <v>10</v>
      </c>
      <c r="AB1097" s="37">
        <v>1</v>
      </c>
      <c r="AC1097" s="37" t="s">
        <v>296</v>
      </c>
      <c r="AD1097" s="37" t="s">
        <v>1930</v>
      </c>
      <c r="AF1097" s="37" t="s">
        <v>1932</v>
      </c>
    </row>
    <row r="1098" spans="3:32" x14ac:dyDescent="0.2">
      <c r="G1098" s="37" t="s">
        <v>166</v>
      </c>
      <c r="H1098" s="37" t="s">
        <v>166</v>
      </c>
      <c r="I1098" s="37" t="s">
        <v>166</v>
      </c>
      <c r="J1098" s="37" t="s">
        <v>18</v>
      </c>
      <c r="K1098" s="37">
        <v>103</v>
      </c>
      <c r="L1098" s="37">
        <v>269</v>
      </c>
      <c r="M1098" s="37">
        <v>8</v>
      </c>
      <c r="N1098" s="37">
        <v>380</v>
      </c>
      <c r="O1098" s="37">
        <v>258</v>
      </c>
      <c r="P1098" s="37">
        <v>102</v>
      </c>
      <c r="Q1098" s="37">
        <v>740</v>
      </c>
      <c r="R1098" s="37">
        <v>6820</v>
      </c>
      <c r="T1098" s="37" t="s">
        <v>166</v>
      </c>
      <c r="U1098" s="37" t="s">
        <v>166</v>
      </c>
      <c r="V1098" s="37" t="s">
        <v>166</v>
      </c>
      <c r="W1098" s="37" t="s">
        <v>18</v>
      </c>
      <c r="X1098" s="37" t="s">
        <v>166</v>
      </c>
      <c r="Y1098" s="37" t="s">
        <v>166</v>
      </c>
      <c r="Z1098" s="37" t="s">
        <v>39</v>
      </c>
      <c r="AA1098" s="37">
        <v>10</v>
      </c>
      <c r="AB1098" s="37">
        <v>1</v>
      </c>
      <c r="AC1098" s="37" t="s">
        <v>296</v>
      </c>
      <c r="AD1098" s="37" t="s">
        <v>1930</v>
      </c>
      <c r="AF1098" s="37" t="s">
        <v>1933</v>
      </c>
    </row>
    <row r="1099" spans="3:32" x14ac:dyDescent="0.2">
      <c r="C1099" s="37" t="s">
        <v>39</v>
      </c>
      <c r="D1099" s="37">
        <v>10</v>
      </c>
      <c r="E1099" s="37">
        <v>1</v>
      </c>
      <c r="F1099" s="37">
        <v>2</v>
      </c>
      <c r="G1099" s="37">
        <v>6.3</v>
      </c>
      <c r="H1099" s="37" t="s">
        <v>181</v>
      </c>
      <c r="I1099" s="37" t="s">
        <v>23</v>
      </c>
      <c r="J1099" s="37" t="s">
        <v>17</v>
      </c>
      <c r="K1099" s="37">
        <v>0</v>
      </c>
      <c r="L1099" s="37">
        <v>0</v>
      </c>
      <c r="M1099" s="37">
        <v>0</v>
      </c>
      <c r="N1099" s="37">
        <v>0</v>
      </c>
      <c r="O1099" s="37">
        <v>1</v>
      </c>
      <c r="P1099" s="37">
        <v>0</v>
      </c>
      <c r="Q1099" s="37">
        <v>1</v>
      </c>
      <c r="R1099" s="37">
        <v>12</v>
      </c>
      <c r="T1099" s="37" t="s">
        <v>181</v>
      </c>
      <c r="U1099" s="37" t="s">
        <v>217</v>
      </c>
      <c r="V1099" s="37">
        <v>50</v>
      </c>
      <c r="W1099" s="37" t="s">
        <v>18</v>
      </c>
      <c r="X1099" s="37" t="s">
        <v>190</v>
      </c>
      <c r="Y1099" s="37">
        <v>882</v>
      </c>
      <c r="Z1099" s="37" t="s">
        <v>39</v>
      </c>
      <c r="AA1099" s="37">
        <v>10</v>
      </c>
      <c r="AB1099" s="37">
        <v>1</v>
      </c>
      <c r="AC1099" s="37">
        <v>2</v>
      </c>
      <c r="AD1099" s="37" t="s">
        <v>1934</v>
      </c>
      <c r="AF1099" s="37" t="s">
        <v>1935</v>
      </c>
    </row>
    <row r="1100" spans="3:32" x14ac:dyDescent="0.2">
      <c r="G1100" s="37" t="s">
        <v>166</v>
      </c>
      <c r="H1100" s="37" t="s">
        <v>166</v>
      </c>
      <c r="I1100" s="37" t="s">
        <v>166</v>
      </c>
      <c r="J1100" s="37" t="s">
        <v>19</v>
      </c>
      <c r="K1100" s="37">
        <v>0</v>
      </c>
      <c r="L1100" s="37">
        <v>11</v>
      </c>
      <c r="M1100" s="37">
        <v>13</v>
      </c>
      <c r="N1100" s="37">
        <v>24</v>
      </c>
      <c r="O1100" s="37">
        <v>55</v>
      </c>
      <c r="P1100" s="37">
        <v>9</v>
      </c>
      <c r="Q1100" s="37">
        <v>88</v>
      </c>
      <c r="R1100" s="37">
        <v>923</v>
      </c>
      <c r="T1100" s="37" t="s">
        <v>166</v>
      </c>
      <c r="U1100" s="37" t="s">
        <v>166</v>
      </c>
      <c r="V1100" s="37" t="s">
        <v>166</v>
      </c>
      <c r="W1100" s="37" t="s">
        <v>18</v>
      </c>
      <c r="X1100" s="37" t="s">
        <v>166</v>
      </c>
      <c r="Y1100" s="37" t="s">
        <v>166</v>
      </c>
      <c r="Z1100" s="37" t="s">
        <v>39</v>
      </c>
      <c r="AA1100" s="37">
        <v>10</v>
      </c>
      <c r="AB1100" s="37">
        <v>1</v>
      </c>
      <c r="AC1100" s="37">
        <v>2</v>
      </c>
      <c r="AD1100" s="37" t="s">
        <v>1934</v>
      </c>
      <c r="AF1100" s="37" t="s">
        <v>1936</v>
      </c>
    </row>
    <row r="1101" spans="3:32" x14ac:dyDescent="0.2">
      <c r="G1101" s="37" t="s">
        <v>166</v>
      </c>
      <c r="H1101" s="37" t="s">
        <v>166</v>
      </c>
      <c r="I1101" s="37" t="s">
        <v>166</v>
      </c>
      <c r="J1101" s="37" t="s">
        <v>18</v>
      </c>
      <c r="K1101" s="37">
        <v>131</v>
      </c>
      <c r="L1101" s="37">
        <v>258</v>
      </c>
      <c r="M1101" s="37">
        <v>14</v>
      </c>
      <c r="N1101" s="37">
        <v>403</v>
      </c>
      <c r="O1101" s="37">
        <v>351</v>
      </c>
      <c r="P1101" s="37">
        <v>131</v>
      </c>
      <c r="Q1101" s="37">
        <v>885</v>
      </c>
      <c r="R1101" s="37">
        <v>7334</v>
      </c>
      <c r="T1101" s="37" t="s">
        <v>166</v>
      </c>
      <c r="U1101" s="37" t="s">
        <v>166</v>
      </c>
      <c r="V1101" s="37" t="s">
        <v>166</v>
      </c>
      <c r="W1101" s="37" t="s">
        <v>18</v>
      </c>
      <c r="X1101" s="37" t="s">
        <v>166</v>
      </c>
      <c r="Y1101" s="37" t="s">
        <v>166</v>
      </c>
      <c r="Z1101" s="37" t="s">
        <v>39</v>
      </c>
      <c r="AA1101" s="37">
        <v>10</v>
      </c>
      <c r="AB1101" s="37">
        <v>1</v>
      </c>
      <c r="AC1101" s="37">
        <v>2</v>
      </c>
      <c r="AD1101" s="37" t="s">
        <v>1934</v>
      </c>
      <c r="AF1101" s="37" t="s">
        <v>1937</v>
      </c>
    </row>
    <row r="1102" spans="3:32" x14ac:dyDescent="0.2">
      <c r="C1102" s="37" t="s">
        <v>39</v>
      </c>
      <c r="D1102" s="37">
        <v>10</v>
      </c>
      <c r="E1102" s="37">
        <v>2</v>
      </c>
      <c r="F1102" s="37">
        <v>3</v>
      </c>
      <c r="G1102" s="37">
        <v>2.9</v>
      </c>
      <c r="H1102" s="37" t="s">
        <v>181</v>
      </c>
      <c r="I1102" s="37" t="s">
        <v>23</v>
      </c>
      <c r="J1102" s="37" t="s">
        <v>17</v>
      </c>
      <c r="K1102" s="37">
        <v>0</v>
      </c>
      <c r="L1102" s="37">
        <v>0</v>
      </c>
      <c r="M1102" s="37">
        <v>0</v>
      </c>
      <c r="N1102" s="37">
        <v>0</v>
      </c>
      <c r="O1102" s="37">
        <v>0</v>
      </c>
      <c r="P1102" s="37">
        <v>0</v>
      </c>
      <c r="Q1102" s="37">
        <v>0</v>
      </c>
      <c r="R1102" s="37">
        <v>0</v>
      </c>
      <c r="T1102" s="37" t="s">
        <v>181</v>
      </c>
      <c r="U1102" s="37" t="s">
        <v>202</v>
      </c>
      <c r="V1102" s="37">
        <v>50</v>
      </c>
      <c r="W1102" s="37" t="s">
        <v>18</v>
      </c>
      <c r="X1102" s="37" t="s">
        <v>190</v>
      </c>
      <c r="Y1102" s="37">
        <v>464</v>
      </c>
      <c r="Z1102" s="37" t="s">
        <v>39</v>
      </c>
      <c r="AA1102" s="37">
        <v>10</v>
      </c>
      <c r="AB1102" s="37">
        <v>2</v>
      </c>
      <c r="AC1102" s="37">
        <v>3</v>
      </c>
      <c r="AD1102" s="37" t="s">
        <v>1938</v>
      </c>
      <c r="AF1102" s="37" t="s">
        <v>1939</v>
      </c>
    </row>
    <row r="1103" spans="3:32" x14ac:dyDescent="0.2">
      <c r="G1103" s="37" t="s">
        <v>166</v>
      </c>
      <c r="H1103" s="37" t="s">
        <v>166</v>
      </c>
      <c r="I1103" s="37" t="s">
        <v>166</v>
      </c>
      <c r="J1103" s="37" t="s">
        <v>18</v>
      </c>
      <c r="K1103" s="37">
        <v>25</v>
      </c>
      <c r="L1103" s="37">
        <v>116</v>
      </c>
      <c r="M1103" s="37">
        <v>9</v>
      </c>
      <c r="N1103" s="37">
        <v>150</v>
      </c>
      <c r="O1103" s="37">
        <v>236</v>
      </c>
      <c r="P1103" s="37">
        <v>78</v>
      </c>
      <c r="Q1103" s="37">
        <v>464</v>
      </c>
      <c r="R1103" s="37">
        <v>2629</v>
      </c>
      <c r="T1103" s="37" t="s">
        <v>166</v>
      </c>
      <c r="U1103" s="37" t="s">
        <v>166</v>
      </c>
      <c r="V1103" s="37" t="s">
        <v>166</v>
      </c>
      <c r="W1103" s="37" t="s">
        <v>18</v>
      </c>
      <c r="X1103" s="37" t="s">
        <v>166</v>
      </c>
      <c r="Y1103" s="37" t="s">
        <v>166</v>
      </c>
      <c r="Z1103" s="37" t="s">
        <v>39</v>
      </c>
      <c r="AA1103" s="37">
        <v>10</v>
      </c>
      <c r="AB1103" s="37">
        <v>2</v>
      </c>
      <c r="AC1103" s="37">
        <v>3</v>
      </c>
      <c r="AD1103" s="37" t="s">
        <v>1938</v>
      </c>
      <c r="AF1103" s="37" t="s">
        <v>1940</v>
      </c>
    </row>
    <row r="1104" spans="3:32" x14ac:dyDescent="0.2">
      <c r="C1104" s="37" t="s">
        <v>39</v>
      </c>
      <c r="D1104" s="37">
        <v>10</v>
      </c>
      <c r="E1104" s="37">
        <v>3</v>
      </c>
      <c r="F1104" s="37">
        <v>4</v>
      </c>
      <c r="G1104" s="37">
        <v>1.2</v>
      </c>
      <c r="H1104" s="37" t="s">
        <v>181</v>
      </c>
      <c r="I1104" s="37" t="s">
        <v>23</v>
      </c>
      <c r="J1104" s="37" t="s">
        <v>17</v>
      </c>
      <c r="K1104" s="37">
        <v>0</v>
      </c>
      <c r="L1104" s="37">
        <v>0</v>
      </c>
      <c r="M1104" s="37">
        <v>0</v>
      </c>
      <c r="N1104" s="37">
        <v>0</v>
      </c>
      <c r="O1104" s="37">
        <v>0</v>
      </c>
      <c r="P1104" s="37">
        <v>0</v>
      </c>
      <c r="Q1104" s="37">
        <v>0</v>
      </c>
      <c r="R1104" s="37">
        <v>0</v>
      </c>
      <c r="T1104" s="37" t="s">
        <v>181</v>
      </c>
      <c r="U1104" s="37" t="s">
        <v>202</v>
      </c>
      <c r="V1104" s="37">
        <v>55</v>
      </c>
      <c r="W1104" s="37" t="s">
        <v>18</v>
      </c>
      <c r="X1104" s="37" t="s">
        <v>190</v>
      </c>
      <c r="Y1104" s="37">
        <v>120</v>
      </c>
      <c r="Z1104" s="37" t="s">
        <v>39</v>
      </c>
      <c r="AA1104" s="37">
        <v>10</v>
      </c>
      <c r="AB1104" s="37">
        <v>3</v>
      </c>
      <c r="AC1104" s="37">
        <v>4</v>
      </c>
      <c r="AD1104" s="37" t="s">
        <v>1941</v>
      </c>
      <c r="AF1104" s="37" t="s">
        <v>1942</v>
      </c>
    </row>
    <row r="1105" spans="3:32" x14ac:dyDescent="0.2">
      <c r="G1105" s="37" t="s">
        <v>166</v>
      </c>
      <c r="H1105" s="37" t="s">
        <v>166</v>
      </c>
      <c r="I1105" s="37" t="s">
        <v>166</v>
      </c>
      <c r="J1105" s="37" t="s">
        <v>19</v>
      </c>
      <c r="K1105" s="37">
        <v>0</v>
      </c>
      <c r="L1105" s="37">
        <v>1</v>
      </c>
      <c r="M1105" s="37">
        <v>1</v>
      </c>
      <c r="N1105" s="37">
        <v>2</v>
      </c>
      <c r="O1105" s="37">
        <v>4</v>
      </c>
      <c r="P1105" s="37">
        <v>1</v>
      </c>
      <c r="Q1105" s="37">
        <v>7</v>
      </c>
      <c r="R1105" s="37">
        <v>83</v>
      </c>
      <c r="T1105" s="37" t="s">
        <v>166</v>
      </c>
      <c r="U1105" s="37" t="s">
        <v>166</v>
      </c>
      <c r="V1105" s="37" t="s">
        <v>166</v>
      </c>
      <c r="W1105" s="37" t="s">
        <v>18</v>
      </c>
      <c r="X1105" s="37" t="s">
        <v>166</v>
      </c>
      <c r="Y1105" s="37" t="s">
        <v>166</v>
      </c>
      <c r="Z1105" s="37" t="s">
        <v>39</v>
      </c>
      <c r="AA1105" s="37">
        <v>10</v>
      </c>
      <c r="AB1105" s="37">
        <v>3</v>
      </c>
      <c r="AC1105" s="37">
        <v>4</v>
      </c>
      <c r="AD1105" s="37" t="s">
        <v>1941</v>
      </c>
      <c r="AF1105" s="37" t="s">
        <v>1943</v>
      </c>
    </row>
    <row r="1106" spans="3:32" x14ac:dyDescent="0.2">
      <c r="G1106" s="37" t="s">
        <v>166</v>
      </c>
      <c r="H1106" s="37" t="s">
        <v>166</v>
      </c>
      <c r="I1106" s="37" t="s">
        <v>166</v>
      </c>
      <c r="J1106" s="37" t="s">
        <v>18</v>
      </c>
      <c r="K1106" s="37">
        <v>10</v>
      </c>
      <c r="L1106" s="37">
        <v>22</v>
      </c>
      <c r="M1106" s="37">
        <v>1</v>
      </c>
      <c r="N1106" s="37">
        <v>33</v>
      </c>
      <c r="O1106" s="37">
        <v>61</v>
      </c>
      <c r="P1106" s="37">
        <v>19</v>
      </c>
      <c r="Q1106" s="37">
        <v>113</v>
      </c>
      <c r="R1106" s="37">
        <v>612</v>
      </c>
      <c r="T1106" s="37" t="s">
        <v>166</v>
      </c>
      <c r="U1106" s="37" t="s">
        <v>166</v>
      </c>
      <c r="V1106" s="37" t="s">
        <v>166</v>
      </c>
      <c r="W1106" s="37" t="s">
        <v>18</v>
      </c>
      <c r="X1106" s="37" t="s">
        <v>166</v>
      </c>
      <c r="Y1106" s="37" t="s">
        <v>166</v>
      </c>
      <c r="Z1106" s="37" t="s">
        <v>39</v>
      </c>
      <c r="AA1106" s="37">
        <v>10</v>
      </c>
      <c r="AB1106" s="37">
        <v>3</v>
      </c>
      <c r="AC1106" s="37">
        <v>4</v>
      </c>
      <c r="AD1106" s="37" t="s">
        <v>1941</v>
      </c>
      <c r="AF1106" s="37" t="s">
        <v>1944</v>
      </c>
    </row>
    <row r="1107" spans="3:32" x14ac:dyDescent="0.2">
      <c r="C1107" s="37" t="s">
        <v>39</v>
      </c>
      <c r="D1107" s="37">
        <v>12</v>
      </c>
      <c r="E1107" s="37">
        <v>18</v>
      </c>
      <c r="F1107" s="37" t="s">
        <v>296</v>
      </c>
      <c r="G1107" s="37">
        <v>2</v>
      </c>
      <c r="H1107" s="37" t="s">
        <v>181</v>
      </c>
      <c r="I1107" s="37" t="s">
        <v>23</v>
      </c>
      <c r="J1107" s="37" t="s">
        <v>17</v>
      </c>
      <c r="K1107" s="37">
        <v>4</v>
      </c>
      <c r="L1107" s="37">
        <v>14</v>
      </c>
      <c r="M1107" s="37">
        <v>3</v>
      </c>
      <c r="N1107" s="37">
        <v>21</v>
      </c>
      <c r="O1107" s="37">
        <v>32</v>
      </c>
      <c r="P1107" s="37">
        <v>7</v>
      </c>
      <c r="Q1107" s="37">
        <v>60</v>
      </c>
      <c r="R1107" s="37">
        <v>1935</v>
      </c>
      <c r="T1107" s="37" t="s">
        <v>181</v>
      </c>
      <c r="U1107" s="37" t="s">
        <v>210</v>
      </c>
      <c r="V1107" s="37">
        <v>45</v>
      </c>
      <c r="W1107" s="37" t="s">
        <v>18</v>
      </c>
      <c r="X1107" s="37" t="s">
        <v>190</v>
      </c>
      <c r="Y1107" s="37">
        <v>300</v>
      </c>
      <c r="Z1107" s="37" t="s">
        <v>39</v>
      </c>
      <c r="AA1107" s="37">
        <v>12</v>
      </c>
      <c r="AB1107" s="37">
        <v>18</v>
      </c>
      <c r="AC1107" s="37" t="s">
        <v>296</v>
      </c>
      <c r="AD1107" s="37" t="s">
        <v>1945</v>
      </c>
      <c r="AF1107" s="37" t="s">
        <v>1946</v>
      </c>
    </row>
    <row r="1108" spans="3:32" x14ac:dyDescent="0.2">
      <c r="G1108" s="37" t="s">
        <v>166</v>
      </c>
      <c r="H1108" s="37" t="s">
        <v>166</v>
      </c>
      <c r="I1108" s="37" t="s">
        <v>166</v>
      </c>
      <c r="J1108" s="37" t="s">
        <v>19</v>
      </c>
      <c r="K1108" s="37">
        <v>0</v>
      </c>
      <c r="L1108" s="37">
        <v>6</v>
      </c>
      <c r="M1108" s="37">
        <v>2</v>
      </c>
      <c r="N1108" s="37">
        <v>8</v>
      </c>
      <c r="O1108" s="37">
        <v>19</v>
      </c>
      <c r="P1108" s="37">
        <v>3</v>
      </c>
      <c r="Q1108" s="37">
        <v>30</v>
      </c>
      <c r="R1108" s="37">
        <v>376</v>
      </c>
      <c r="T1108" s="37" t="s">
        <v>166</v>
      </c>
      <c r="U1108" s="37" t="s">
        <v>166</v>
      </c>
      <c r="V1108" s="37" t="s">
        <v>166</v>
      </c>
      <c r="W1108" s="37" t="s">
        <v>18</v>
      </c>
      <c r="X1108" s="37" t="s">
        <v>166</v>
      </c>
      <c r="Y1108" s="37" t="s">
        <v>166</v>
      </c>
      <c r="Z1108" s="37" t="s">
        <v>39</v>
      </c>
      <c r="AA1108" s="37">
        <v>12</v>
      </c>
      <c r="AB1108" s="37">
        <v>18</v>
      </c>
      <c r="AC1108" s="37" t="s">
        <v>296</v>
      </c>
      <c r="AD1108" s="37" t="s">
        <v>1945</v>
      </c>
      <c r="AF1108" s="37" t="s">
        <v>1947</v>
      </c>
    </row>
    <row r="1109" spans="3:32" x14ac:dyDescent="0.2">
      <c r="G1109" s="37" t="s">
        <v>166</v>
      </c>
      <c r="H1109" s="37" t="s">
        <v>166</v>
      </c>
      <c r="I1109" s="37" t="s">
        <v>166</v>
      </c>
      <c r="J1109" s="37" t="s">
        <v>18</v>
      </c>
      <c r="K1109" s="37">
        <v>28</v>
      </c>
      <c r="L1109" s="37">
        <v>36</v>
      </c>
      <c r="M1109" s="37">
        <v>3</v>
      </c>
      <c r="N1109" s="37">
        <v>67</v>
      </c>
      <c r="O1109" s="37">
        <v>107</v>
      </c>
      <c r="P1109" s="37">
        <v>36</v>
      </c>
      <c r="Q1109" s="37">
        <v>210</v>
      </c>
      <c r="R1109" s="37">
        <v>1274</v>
      </c>
      <c r="T1109" s="37" t="s">
        <v>166</v>
      </c>
      <c r="U1109" s="37" t="s">
        <v>166</v>
      </c>
      <c r="V1109" s="37" t="s">
        <v>166</v>
      </c>
      <c r="W1109" s="37" t="s">
        <v>18</v>
      </c>
      <c r="X1109" s="37" t="s">
        <v>166</v>
      </c>
      <c r="Y1109" s="37" t="s">
        <v>166</v>
      </c>
      <c r="Z1109" s="37" t="s">
        <v>39</v>
      </c>
      <c r="AA1109" s="37">
        <v>12</v>
      </c>
      <c r="AB1109" s="37">
        <v>18</v>
      </c>
      <c r="AC1109" s="37" t="s">
        <v>296</v>
      </c>
      <c r="AD1109" s="37" t="s">
        <v>1945</v>
      </c>
      <c r="AF1109" s="37" t="s">
        <v>1948</v>
      </c>
    </row>
    <row r="1110" spans="3:32" x14ac:dyDescent="0.2">
      <c r="C1110" s="37" t="s">
        <v>39</v>
      </c>
      <c r="D1110" s="37">
        <v>14</v>
      </c>
      <c r="E1110" s="37">
        <v>10</v>
      </c>
      <c r="F1110" s="37" t="s">
        <v>296</v>
      </c>
      <c r="G1110" s="37">
        <v>9.3000000000000007</v>
      </c>
      <c r="H1110" s="37" t="s">
        <v>181</v>
      </c>
      <c r="I1110" s="37" t="s">
        <v>23</v>
      </c>
      <c r="J1110" s="37" t="s">
        <v>17</v>
      </c>
      <c r="K1110" s="37">
        <v>0</v>
      </c>
      <c r="L1110" s="37">
        <v>9</v>
      </c>
      <c r="M1110" s="37">
        <v>31</v>
      </c>
      <c r="N1110" s="37">
        <v>40</v>
      </c>
      <c r="O1110" s="37">
        <v>36</v>
      </c>
      <c r="P1110" s="37">
        <v>11</v>
      </c>
      <c r="Q1110" s="37">
        <v>87</v>
      </c>
      <c r="R1110" s="37">
        <v>2213</v>
      </c>
      <c r="T1110" s="37" t="s">
        <v>181</v>
      </c>
      <c r="U1110" s="37" t="s">
        <v>225</v>
      </c>
      <c r="V1110" s="37">
        <v>45</v>
      </c>
      <c r="W1110" s="37" t="s">
        <v>18</v>
      </c>
      <c r="X1110" s="37" t="s">
        <v>190</v>
      </c>
      <c r="Y1110" s="37">
        <v>2046.0000000000002</v>
      </c>
      <c r="Z1110" s="37" t="s">
        <v>39</v>
      </c>
      <c r="AA1110" s="37">
        <v>14</v>
      </c>
      <c r="AB1110" s="37">
        <v>10</v>
      </c>
      <c r="AC1110" s="37" t="s">
        <v>296</v>
      </c>
      <c r="AD1110" s="37" t="s">
        <v>1949</v>
      </c>
      <c r="AF1110" s="37" t="s">
        <v>1950</v>
      </c>
    </row>
    <row r="1111" spans="3:32" x14ac:dyDescent="0.2">
      <c r="G1111" s="37" t="s">
        <v>166</v>
      </c>
      <c r="H1111" s="37" t="s">
        <v>166</v>
      </c>
      <c r="I1111" s="37" t="s">
        <v>166</v>
      </c>
      <c r="J1111" s="37" t="s">
        <v>18</v>
      </c>
      <c r="K1111" s="37">
        <v>249</v>
      </c>
      <c r="L1111" s="37">
        <v>383</v>
      </c>
      <c r="M1111" s="37">
        <v>18</v>
      </c>
      <c r="N1111" s="37">
        <v>650</v>
      </c>
      <c r="O1111" s="37">
        <v>698</v>
      </c>
      <c r="P1111" s="37">
        <v>249</v>
      </c>
      <c r="Q1111" s="37">
        <v>1597</v>
      </c>
      <c r="R1111" s="37">
        <v>12127</v>
      </c>
      <c r="T1111" s="37" t="s">
        <v>166</v>
      </c>
      <c r="U1111" s="37" t="s">
        <v>166</v>
      </c>
      <c r="V1111" s="37" t="s">
        <v>166</v>
      </c>
      <c r="W1111" s="37" t="s">
        <v>18</v>
      </c>
      <c r="X1111" s="37" t="s">
        <v>166</v>
      </c>
      <c r="Y1111" s="37" t="s">
        <v>166</v>
      </c>
      <c r="Z1111" s="37" t="s">
        <v>39</v>
      </c>
      <c r="AA1111" s="37">
        <v>14</v>
      </c>
      <c r="AB1111" s="37">
        <v>10</v>
      </c>
      <c r="AC1111" s="37" t="s">
        <v>296</v>
      </c>
      <c r="AD1111" s="37" t="s">
        <v>1949</v>
      </c>
      <c r="AF1111" s="37" t="s">
        <v>1951</v>
      </c>
    </row>
    <row r="1112" spans="3:32" x14ac:dyDescent="0.2">
      <c r="C1112" s="37" t="s">
        <v>39</v>
      </c>
      <c r="D1112" s="37">
        <v>19</v>
      </c>
      <c r="E1112" s="37">
        <v>49</v>
      </c>
      <c r="F1112" s="37" t="s">
        <v>296</v>
      </c>
      <c r="G1112" s="37">
        <v>3.4</v>
      </c>
      <c r="H1112" s="37" t="s">
        <v>181</v>
      </c>
      <c r="I1112" s="37" t="s">
        <v>23</v>
      </c>
      <c r="J1112" s="37" t="s">
        <v>17</v>
      </c>
      <c r="K1112" s="37">
        <v>12</v>
      </c>
      <c r="L1112" s="37">
        <v>49</v>
      </c>
      <c r="M1112" s="37">
        <v>21</v>
      </c>
      <c r="N1112" s="37">
        <v>82</v>
      </c>
      <c r="O1112" s="37">
        <v>87</v>
      </c>
      <c r="P1112" s="37">
        <v>23</v>
      </c>
      <c r="Q1112" s="37">
        <v>192</v>
      </c>
      <c r="R1112" s="37">
        <v>6701</v>
      </c>
      <c r="T1112" s="37" t="s">
        <v>181</v>
      </c>
      <c r="U1112" s="37" t="s">
        <v>337</v>
      </c>
      <c r="V1112" s="37">
        <v>45</v>
      </c>
      <c r="W1112" s="37" t="s">
        <v>18</v>
      </c>
      <c r="X1112" s="37" t="s">
        <v>190</v>
      </c>
      <c r="Y1112" s="37">
        <v>646</v>
      </c>
      <c r="Z1112" s="37" t="s">
        <v>39</v>
      </c>
      <c r="AA1112" s="37">
        <v>19</v>
      </c>
      <c r="AB1112" s="37">
        <v>49</v>
      </c>
      <c r="AC1112" s="37" t="s">
        <v>296</v>
      </c>
      <c r="AD1112" s="37" t="s">
        <v>1952</v>
      </c>
      <c r="AF1112" s="37" t="s">
        <v>1953</v>
      </c>
    </row>
    <row r="1113" spans="3:32" x14ac:dyDescent="0.2">
      <c r="G1113" s="37" t="s">
        <v>166</v>
      </c>
      <c r="H1113" s="37" t="s">
        <v>166</v>
      </c>
      <c r="I1113" s="37" t="s">
        <v>166</v>
      </c>
      <c r="J1113" s="37" t="s">
        <v>18</v>
      </c>
      <c r="K1113" s="37">
        <v>62</v>
      </c>
      <c r="L1113" s="37">
        <v>134</v>
      </c>
      <c r="M1113" s="37">
        <v>9</v>
      </c>
      <c r="N1113" s="37">
        <v>205</v>
      </c>
      <c r="O1113" s="37">
        <v>181</v>
      </c>
      <c r="P1113" s="37">
        <v>67</v>
      </c>
      <c r="Q1113" s="37">
        <v>453</v>
      </c>
      <c r="R1113" s="37">
        <v>3688</v>
      </c>
      <c r="T1113" s="37" t="s">
        <v>166</v>
      </c>
      <c r="U1113" s="37" t="s">
        <v>166</v>
      </c>
      <c r="V1113" s="37" t="s">
        <v>166</v>
      </c>
      <c r="W1113" s="37" t="s">
        <v>18</v>
      </c>
      <c r="X1113" s="37" t="s">
        <v>166</v>
      </c>
      <c r="Y1113" s="37" t="s">
        <v>166</v>
      </c>
      <c r="Z1113" s="37" t="s">
        <v>39</v>
      </c>
      <c r="AA1113" s="37">
        <v>19</v>
      </c>
      <c r="AB1113" s="37">
        <v>49</v>
      </c>
      <c r="AC1113" s="37" t="s">
        <v>296</v>
      </c>
      <c r="AD1113" s="37" t="s">
        <v>1952</v>
      </c>
      <c r="AF1113" s="37" t="s">
        <v>1954</v>
      </c>
    </row>
    <row r="1114" spans="3:32" x14ac:dyDescent="0.2">
      <c r="C1114" s="37" t="s">
        <v>39</v>
      </c>
      <c r="D1114" s="37">
        <v>20</v>
      </c>
      <c r="E1114" s="37">
        <v>26</v>
      </c>
      <c r="F1114" s="37" t="s">
        <v>296</v>
      </c>
      <c r="G1114" s="37">
        <v>1.9</v>
      </c>
      <c r="H1114" s="37" t="s">
        <v>181</v>
      </c>
      <c r="I1114" s="37" t="s">
        <v>23</v>
      </c>
      <c r="J1114" s="37" t="s">
        <v>17</v>
      </c>
      <c r="K1114" s="37">
        <v>0</v>
      </c>
      <c r="L1114" s="37">
        <v>0</v>
      </c>
      <c r="M1114" s="37">
        <v>0</v>
      </c>
      <c r="N1114" s="37">
        <v>0</v>
      </c>
      <c r="O1114" s="37">
        <v>0</v>
      </c>
      <c r="P1114" s="37">
        <v>0</v>
      </c>
      <c r="Q1114" s="37">
        <v>0</v>
      </c>
      <c r="R1114" s="37">
        <v>0</v>
      </c>
      <c r="T1114" s="37" t="s">
        <v>181</v>
      </c>
      <c r="U1114" s="37" t="s">
        <v>202</v>
      </c>
      <c r="V1114" s="37">
        <v>45</v>
      </c>
      <c r="W1114" s="37" t="s">
        <v>18</v>
      </c>
      <c r="X1114" s="37" t="s">
        <v>190</v>
      </c>
      <c r="Y1114" s="37">
        <v>342</v>
      </c>
      <c r="Z1114" s="37" t="s">
        <v>39</v>
      </c>
      <c r="AA1114" s="37">
        <v>20</v>
      </c>
      <c r="AB1114" s="37">
        <v>26</v>
      </c>
      <c r="AC1114" s="37" t="s">
        <v>296</v>
      </c>
      <c r="AD1114" s="37" t="s">
        <v>1955</v>
      </c>
      <c r="AF1114" s="37" t="s">
        <v>1956</v>
      </c>
    </row>
    <row r="1115" spans="3:32" x14ac:dyDescent="0.2">
      <c r="G1115" s="37" t="s">
        <v>166</v>
      </c>
      <c r="H1115" s="37" t="s">
        <v>166</v>
      </c>
      <c r="I1115" s="37" t="s">
        <v>166</v>
      </c>
      <c r="J1115" s="37" t="s">
        <v>18</v>
      </c>
      <c r="K1115" s="37">
        <v>17</v>
      </c>
      <c r="L1115" s="37">
        <v>86</v>
      </c>
      <c r="M1115" s="37">
        <v>7</v>
      </c>
      <c r="N1115" s="37">
        <v>110</v>
      </c>
      <c r="O1115" s="37">
        <v>174</v>
      </c>
      <c r="P1115" s="37">
        <v>58</v>
      </c>
      <c r="Q1115" s="37">
        <v>342</v>
      </c>
      <c r="R1115" s="37">
        <v>1919</v>
      </c>
      <c r="T1115" s="37" t="s">
        <v>166</v>
      </c>
      <c r="U1115" s="37" t="s">
        <v>166</v>
      </c>
      <c r="V1115" s="37" t="s">
        <v>166</v>
      </c>
      <c r="W1115" s="37" t="s">
        <v>18</v>
      </c>
      <c r="X1115" s="37" t="s">
        <v>166</v>
      </c>
      <c r="Y1115" s="37" t="s">
        <v>166</v>
      </c>
      <c r="Z1115" s="37" t="s">
        <v>39</v>
      </c>
      <c r="AA1115" s="37">
        <v>20</v>
      </c>
      <c r="AB1115" s="37">
        <v>26</v>
      </c>
      <c r="AC1115" s="37" t="s">
        <v>296</v>
      </c>
      <c r="AD1115" s="37" t="s">
        <v>1955</v>
      </c>
      <c r="AF1115" s="37" t="s">
        <v>1957</v>
      </c>
    </row>
    <row r="1116" spans="3:32" x14ac:dyDescent="0.2">
      <c r="C1116" s="37" t="s">
        <v>39</v>
      </c>
      <c r="D1116" s="37">
        <v>20</v>
      </c>
      <c r="E1116" s="37">
        <v>54</v>
      </c>
      <c r="F1116" s="37">
        <v>2</v>
      </c>
      <c r="G1116" s="37">
        <v>3</v>
      </c>
      <c r="H1116" s="37" t="s">
        <v>181</v>
      </c>
      <c r="I1116" s="37" t="s">
        <v>23</v>
      </c>
      <c r="J1116" s="37" t="s">
        <v>17</v>
      </c>
      <c r="K1116" s="37">
        <v>0</v>
      </c>
      <c r="L1116" s="37">
        <v>0</v>
      </c>
      <c r="M1116" s="37">
        <v>0</v>
      </c>
      <c r="N1116" s="37">
        <v>0</v>
      </c>
      <c r="O1116" s="37">
        <v>0</v>
      </c>
      <c r="P1116" s="37">
        <v>0</v>
      </c>
      <c r="Q1116" s="37">
        <v>0</v>
      </c>
      <c r="R1116" s="37">
        <v>0</v>
      </c>
      <c r="T1116" s="37" t="s">
        <v>181</v>
      </c>
      <c r="U1116" s="37" t="s">
        <v>202</v>
      </c>
      <c r="V1116" s="37">
        <v>45</v>
      </c>
      <c r="W1116" s="37" t="s">
        <v>18</v>
      </c>
      <c r="X1116" s="37" t="s">
        <v>190</v>
      </c>
      <c r="Y1116" s="37">
        <v>540</v>
      </c>
      <c r="Z1116" s="37" t="s">
        <v>39</v>
      </c>
      <c r="AA1116" s="37">
        <v>20</v>
      </c>
      <c r="AB1116" s="37">
        <v>54</v>
      </c>
      <c r="AC1116" s="37">
        <v>2</v>
      </c>
      <c r="AD1116" s="37" t="s">
        <v>1958</v>
      </c>
      <c r="AF1116" s="37" t="s">
        <v>1959</v>
      </c>
    </row>
    <row r="1117" spans="3:32" x14ac:dyDescent="0.2">
      <c r="G1117" s="37" t="s">
        <v>166</v>
      </c>
      <c r="H1117" s="37" t="s">
        <v>166</v>
      </c>
      <c r="I1117" s="37" t="s">
        <v>166</v>
      </c>
      <c r="J1117" s="37" t="s">
        <v>19</v>
      </c>
      <c r="K1117" s="37">
        <v>0</v>
      </c>
      <c r="L1117" s="37">
        <v>0</v>
      </c>
      <c r="M1117" s="37">
        <v>0</v>
      </c>
      <c r="N1117" s="37">
        <v>0</v>
      </c>
      <c r="O1117" s="37">
        <v>1</v>
      </c>
      <c r="P1117" s="37">
        <v>0</v>
      </c>
      <c r="Q1117" s="37">
        <v>1</v>
      </c>
      <c r="R1117" s="37">
        <v>15</v>
      </c>
      <c r="T1117" s="37" t="s">
        <v>166</v>
      </c>
      <c r="U1117" s="37" t="s">
        <v>166</v>
      </c>
      <c r="V1117" s="37" t="s">
        <v>166</v>
      </c>
      <c r="W1117" s="37" t="s">
        <v>18</v>
      </c>
      <c r="X1117" s="37" t="s">
        <v>166</v>
      </c>
      <c r="Y1117" s="37" t="s">
        <v>166</v>
      </c>
      <c r="Z1117" s="37" t="s">
        <v>39</v>
      </c>
      <c r="AA1117" s="37">
        <v>20</v>
      </c>
      <c r="AB1117" s="37">
        <v>54</v>
      </c>
      <c r="AC1117" s="37">
        <v>2</v>
      </c>
      <c r="AD1117" s="37" t="s">
        <v>1958</v>
      </c>
      <c r="AF1117" s="37" t="s">
        <v>1960</v>
      </c>
    </row>
    <row r="1118" spans="3:32" x14ac:dyDescent="0.2">
      <c r="G1118" s="37" t="s">
        <v>166</v>
      </c>
      <c r="H1118" s="37" t="s">
        <v>166</v>
      </c>
      <c r="I1118" s="37" t="s">
        <v>166</v>
      </c>
      <c r="J1118" s="37" t="s">
        <v>18</v>
      </c>
      <c r="K1118" s="37">
        <v>93</v>
      </c>
      <c r="L1118" s="37">
        <v>142</v>
      </c>
      <c r="M1118" s="37">
        <v>7</v>
      </c>
      <c r="N1118" s="37">
        <v>242</v>
      </c>
      <c r="O1118" s="37">
        <v>216</v>
      </c>
      <c r="P1118" s="37">
        <v>81</v>
      </c>
      <c r="Q1118" s="37">
        <v>539</v>
      </c>
      <c r="R1118" s="37">
        <v>4489</v>
      </c>
      <c r="T1118" s="37" t="s">
        <v>166</v>
      </c>
      <c r="U1118" s="37" t="s">
        <v>166</v>
      </c>
      <c r="V1118" s="37" t="s">
        <v>166</v>
      </c>
      <c r="W1118" s="37" t="s">
        <v>18</v>
      </c>
      <c r="X1118" s="37" t="s">
        <v>166</v>
      </c>
      <c r="Y1118" s="37" t="s">
        <v>166</v>
      </c>
      <c r="Z1118" s="37" t="s">
        <v>39</v>
      </c>
      <c r="AA1118" s="37">
        <v>20</v>
      </c>
      <c r="AB1118" s="37">
        <v>54</v>
      </c>
      <c r="AC1118" s="37">
        <v>2</v>
      </c>
      <c r="AD1118" s="37" t="s">
        <v>1958</v>
      </c>
      <c r="AF1118" s="37" t="s">
        <v>1961</v>
      </c>
    </row>
    <row r="1119" spans="3:32" x14ac:dyDescent="0.2">
      <c r="C1119" s="37" t="s">
        <v>39</v>
      </c>
      <c r="D1119" s="37">
        <v>22</v>
      </c>
      <c r="E1119" s="37">
        <v>35</v>
      </c>
      <c r="F1119" s="37" t="s">
        <v>296</v>
      </c>
      <c r="G1119" s="37">
        <v>1</v>
      </c>
      <c r="H1119" s="37" t="s">
        <v>181</v>
      </c>
      <c r="I1119" s="37" t="s">
        <v>23</v>
      </c>
      <c r="J1119" s="37" t="s">
        <v>17</v>
      </c>
      <c r="K1119" s="37">
        <v>0</v>
      </c>
      <c r="L1119" s="37">
        <v>0</v>
      </c>
      <c r="M1119" s="37">
        <v>0</v>
      </c>
      <c r="N1119" s="37">
        <v>0</v>
      </c>
      <c r="O1119" s="37">
        <v>0</v>
      </c>
      <c r="P1119" s="37">
        <v>0</v>
      </c>
      <c r="Q1119" s="37">
        <v>0</v>
      </c>
      <c r="R1119" s="37">
        <v>0</v>
      </c>
      <c r="T1119" s="37" t="s">
        <v>174</v>
      </c>
      <c r="U1119" s="37" t="s">
        <v>299</v>
      </c>
      <c r="V1119" s="37">
        <v>80</v>
      </c>
      <c r="W1119" s="37" t="s">
        <v>178</v>
      </c>
      <c r="X1119" s="37" t="s">
        <v>190</v>
      </c>
      <c r="Y1119" s="37">
        <v>100</v>
      </c>
      <c r="Z1119" s="37" t="s">
        <v>39</v>
      </c>
      <c r="AA1119" s="37">
        <v>22</v>
      </c>
      <c r="AB1119" s="37">
        <v>35</v>
      </c>
      <c r="AC1119" s="37" t="s">
        <v>296</v>
      </c>
      <c r="AD1119" s="37" t="s">
        <v>1962</v>
      </c>
      <c r="AF1119" s="37" t="s">
        <v>1963</v>
      </c>
    </row>
    <row r="1120" spans="3:32" x14ac:dyDescent="0.2">
      <c r="G1120" s="37" t="s">
        <v>166</v>
      </c>
      <c r="H1120" s="37" t="s">
        <v>166</v>
      </c>
      <c r="I1120" s="37" t="s">
        <v>166</v>
      </c>
      <c r="J1120" s="37" t="s">
        <v>178</v>
      </c>
      <c r="K1120" s="37">
        <v>2</v>
      </c>
      <c r="L1120" s="37">
        <v>47</v>
      </c>
      <c r="M1120" s="37">
        <v>5</v>
      </c>
      <c r="N1120" s="37">
        <v>54</v>
      </c>
      <c r="O1120" s="37">
        <v>46</v>
      </c>
      <c r="P1120" s="37">
        <v>16</v>
      </c>
      <c r="Q1120" s="37">
        <v>116</v>
      </c>
      <c r="R1120" s="37">
        <v>32587</v>
      </c>
      <c r="T1120" s="37" t="s">
        <v>166</v>
      </c>
      <c r="U1120" s="37" t="s">
        <v>166</v>
      </c>
      <c r="V1120" s="37" t="s">
        <v>166</v>
      </c>
      <c r="W1120" s="37" t="s">
        <v>178</v>
      </c>
      <c r="X1120" s="37" t="s">
        <v>166</v>
      </c>
      <c r="Y1120" s="37" t="s">
        <v>166</v>
      </c>
      <c r="Z1120" s="37" t="s">
        <v>39</v>
      </c>
      <c r="AA1120" s="37">
        <v>22</v>
      </c>
      <c r="AB1120" s="37">
        <v>35</v>
      </c>
      <c r="AC1120" s="37" t="s">
        <v>296</v>
      </c>
      <c r="AD1120" s="37" t="s">
        <v>1962</v>
      </c>
      <c r="AF1120" s="37" t="s">
        <v>1964</v>
      </c>
    </row>
    <row r="1121" spans="3:32" x14ac:dyDescent="0.2">
      <c r="C1121" s="37" t="s">
        <v>39</v>
      </c>
      <c r="D1121" s="37">
        <v>24</v>
      </c>
      <c r="E1121" s="37">
        <v>15</v>
      </c>
      <c r="F1121" s="37" t="s">
        <v>296</v>
      </c>
      <c r="G1121" s="37">
        <v>15</v>
      </c>
      <c r="H1121" s="37" t="s">
        <v>181</v>
      </c>
      <c r="I1121" s="37" t="s">
        <v>528</v>
      </c>
      <c r="J1121" s="37" t="s">
        <v>17</v>
      </c>
      <c r="K1121" s="37">
        <v>0</v>
      </c>
      <c r="L1121" s="37">
        <v>0</v>
      </c>
      <c r="M1121" s="37">
        <v>0</v>
      </c>
      <c r="N1121" s="37">
        <v>0</v>
      </c>
      <c r="O1121" s="37">
        <v>0</v>
      </c>
      <c r="P1121" s="37">
        <v>0</v>
      </c>
      <c r="Q1121" s="37">
        <v>0</v>
      </c>
      <c r="R1121" s="37">
        <v>0</v>
      </c>
      <c r="T1121" s="37" t="s">
        <v>181</v>
      </c>
      <c r="U1121" s="37" t="s">
        <v>396</v>
      </c>
      <c r="V1121" s="37">
        <v>75</v>
      </c>
      <c r="W1121" s="37" t="s">
        <v>40</v>
      </c>
      <c r="X1121" s="37" t="s">
        <v>283</v>
      </c>
      <c r="Y1121" s="37">
        <v>3000</v>
      </c>
      <c r="Z1121" s="37" t="s">
        <v>39</v>
      </c>
      <c r="AA1121" s="37">
        <v>24</v>
      </c>
      <c r="AB1121" s="37">
        <v>15</v>
      </c>
      <c r="AC1121" s="37" t="s">
        <v>296</v>
      </c>
      <c r="AD1121" s="37" t="s">
        <v>1965</v>
      </c>
      <c r="AF1121" s="37" t="s">
        <v>1966</v>
      </c>
    </row>
    <row r="1122" spans="3:32" x14ac:dyDescent="0.2">
      <c r="G1122" s="37" t="s">
        <v>166</v>
      </c>
      <c r="H1122" s="37" t="s">
        <v>166</v>
      </c>
      <c r="I1122" s="37" t="s">
        <v>166</v>
      </c>
      <c r="J1122" s="37" t="s">
        <v>40</v>
      </c>
      <c r="K1122" s="37">
        <v>66</v>
      </c>
      <c r="L1122" s="37">
        <v>97</v>
      </c>
      <c r="M1122" s="37">
        <v>13</v>
      </c>
      <c r="N1122" s="37">
        <v>176</v>
      </c>
      <c r="O1122" s="37">
        <v>76</v>
      </c>
      <c r="P1122" s="37">
        <v>47</v>
      </c>
      <c r="Q1122" s="37">
        <v>299</v>
      </c>
      <c r="R1122" s="37">
        <v>9598</v>
      </c>
      <c r="T1122" s="37" t="s">
        <v>166</v>
      </c>
      <c r="U1122" s="37" t="s">
        <v>166</v>
      </c>
      <c r="V1122" s="37" t="s">
        <v>166</v>
      </c>
      <c r="W1122" s="37" t="s">
        <v>40</v>
      </c>
      <c r="X1122" s="37" t="s">
        <v>166</v>
      </c>
      <c r="Y1122" s="37" t="s">
        <v>166</v>
      </c>
      <c r="Z1122" s="37" t="s">
        <v>39</v>
      </c>
      <c r="AA1122" s="37">
        <v>24</v>
      </c>
      <c r="AB1122" s="37">
        <v>15</v>
      </c>
      <c r="AC1122" s="37" t="s">
        <v>296</v>
      </c>
      <c r="AD1122" s="37" t="s">
        <v>1965</v>
      </c>
      <c r="AF1122" s="37" t="s">
        <v>1967</v>
      </c>
    </row>
    <row r="1123" spans="3:32" x14ac:dyDescent="0.2">
      <c r="C1123" s="37" t="s">
        <v>39</v>
      </c>
      <c r="D1123" s="37">
        <v>28</v>
      </c>
      <c r="E1123" s="37">
        <v>24</v>
      </c>
      <c r="F1123" s="37" t="s">
        <v>296</v>
      </c>
      <c r="G1123" s="37">
        <v>1</v>
      </c>
      <c r="H1123" s="37" t="s">
        <v>181</v>
      </c>
      <c r="I1123" s="37" t="s">
        <v>23</v>
      </c>
      <c r="J1123" s="37" t="s">
        <v>17</v>
      </c>
      <c r="K1123" s="37">
        <v>1</v>
      </c>
      <c r="L1123" s="37">
        <v>4</v>
      </c>
      <c r="M1123" s="37">
        <v>2</v>
      </c>
      <c r="N1123" s="37">
        <v>7</v>
      </c>
      <c r="O1123" s="37">
        <v>20</v>
      </c>
      <c r="P1123" s="37">
        <v>4</v>
      </c>
      <c r="Q1123" s="37">
        <v>31</v>
      </c>
      <c r="R1123" s="37">
        <v>668</v>
      </c>
      <c r="T1123" s="37" t="s">
        <v>174</v>
      </c>
      <c r="U1123" s="37" t="s">
        <v>422</v>
      </c>
      <c r="V1123" s="37">
        <v>70</v>
      </c>
      <c r="W1123" s="37" t="s">
        <v>268</v>
      </c>
      <c r="X1123" s="37" t="s">
        <v>190</v>
      </c>
      <c r="Y1123" s="37">
        <v>140</v>
      </c>
      <c r="Z1123" s="37" t="s">
        <v>39</v>
      </c>
      <c r="AA1123" s="37">
        <v>28</v>
      </c>
      <c r="AB1123" s="37">
        <v>24</v>
      </c>
      <c r="AC1123" s="37" t="s">
        <v>296</v>
      </c>
      <c r="AD1123" s="37" t="s">
        <v>1968</v>
      </c>
      <c r="AF1123" s="37" t="s">
        <v>1969</v>
      </c>
    </row>
    <row r="1124" spans="3:32" x14ac:dyDescent="0.2">
      <c r="G1124" s="37" t="s">
        <v>166</v>
      </c>
      <c r="H1124" s="37" t="s">
        <v>166</v>
      </c>
      <c r="I1124" s="37" t="s">
        <v>166</v>
      </c>
      <c r="J1124" s="37" t="s">
        <v>178</v>
      </c>
      <c r="K1124" s="37">
        <v>3</v>
      </c>
      <c r="L1124" s="37">
        <v>11</v>
      </c>
      <c r="M1124" s="37">
        <v>1</v>
      </c>
      <c r="N1124" s="37">
        <v>15</v>
      </c>
      <c r="O1124" s="37">
        <v>41</v>
      </c>
      <c r="P1124" s="37">
        <v>5</v>
      </c>
      <c r="Q1124" s="37">
        <v>61</v>
      </c>
      <c r="R1124" s="37">
        <v>10354</v>
      </c>
      <c r="T1124" s="37" t="s">
        <v>166</v>
      </c>
      <c r="U1124" s="37" t="s">
        <v>166</v>
      </c>
      <c r="V1124" s="37" t="s">
        <v>166</v>
      </c>
      <c r="W1124" s="37" t="s">
        <v>268</v>
      </c>
      <c r="X1124" s="37" t="s">
        <v>166</v>
      </c>
      <c r="Y1124" s="37" t="s">
        <v>166</v>
      </c>
      <c r="Z1124" s="37" t="s">
        <v>39</v>
      </c>
      <c r="AA1124" s="37">
        <v>28</v>
      </c>
      <c r="AB1124" s="37">
        <v>24</v>
      </c>
      <c r="AC1124" s="37" t="s">
        <v>296</v>
      </c>
      <c r="AD1124" s="37" t="s">
        <v>1968</v>
      </c>
      <c r="AF1124" s="37" t="s">
        <v>1970</v>
      </c>
    </row>
    <row r="1125" spans="3:32" x14ac:dyDescent="0.2">
      <c r="G1125" s="37" t="s">
        <v>166</v>
      </c>
      <c r="H1125" s="37" t="s">
        <v>166</v>
      </c>
      <c r="I1125" s="37" t="s">
        <v>166</v>
      </c>
      <c r="J1125" s="37" t="s">
        <v>268</v>
      </c>
      <c r="K1125" s="37">
        <v>0</v>
      </c>
      <c r="L1125" s="37">
        <v>17</v>
      </c>
      <c r="M1125" s="37">
        <v>7</v>
      </c>
      <c r="N1125" s="37">
        <v>24</v>
      </c>
      <c r="O1125" s="37">
        <v>84</v>
      </c>
      <c r="P1125" s="37">
        <v>15</v>
      </c>
      <c r="Q1125" s="37">
        <v>123</v>
      </c>
      <c r="R1125" s="37">
        <v>14630</v>
      </c>
      <c r="T1125" s="37" t="s">
        <v>166</v>
      </c>
      <c r="U1125" s="37" t="s">
        <v>166</v>
      </c>
      <c r="V1125" s="37" t="s">
        <v>166</v>
      </c>
      <c r="W1125" s="37" t="s">
        <v>268</v>
      </c>
      <c r="X1125" s="37" t="s">
        <v>166</v>
      </c>
      <c r="Y1125" s="37" t="s">
        <v>166</v>
      </c>
      <c r="Z1125" s="37" t="s">
        <v>39</v>
      </c>
      <c r="AA1125" s="37">
        <v>28</v>
      </c>
      <c r="AB1125" s="37">
        <v>24</v>
      </c>
      <c r="AC1125" s="37" t="s">
        <v>296</v>
      </c>
      <c r="AD1125" s="37" t="s">
        <v>1968</v>
      </c>
      <c r="AF1125" s="37" t="s">
        <v>1971</v>
      </c>
    </row>
    <row r="1126" spans="3:32" x14ac:dyDescent="0.2">
      <c r="G1126" s="37" t="s">
        <v>166</v>
      </c>
      <c r="H1126" s="37" t="s">
        <v>166</v>
      </c>
      <c r="I1126" s="37" t="s">
        <v>166</v>
      </c>
      <c r="J1126" s="37" t="s">
        <v>19</v>
      </c>
      <c r="K1126" s="37">
        <v>0</v>
      </c>
      <c r="L1126" s="37">
        <v>13</v>
      </c>
      <c r="M1126" s="37">
        <v>4</v>
      </c>
      <c r="N1126" s="37">
        <v>17</v>
      </c>
      <c r="O1126" s="37">
        <v>38</v>
      </c>
      <c r="P1126" s="37">
        <v>7</v>
      </c>
      <c r="Q1126" s="37">
        <v>62</v>
      </c>
      <c r="R1126" s="37">
        <v>804</v>
      </c>
      <c r="T1126" s="37" t="s">
        <v>166</v>
      </c>
      <c r="U1126" s="37" t="s">
        <v>166</v>
      </c>
      <c r="V1126" s="37" t="s">
        <v>166</v>
      </c>
      <c r="W1126" s="37" t="s">
        <v>268</v>
      </c>
      <c r="X1126" s="37" t="s">
        <v>166</v>
      </c>
      <c r="Y1126" s="37" t="s">
        <v>166</v>
      </c>
      <c r="Z1126" s="37" t="s">
        <v>39</v>
      </c>
      <c r="AA1126" s="37">
        <v>28</v>
      </c>
      <c r="AB1126" s="37">
        <v>24</v>
      </c>
      <c r="AC1126" s="37" t="s">
        <v>296</v>
      </c>
      <c r="AD1126" s="37" t="s">
        <v>1968</v>
      </c>
      <c r="AF1126" s="37" t="s">
        <v>1972</v>
      </c>
    </row>
    <row r="1127" spans="3:32" x14ac:dyDescent="0.2">
      <c r="G1127" s="37" t="s">
        <v>166</v>
      </c>
      <c r="H1127" s="37" t="s">
        <v>166</v>
      </c>
      <c r="I1127" s="37" t="s">
        <v>166</v>
      </c>
      <c r="J1127" s="37" t="s">
        <v>18</v>
      </c>
      <c r="K1127" s="37">
        <v>1</v>
      </c>
      <c r="L1127" s="37">
        <v>6</v>
      </c>
      <c r="M1127" s="37">
        <v>0</v>
      </c>
      <c r="N1127" s="37">
        <v>7</v>
      </c>
      <c r="O1127" s="37">
        <v>18</v>
      </c>
      <c r="P1127" s="37">
        <v>6</v>
      </c>
      <c r="Q1127" s="37">
        <v>31</v>
      </c>
      <c r="R1127" s="37">
        <v>130</v>
      </c>
      <c r="T1127" s="37" t="s">
        <v>166</v>
      </c>
      <c r="U1127" s="37" t="s">
        <v>166</v>
      </c>
      <c r="V1127" s="37" t="s">
        <v>166</v>
      </c>
      <c r="W1127" s="37" t="s">
        <v>268</v>
      </c>
      <c r="X1127" s="37" t="s">
        <v>166</v>
      </c>
      <c r="Y1127" s="37" t="s">
        <v>166</v>
      </c>
      <c r="Z1127" s="37" t="s">
        <v>39</v>
      </c>
      <c r="AA1127" s="37">
        <v>28</v>
      </c>
      <c r="AB1127" s="37">
        <v>24</v>
      </c>
      <c r="AC1127" s="37" t="s">
        <v>296</v>
      </c>
      <c r="AD1127" s="37" t="s">
        <v>1968</v>
      </c>
      <c r="AF1127" s="37" t="s">
        <v>1973</v>
      </c>
    </row>
    <row r="1128" spans="3:32" x14ac:dyDescent="0.2">
      <c r="C1128" s="37" t="s">
        <v>39</v>
      </c>
      <c r="D1128" s="37">
        <v>29</v>
      </c>
      <c r="E1128" s="37">
        <v>10</v>
      </c>
      <c r="F1128" s="37" t="s">
        <v>296</v>
      </c>
      <c r="G1128" s="37">
        <v>5</v>
      </c>
      <c r="H1128" s="37" t="s">
        <v>181</v>
      </c>
      <c r="I1128" s="37" t="s">
        <v>23</v>
      </c>
      <c r="J1128" s="37" t="s">
        <v>17</v>
      </c>
      <c r="K1128" s="37">
        <v>0</v>
      </c>
      <c r="L1128" s="37">
        <v>0</v>
      </c>
      <c r="M1128" s="37">
        <v>0</v>
      </c>
      <c r="N1128" s="37">
        <v>0</v>
      </c>
      <c r="O1128" s="37">
        <v>0</v>
      </c>
      <c r="P1128" s="37">
        <v>0</v>
      </c>
      <c r="Q1128" s="37">
        <v>0</v>
      </c>
      <c r="R1128" s="37">
        <v>0</v>
      </c>
      <c r="T1128" s="37" t="s">
        <v>181</v>
      </c>
      <c r="U1128" s="37" t="s">
        <v>423</v>
      </c>
      <c r="V1128" s="37">
        <v>90</v>
      </c>
      <c r="W1128" s="37" t="s">
        <v>19</v>
      </c>
      <c r="X1128" s="37" t="s">
        <v>190</v>
      </c>
      <c r="Y1128" s="37">
        <v>1050</v>
      </c>
      <c r="Z1128" s="37" t="s">
        <v>39</v>
      </c>
      <c r="AA1128" s="37">
        <v>29</v>
      </c>
      <c r="AB1128" s="37">
        <v>10</v>
      </c>
      <c r="AC1128" s="37" t="s">
        <v>296</v>
      </c>
      <c r="AD1128" s="37" t="s">
        <v>1974</v>
      </c>
      <c r="AF1128" s="37" t="s">
        <v>1975</v>
      </c>
    </row>
    <row r="1129" spans="3:32" x14ac:dyDescent="0.2">
      <c r="G1129" s="37" t="s">
        <v>166</v>
      </c>
      <c r="H1129" s="37" t="s">
        <v>166</v>
      </c>
      <c r="I1129" s="37" t="s">
        <v>166</v>
      </c>
      <c r="J1129" s="37" t="s">
        <v>372</v>
      </c>
      <c r="K1129" s="37">
        <v>0</v>
      </c>
      <c r="L1129" s="37">
        <v>33</v>
      </c>
      <c r="M1129" s="37">
        <v>10</v>
      </c>
      <c r="N1129" s="37">
        <v>43</v>
      </c>
      <c r="O1129" s="37">
        <v>147</v>
      </c>
      <c r="P1129" s="37">
        <v>11</v>
      </c>
      <c r="Q1129" s="37">
        <v>201</v>
      </c>
      <c r="R1129" s="37">
        <v>2055</v>
      </c>
      <c r="T1129" s="37" t="s">
        <v>166</v>
      </c>
      <c r="U1129" s="37" t="s">
        <v>166</v>
      </c>
      <c r="V1129" s="37" t="s">
        <v>166</v>
      </c>
      <c r="W1129" s="37" t="s">
        <v>19</v>
      </c>
      <c r="X1129" s="37" t="s">
        <v>166</v>
      </c>
      <c r="Y1129" s="37" t="s">
        <v>166</v>
      </c>
      <c r="Z1129" s="37" t="s">
        <v>39</v>
      </c>
      <c r="AA1129" s="37">
        <v>29</v>
      </c>
      <c r="AB1129" s="37">
        <v>10</v>
      </c>
      <c r="AC1129" s="37" t="s">
        <v>296</v>
      </c>
      <c r="AD1129" s="37" t="s">
        <v>1974</v>
      </c>
      <c r="AF1129" s="37" t="s">
        <v>1976</v>
      </c>
    </row>
    <row r="1130" spans="3:32" x14ac:dyDescent="0.2">
      <c r="G1130" s="37" t="s">
        <v>166</v>
      </c>
      <c r="H1130" s="37" t="s">
        <v>166</v>
      </c>
      <c r="I1130" s="37" t="s">
        <v>166</v>
      </c>
      <c r="J1130" s="37" t="s">
        <v>178</v>
      </c>
      <c r="K1130" s="37">
        <v>0</v>
      </c>
      <c r="L1130" s="37">
        <v>58</v>
      </c>
      <c r="M1130" s="37">
        <v>31</v>
      </c>
      <c r="N1130" s="37">
        <v>89</v>
      </c>
      <c r="O1130" s="37">
        <v>91</v>
      </c>
      <c r="P1130" s="37">
        <v>30</v>
      </c>
      <c r="Q1130" s="37">
        <v>210</v>
      </c>
      <c r="R1130" s="37">
        <v>46920</v>
      </c>
      <c r="T1130" s="37" t="s">
        <v>166</v>
      </c>
      <c r="U1130" s="37" t="s">
        <v>166</v>
      </c>
      <c r="V1130" s="37" t="s">
        <v>166</v>
      </c>
      <c r="W1130" s="37" t="s">
        <v>19</v>
      </c>
      <c r="X1130" s="37" t="s">
        <v>166</v>
      </c>
      <c r="Y1130" s="37" t="s">
        <v>166</v>
      </c>
      <c r="Z1130" s="37" t="s">
        <v>39</v>
      </c>
      <c r="AA1130" s="37">
        <v>29</v>
      </c>
      <c r="AB1130" s="37">
        <v>10</v>
      </c>
      <c r="AC1130" s="37" t="s">
        <v>296</v>
      </c>
      <c r="AD1130" s="37" t="s">
        <v>1974</v>
      </c>
      <c r="AF1130" s="37" t="s">
        <v>1977</v>
      </c>
    </row>
    <row r="1131" spans="3:32" x14ac:dyDescent="0.2">
      <c r="G1131" s="37" t="s">
        <v>166</v>
      </c>
      <c r="H1131" s="37" t="s">
        <v>166</v>
      </c>
      <c r="I1131" s="37" t="s">
        <v>166</v>
      </c>
      <c r="J1131" s="37" t="s">
        <v>19</v>
      </c>
      <c r="K1131" s="37">
        <v>15</v>
      </c>
      <c r="L1131" s="37">
        <v>184</v>
      </c>
      <c r="M1131" s="37">
        <v>36</v>
      </c>
      <c r="N1131" s="37">
        <v>235</v>
      </c>
      <c r="O1131" s="37">
        <v>321</v>
      </c>
      <c r="P1131" s="37">
        <v>74</v>
      </c>
      <c r="Q1131" s="37">
        <v>630</v>
      </c>
      <c r="R1131" s="37">
        <v>11352</v>
      </c>
      <c r="T1131" s="37" t="s">
        <v>166</v>
      </c>
      <c r="U1131" s="37" t="s">
        <v>166</v>
      </c>
      <c r="V1131" s="37" t="s">
        <v>166</v>
      </c>
      <c r="W1131" s="37" t="s">
        <v>19</v>
      </c>
      <c r="X1131" s="37" t="s">
        <v>166</v>
      </c>
      <c r="Y1131" s="37" t="s">
        <v>166</v>
      </c>
      <c r="Z1131" s="37" t="s">
        <v>39</v>
      </c>
      <c r="AA1131" s="37">
        <v>29</v>
      </c>
      <c r="AB1131" s="37">
        <v>10</v>
      </c>
      <c r="AC1131" s="37" t="s">
        <v>296</v>
      </c>
      <c r="AD1131" s="37" t="s">
        <v>1974</v>
      </c>
      <c r="AF1131" s="37" t="s">
        <v>1978</v>
      </c>
    </row>
    <row r="1132" spans="3:32" x14ac:dyDescent="0.2">
      <c r="C1132" s="37" t="s">
        <v>39</v>
      </c>
      <c r="D1132" s="37">
        <v>31</v>
      </c>
      <c r="E1132" s="37">
        <v>12</v>
      </c>
      <c r="F1132" s="37" t="s">
        <v>296</v>
      </c>
      <c r="G1132" s="37">
        <v>4</v>
      </c>
      <c r="H1132" s="37" t="s">
        <v>181</v>
      </c>
      <c r="I1132" s="37" t="s">
        <v>23</v>
      </c>
      <c r="J1132" s="37" t="s">
        <v>17</v>
      </c>
      <c r="K1132" s="37">
        <v>0</v>
      </c>
      <c r="L1132" s="37">
        <v>21</v>
      </c>
      <c r="M1132" s="37">
        <v>6</v>
      </c>
      <c r="N1132" s="37">
        <v>27</v>
      </c>
      <c r="O1132" s="37">
        <v>44</v>
      </c>
      <c r="P1132" s="37">
        <v>9</v>
      </c>
      <c r="Q1132" s="37">
        <v>80</v>
      </c>
      <c r="R1132" s="37">
        <v>2194</v>
      </c>
      <c r="T1132" s="37" t="s">
        <v>174</v>
      </c>
      <c r="U1132" s="37" t="s">
        <v>424</v>
      </c>
      <c r="V1132" s="37">
        <v>110</v>
      </c>
      <c r="W1132" s="37" t="s">
        <v>25</v>
      </c>
      <c r="X1132" s="37" t="s">
        <v>190</v>
      </c>
      <c r="Y1132" s="37">
        <v>800</v>
      </c>
      <c r="Z1132" s="37" t="s">
        <v>39</v>
      </c>
      <c r="AA1132" s="37">
        <v>31</v>
      </c>
      <c r="AB1132" s="37">
        <v>12</v>
      </c>
      <c r="AC1132" s="37" t="s">
        <v>296</v>
      </c>
      <c r="AD1132" s="37" t="s">
        <v>1979</v>
      </c>
      <c r="AF1132" s="37" t="s">
        <v>1980</v>
      </c>
    </row>
    <row r="1133" spans="3:32" x14ac:dyDescent="0.2">
      <c r="G1133" s="37" t="s">
        <v>166</v>
      </c>
      <c r="H1133" s="37" t="s">
        <v>166</v>
      </c>
      <c r="I1133" s="37" t="s">
        <v>166</v>
      </c>
      <c r="J1133" s="37" t="s">
        <v>372</v>
      </c>
      <c r="K1133" s="37">
        <v>0</v>
      </c>
      <c r="L1133" s="37">
        <v>0</v>
      </c>
      <c r="M1133" s="37">
        <v>0</v>
      </c>
      <c r="N1133" s="37">
        <v>0</v>
      </c>
      <c r="O1133" s="37">
        <v>76</v>
      </c>
      <c r="P1133" s="37">
        <v>4</v>
      </c>
      <c r="Q1133" s="37">
        <v>80</v>
      </c>
      <c r="R1133" s="37">
        <v>101</v>
      </c>
      <c r="T1133" s="37" t="s">
        <v>166</v>
      </c>
      <c r="U1133" s="37" t="s">
        <v>166</v>
      </c>
      <c r="V1133" s="37" t="s">
        <v>166</v>
      </c>
      <c r="W1133" s="37" t="s">
        <v>25</v>
      </c>
      <c r="X1133" s="37" t="s">
        <v>166</v>
      </c>
      <c r="Y1133" s="37" t="s">
        <v>166</v>
      </c>
      <c r="Z1133" s="37" t="s">
        <v>39</v>
      </c>
      <c r="AA1133" s="37">
        <v>31</v>
      </c>
      <c r="AB1133" s="37">
        <v>12</v>
      </c>
      <c r="AC1133" s="37" t="s">
        <v>296</v>
      </c>
      <c r="AD1133" s="37" t="s">
        <v>1979</v>
      </c>
      <c r="AF1133" s="37" t="s">
        <v>1981</v>
      </c>
    </row>
    <row r="1134" spans="3:32" x14ac:dyDescent="0.2">
      <c r="G1134" s="37" t="s">
        <v>166</v>
      </c>
      <c r="H1134" s="37" t="s">
        <v>166</v>
      </c>
      <c r="I1134" s="37" t="s">
        <v>166</v>
      </c>
      <c r="J1134" s="37" t="s">
        <v>25</v>
      </c>
      <c r="K1134" s="37">
        <v>13</v>
      </c>
      <c r="L1134" s="37">
        <v>55</v>
      </c>
      <c r="M1134" s="37">
        <v>5</v>
      </c>
      <c r="N1134" s="37">
        <v>73</v>
      </c>
      <c r="O1134" s="37">
        <v>142</v>
      </c>
      <c r="P1134" s="37">
        <v>25</v>
      </c>
      <c r="Q1134" s="37">
        <v>240</v>
      </c>
      <c r="R1134" s="37">
        <v>49002</v>
      </c>
      <c r="T1134" s="37" t="s">
        <v>166</v>
      </c>
      <c r="U1134" s="37" t="s">
        <v>166</v>
      </c>
      <c r="V1134" s="37" t="s">
        <v>166</v>
      </c>
      <c r="W1134" s="37" t="s">
        <v>25</v>
      </c>
      <c r="X1134" s="37" t="s">
        <v>166</v>
      </c>
      <c r="Y1134" s="37" t="s">
        <v>166</v>
      </c>
      <c r="Z1134" s="37" t="s">
        <v>39</v>
      </c>
      <c r="AA1134" s="37">
        <v>31</v>
      </c>
      <c r="AB1134" s="37">
        <v>12</v>
      </c>
      <c r="AC1134" s="37" t="s">
        <v>296</v>
      </c>
      <c r="AD1134" s="37" t="s">
        <v>1979</v>
      </c>
      <c r="AF1134" s="37" t="s">
        <v>1982</v>
      </c>
    </row>
    <row r="1135" spans="3:32" x14ac:dyDescent="0.2">
      <c r="G1135" s="37" t="s">
        <v>166</v>
      </c>
      <c r="H1135" s="37" t="s">
        <v>166</v>
      </c>
      <c r="I1135" s="37" t="s">
        <v>166</v>
      </c>
      <c r="J1135" s="37" t="s">
        <v>268</v>
      </c>
      <c r="K1135" s="37">
        <v>0</v>
      </c>
      <c r="L1135" s="37">
        <v>0</v>
      </c>
      <c r="M1135" s="37">
        <v>0</v>
      </c>
      <c r="N1135" s="37">
        <v>0</v>
      </c>
      <c r="O1135" s="37">
        <v>68</v>
      </c>
      <c r="P1135" s="37">
        <v>11</v>
      </c>
      <c r="Q1135" s="37">
        <v>79</v>
      </c>
      <c r="R1135" s="37">
        <v>1798</v>
      </c>
      <c r="T1135" s="37" t="s">
        <v>166</v>
      </c>
      <c r="U1135" s="37" t="s">
        <v>166</v>
      </c>
      <c r="V1135" s="37" t="s">
        <v>166</v>
      </c>
      <c r="W1135" s="37" t="s">
        <v>25</v>
      </c>
      <c r="X1135" s="37" t="s">
        <v>166</v>
      </c>
      <c r="Y1135" s="37" t="s">
        <v>166</v>
      </c>
      <c r="Z1135" s="37" t="s">
        <v>39</v>
      </c>
      <c r="AA1135" s="37">
        <v>31</v>
      </c>
      <c r="AB1135" s="37">
        <v>12</v>
      </c>
      <c r="AC1135" s="37" t="s">
        <v>296</v>
      </c>
      <c r="AD1135" s="37" t="s">
        <v>1979</v>
      </c>
      <c r="AF1135" s="37" t="s">
        <v>1983</v>
      </c>
    </row>
    <row r="1136" spans="3:32" x14ac:dyDescent="0.2">
      <c r="G1136" s="37" t="s">
        <v>166</v>
      </c>
      <c r="H1136" s="37" t="s">
        <v>166</v>
      </c>
      <c r="I1136" s="37" t="s">
        <v>166</v>
      </c>
      <c r="J1136" s="37" t="s">
        <v>19</v>
      </c>
      <c r="K1136" s="37">
        <v>0</v>
      </c>
      <c r="L1136" s="37">
        <v>31</v>
      </c>
      <c r="M1136" s="37">
        <v>13</v>
      </c>
      <c r="N1136" s="37">
        <v>44</v>
      </c>
      <c r="O1136" s="37">
        <v>173</v>
      </c>
      <c r="P1136" s="37">
        <v>24</v>
      </c>
      <c r="Q1136" s="37">
        <v>241</v>
      </c>
      <c r="R1136" s="37">
        <v>2114</v>
      </c>
      <c r="T1136" s="37" t="s">
        <v>166</v>
      </c>
      <c r="U1136" s="37" t="s">
        <v>166</v>
      </c>
      <c r="V1136" s="37" t="s">
        <v>166</v>
      </c>
      <c r="W1136" s="37" t="s">
        <v>25</v>
      </c>
      <c r="X1136" s="37" t="s">
        <v>166</v>
      </c>
      <c r="Y1136" s="37" t="s">
        <v>166</v>
      </c>
      <c r="Z1136" s="37" t="s">
        <v>39</v>
      </c>
      <c r="AA1136" s="37">
        <v>31</v>
      </c>
      <c r="AB1136" s="37">
        <v>12</v>
      </c>
      <c r="AC1136" s="37" t="s">
        <v>296</v>
      </c>
      <c r="AD1136" s="37" t="s">
        <v>1979</v>
      </c>
      <c r="AF1136" s="37" t="s">
        <v>1984</v>
      </c>
    </row>
    <row r="1137" spans="3:32" x14ac:dyDescent="0.2">
      <c r="C1137" s="37" t="s">
        <v>39</v>
      </c>
      <c r="D1137" s="37">
        <v>34</v>
      </c>
      <c r="E1137" s="37">
        <v>12</v>
      </c>
      <c r="F1137" s="37" t="s">
        <v>296</v>
      </c>
      <c r="G1137" s="37">
        <v>2.6</v>
      </c>
      <c r="H1137" s="37" t="s">
        <v>181</v>
      </c>
      <c r="I1137" s="37" t="s">
        <v>23</v>
      </c>
      <c r="J1137" s="37" t="s">
        <v>17</v>
      </c>
      <c r="K1137" s="37">
        <v>10</v>
      </c>
      <c r="L1137" s="37">
        <v>37</v>
      </c>
      <c r="M1137" s="37">
        <v>15</v>
      </c>
      <c r="N1137" s="37">
        <v>62</v>
      </c>
      <c r="O1137" s="37">
        <v>164</v>
      </c>
      <c r="P1137" s="37">
        <v>28</v>
      </c>
      <c r="Q1137" s="37">
        <v>254</v>
      </c>
      <c r="R1137" s="37">
        <v>5738</v>
      </c>
      <c r="T1137" s="37" t="s">
        <v>181</v>
      </c>
      <c r="U1137" s="37" t="s">
        <v>419</v>
      </c>
      <c r="V1137" s="37">
        <v>65</v>
      </c>
      <c r="W1137" s="37" t="s">
        <v>17</v>
      </c>
      <c r="X1137" s="37" t="s">
        <v>190</v>
      </c>
      <c r="Y1137" s="37">
        <v>364</v>
      </c>
      <c r="Z1137" s="37" t="s">
        <v>39</v>
      </c>
      <c r="AA1137" s="37">
        <v>34</v>
      </c>
      <c r="AB1137" s="37">
        <v>12</v>
      </c>
      <c r="AC1137" s="37" t="s">
        <v>296</v>
      </c>
      <c r="AD1137" s="37" t="s">
        <v>1985</v>
      </c>
      <c r="AF1137" s="37" t="s">
        <v>1986</v>
      </c>
    </row>
    <row r="1138" spans="3:32" x14ac:dyDescent="0.2">
      <c r="G1138" s="37" t="s">
        <v>166</v>
      </c>
      <c r="H1138" s="37" t="s">
        <v>166</v>
      </c>
      <c r="I1138" s="37" t="s">
        <v>166</v>
      </c>
      <c r="J1138" s="37" t="s">
        <v>178</v>
      </c>
      <c r="K1138" s="37">
        <v>0</v>
      </c>
      <c r="L1138" s="37">
        <v>0</v>
      </c>
      <c r="M1138" s="37">
        <v>0</v>
      </c>
      <c r="N1138" s="37">
        <v>0</v>
      </c>
      <c r="O1138" s="37">
        <v>2</v>
      </c>
      <c r="P1138" s="37">
        <v>0</v>
      </c>
      <c r="Q1138" s="37">
        <v>2</v>
      </c>
      <c r="R1138" s="37">
        <v>52</v>
      </c>
      <c r="T1138" s="37" t="s">
        <v>166</v>
      </c>
      <c r="U1138" s="37" t="s">
        <v>166</v>
      </c>
      <c r="V1138" s="37" t="s">
        <v>166</v>
      </c>
      <c r="W1138" s="37" t="s">
        <v>17</v>
      </c>
      <c r="X1138" s="37" t="s">
        <v>166</v>
      </c>
      <c r="Y1138" s="37" t="s">
        <v>166</v>
      </c>
      <c r="Z1138" s="37" t="s">
        <v>39</v>
      </c>
      <c r="AA1138" s="37">
        <v>34</v>
      </c>
      <c r="AB1138" s="37">
        <v>12</v>
      </c>
      <c r="AC1138" s="37" t="s">
        <v>296</v>
      </c>
      <c r="AD1138" s="37" t="s">
        <v>1985</v>
      </c>
      <c r="AF1138" s="37" t="s">
        <v>1987</v>
      </c>
    </row>
    <row r="1139" spans="3:32" x14ac:dyDescent="0.2">
      <c r="G1139" s="37" t="s">
        <v>166</v>
      </c>
      <c r="H1139" s="37" t="s">
        <v>166</v>
      </c>
      <c r="I1139" s="37" t="s">
        <v>166</v>
      </c>
      <c r="J1139" s="37" t="s">
        <v>268</v>
      </c>
      <c r="K1139" s="37">
        <v>0</v>
      </c>
      <c r="L1139" s="37">
        <v>2</v>
      </c>
      <c r="M1139" s="37">
        <v>1</v>
      </c>
      <c r="N1139" s="37">
        <v>3</v>
      </c>
      <c r="O1139" s="37">
        <v>29</v>
      </c>
      <c r="P1139" s="37">
        <v>4</v>
      </c>
      <c r="Q1139" s="37">
        <v>36</v>
      </c>
      <c r="R1139" s="37">
        <v>2292</v>
      </c>
      <c r="T1139" s="37" t="s">
        <v>166</v>
      </c>
      <c r="U1139" s="37" t="s">
        <v>166</v>
      </c>
      <c r="V1139" s="37" t="s">
        <v>166</v>
      </c>
      <c r="W1139" s="37" t="s">
        <v>17</v>
      </c>
      <c r="X1139" s="37" t="s">
        <v>166</v>
      </c>
      <c r="Y1139" s="37" t="s">
        <v>166</v>
      </c>
      <c r="Z1139" s="37" t="s">
        <v>39</v>
      </c>
      <c r="AA1139" s="37">
        <v>34</v>
      </c>
      <c r="AB1139" s="37">
        <v>12</v>
      </c>
      <c r="AC1139" s="37" t="s">
        <v>296</v>
      </c>
      <c r="AD1139" s="37" t="s">
        <v>1985</v>
      </c>
      <c r="AF1139" s="37" t="s">
        <v>1988</v>
      </c>
    </row>
    <row r="1140" spans="3:32" x14ac:dyDescent="0.2">
      <c r="G1140" s="37" t="s">
        <v>166</v>
      </c>
      <c r="H1140" s="37" t="s">
        <v>166</v>
      </c>
      <c r="I1140" s="37" t="s">
        <v>166</v>
      </c>
      <c r="J1140" s="37" t="s">
        <v>19</v>
      </c>
      <c r="K1140" s="37">
        <v>0</v>
      </c>
      <c r="L1140" s="37">
        <v>19</v>
      </c>
      <c r="M1140" s="37">
        <v>6</v>
      </c>
      <c r="N1140" s="37">
        <v>25</v>
      </c>
      <c r="O1140" s="37">
        <v>39</v>
      </c>
      <c r="P1140" s="37">
        <v>8</v>
      </c>
      <c r="Q1140" s="37">
        <v>72</v>
      </c>
      <c r="R1140" s="37">
        <v>1144</v>
      </c>
      <c r="T1140" s="37" t="s">
        <v>166</v>
      </c>
      <c r="U1140" s="37" t="s">
        <v>166</v>
      </c>
      <c r="V1140" s="37" t="s">
        <v>166</v>
      </c>
      <c r="W1140" s="37" t="s">
        <v>17</v>
      </c>
      <c r="X1140" s="37" t="s">
        <v>166</v>
      </c>
      <c r="Y1140" s="37" t="s">
        <v>166</v>
      </c>
      <c r="Z1140" s="37" t="s">
        <v>39</v>
      </c>
      <c r="AA1140" s="37">
        <v>34</v>
      </c>
      <c r="AB1140" s="37">
        <v>12</v>
      </c>
      <c r="AC1140" s="37" t="s">
        <v>296</v>
      </c>
      <c r="AD1140" s="37" t="s">
        <v>1985</v>
      </c>
      <c r="AF1140" s="37" t="s">
        <v>1989</v>
      </c>
    </row>
    <row r="1141" spans="3:32" x14ac:dyDescent="0.2">
      <c r="C1141" s="37" t="s">
        <v>39</v>
      </c>
      <c r="D1141" s="37">
        <v>49</v>
      </c>
      <c r="E1141" s="37">
        <v>26</v>
      </c>
      <c r="F1141" s="37" t="s">
        <v>296</v>
      </c>
      <c r="G1141" s="37">
        <v>4</v>
      </c>
      <c r="H1141" s="37" t="s">
        <v>181</v>
      </c>
      <c r="I1141" s="37" t="s">
        <v>23</v>
      </c>
      <c r="J1141" s="37" t="s">
        <v>17</v>
      </c>
      <c r="K1141" s="37">
        <v>22</v>
      </c>
      <c r="L1141" s="37">
        <v>117</v>
      </c>
      <c r="M1141" s="37">
        <v>46</v>
      </c>
      <c r="N1141" s="37">
        <v>185</v>
      </c>
      <c r="O1141" s="37">
        <v>294</v>
      </c>
      <c r="P1141" s="37">
        <v>63</v>
      </c>
      <c r="Q1141" s="37">
        <v>542</v>
      </c>
      <c r="R1141" s="37">
        <v>15643</v>
      </c>
      <c r="T1141" s="37" t="s">
        <v>181</v>
      </c>
      <c r="U1141" s="37" t="s">
        <v>411</v>
      </c>
      <c r="V1141" s="37">
        <v>70</v>
      </c>
      <c r="W1141" s="37" t="s">
        <v>17</v>
      </c>
      <c r="X1141" s="37" t="s">
        <v>190</v>
      </c>
      <c r="Y1141" s="37">
        <v>560</v>
      </c>
      <c r="Z1141" s="37" t="s">
        <v>39</v>
      </c>
      <c r="AA1141" s="37">
        <v>49</v>
      </c>
      <c r="AB1141" s="37">
        <v>26</v>
      </c>
      <c r="AC1141" s="37" t="s">
        <v>296</v>
      </c>
      <c r="AD1141" s="37" t="s">
        <v>1990</v>
      </c>
      <c r="AF1141" s="37" t="s">
        <v>1991</v>
      </c>
    </row>
    <row r="1142" spans="3:32" x14ac:dyDescent="0.2">
      <c r="G1142" s="37" t="s">
        <v>166</v>
      </c>
      <c r="H1142" s="37" t="s">
        <v>166</v>
      </c>
      <c r="I1142" s="37" t="s">
        <v>166</v>
      </c>
      <c r="J1142" s="37" t="s">
        <v>40</v>
      </c>
      <c r="K1142" s="37">
        <v>0</v>
      </c>
      <c r="L1142" s="37">
        <v>3</v>
      </c>
      <c r="M1142" s="37">
        <v>4</v>
      </c>
      <c r="N1142" s="37">
        <v>7</v>
      </c>
      <c r="O1142" s="37">
        <v>8</v>
      </c>
      <c r="P1142" s="37">
        <v>3</v>
      </c>
      <c r="Q1142" s="37">
        <v>18</v>
      </c>
      <c r="R1142" s="37">
        <v>241</v>
      </c>
      <c r="T1142" s="37" t="s">
        <v>166</v>
      </c>
      <c r="U1142" s="37" t="s">
        <v>166</v>
      </c>
      <c r="V1142" s="37" t="s">
        <v>166</v>
      </c>
      <c r="W1142" s="37" t="s">
        <v>17</v>
      </c>
      <c r="X1142" s="37" t="s">
        <v>166</v>
      </c>
      <c r="Y1142" s="37" t="s">
        <v>166</v>
      </c>
      <c r="Z1142" s="37" t="s">
        <v>39</v>
      </c>
      <c r="AA1142" s="37">
        <v>49</v>
      </c>
      <c r="AB1142" s="37">
        <v>26</v>
      </c>
      <c r="AC1142" s="37" t="s">
        <v>296</v>
      </c>
      <c r="AD1142" s="37" t="s">
        <v>1990</v>
      </c>
      <c r="AF1142" s="37" t="s">
        <v>1992</v>
      </c>
    </row>
    <row r="1143" spans="3:32" x14ac:dyDescent="0.2">
      <c r="C1143" s="37" t="s">
        <v>39</v>
      </c>
      <c r="D1143" s="37">
        <v>58</v>
      </c>
      <c r="E1143" s="37">
        <v>11</v>
      </c>
      <c r="F1143" s="37" t="s">
        <v>296</v>
      </c>
      <c r="G1143" s="37">
        <v>1.5</v>
      </c>
      <c r="H1143" s="37" t="s">
        <v>181</v>
      </c>
      <c r="I1143" s="37" t="s">
        <v>23</v>
      </c>
      <c r="J1143" s="37" t="s">
        <v>17</v>
      </c>
      <c r="K1143" s="37">
        <v>1</v>
      </c>
      <c r="L1143" s="37">
        <v>3</v>
      </c>
      <c r="M1143" s="37">
        <v>1</v>
      </c>
      <c r="N1143" s="37">
        <v>5</v>
      </c>
      <c r="O1143" s="37">
        <v>11</v>
      </c>
      <c r="P1143" s="37">
        <v>2</v>
      </c>
      <c r="Q1143" s="37">
        <v>18</v>
      </c>
      <c r="R1143" s="37">
        <v>404</v>
      </c>
      <c r="T1143" s="37" t="s">
        <v>181</v>
      </c>
      <c r="U1143" s="37" t="s">
        <v>373</v>
      </c>
      <c r="V1143" s="37">
        <v>65</v>
      </c>
      <c r="W1143" s="37" t="s">
        <v>40</v>
      </c>
      <c r="X1143" s="37" t="s">
        <v>190</v>
      </c>
      <c r="Y1143" s="37">
        <v>180</v>
      </c>
      <c r="Z1143" s="37" t="s">
        <v>39</v>
      </c>
      <c r="AA1143" s="37">
        <v>58</v>
      </c>
      <c r="AB1143" s="37">
        <v>11</v>
      </c>
      <c r="AC1143" s="37" t="s">
        <v>296</v>
      </c>
      <c r="AD1143" s="37" t="s">
        <v>1993</v>
      </c>
      <c r="AF1143" s="37" t="s">
        <v>1994</v>
      </c>
    </row>
    <row r="1144" spans="3:32" x14ac:dyDescent="0.2">
      <c r="G1144" s="37" t="s">
        <v>166</v>
      </c>
      <c r="H1144" s="37" t="s">
        <v>166</v>
      </c>
      <c r="I1144" s="37" t="s">
        <v>166</v>
      </c>
      <c r="J1144" s="37" t="s">
        <v>40</v>
      </c>
      <c r="K1144" s="37">
        <v>8</v>
      </c>
      <c r="L1144" s="37">
        <v>40</v>
      </c>
      <c r="M1144" s="37">
        <v>9</v>
      </c>
      <c r="N1144" s="37">
        <v>57</v>
      </c>
      <c r="O1144" s="37">
        <v>80</v>
      </c>
      <c r="P1144" s="37">
        <v>25</v>
      </c>
      <c r="Q1144" s="37">
        <v>162</v>
      </c>
      <c r="R1144" s="37">
        <v>2802</v>
      </c>
      <c r="T1144" s="37" t="s">
        <v>166</v>
      </c>
      <c r="U1144" s="37" t="s">
        <v>166</v>
      </c>
      <c r="V1144" s="37" t="s">
        <v>166</v>
      </c>
      <c r="W1144" s="37" t="s">
        <v>40</v>
      </c>
      <c r="X1144" s="37" t="s">
        <v>166</v>
      </c>
      <c r="Y1144" s="37" t="s">
        <v>166</v>
      </c>
      <c r="Z1144" s="37" t="s">
        <v>39</v>
      </c>
      <c r="AA1144" s="37">
        <v>58</v>
      </c>
      <c r="AB1144" s="37">
        <v>11</v>
      </c>
      <c r="AC1144" s="37" t="s">
        <v>296</v>
      </c>
      <c r="AD1144" s="37" t="s">
        <v>1993</v>
      </c>
      <c r="AF1144" s="37" t="s">
        <v>1995</v>
      </c>
    </row>
    <row r="1145" spans="3:32" x14ac:dyDescent="0.2">
      <c r="C1145" s="37" t="s">
        <v>39</v>
      </c>
      <c r="D1145" s="37">
        <v>59</v>
      </c>
      <c r="E1145" s="37">
        <v>34</v>
      </c>
      <c r="F1145" s="37" t="s">
        <v>296</v>
      </c>
      <c r="G1145" s="37">
        <v>3.5</v>
      </c>
      <c r="H1145" s="37" t="s">
        <v>181</v>
      </c>
      <c r="I1145" s="37" t="s">
        <v>23</v>
      </c>
      <c r="J1145" s="37" t="s">
        <v>17</v>
      </c>
      <c r="K1145" s="37">
        <v>0</v>
      </c>
      <c r="L1145" s="37">
        <v>0</v>
      </c>
      <c r="M1145" s="37">
        <v>0</v>
      </c>
      <c r="N1145" s="37">
        <v>0</v>
      </c>
      <c r="O1145" s="37">
        <v>0</v>
      </c>
      <c r="P1145" s="37">
        <v>0</v>
      </c>
      <c r="Q1145" s="37">
        <v>0</v>
      </c>
      <c r="R1145" s="37">
        <v>0</v>
      </c>
      <c r="T1145" s="37" t="s">
        <v>181</v>
      </c>
      <c r="U1145" s="37" t="s">
        <v>426</v>
      </c>
      <c r="V1145" s="37">
        <v>65</v>
      </c>
      <c r="W1145" s="37" t="s">
        <v>40</v>
      </c>
      <c r="X1145" s="37" t="s">
        <v>190</v>
      </c>
      <c r="Y1145" s="37">
        <v>665</v>
      </c>
      <c r="Z1145" s="37" t="s">
        <v>39</v>
      </c>
      <c r="AA1145" s="37">
        <v>59</v>
      </c>
      <c r="AB1145" s="37">
        <v>34</v>
      </c>
      <c r="AC1145" s="37" t="s">
        <v>296</v>
      </c>
      <c r="AD1145" s="37" t="s">
        <v>1996</v>
      </c>
      <c r="AF1145" s="37" t="s">
        <v>1997</v>
      </c>
    </row>
    <row r="1146" spans="3:32" x14ac:dyDescent="0.2">
      <c r="G1146" s="37" t="s">
        <v>166</v>
      </c>
      <c r="H1146" s="37" t="s">
        <v>166</v>
      </c>
      <c r="I1146" s="37" t="s">
        <v>166</v>
      </c>
      <c r="J1146" s="37" t="s">
        <v>40</v>
      </c>
      <c r="K1146" s="37">
        <v>31</v>
      </c>
      <c r="L1146" s="37">
        <v>199</v>
      </c>
      <c r="M1146" s="37">
        <v>35</v>
      </c>
      <c r="N1146" s="37">
        <v>265</v>
      </c>
      <c r="O1146" s="37">
        <v>240</v>
      </c>
      <c r="P1146" s="37">
        <v>93</v>
      </c>
      <c r="Q1146" s="37">
        <v>598</v>
      </c>
      <c r="R1146" s="37">
        <v>12970</v>
      </c>
      <c r="T1146" s="37" t="s">
        <v>166</v>
      </c>
      <c r="U1146" s="37" t="s">
        <v>166</v>
      </c>
      <c r="V1146" s="37" t="s">
        <v>166</v>
      </c>
      <c r="W1146" s="37" t="s">
        <v>40</v>
      </c>
      <c r="X1146" s="37" t="s">
        <v>166</v>
      </c>
      <c r="Y1146" s="37" t="s">
        <v>166</v>
      </c>
      <c r="Z1146" s="37" t="s">
        <v>39</v>
      </c>
      <c r="AA1146" s="37">
        <v>59</v>
      </c>
      <c r="AB1146" s="37">
        <v>34</v>
      </c>
      <c r="AC1146" s="37" t="s">
        <v>296</v>
      </c>
      <c r="AD1146" s="37" t="s">
        <v>1996</v>
      </c>
      <c r="AF1146" s="37" t="s">
        <v>1998</v>
      </c>
    </row>
    <row r="1147" spans="3:32" x14ac:dyDescent="0.2">
      <c r="G1147" s="37" t="s">
        <v>166</v>
      </c>
      <c r="H1147" s="37" t="s">
        <v>166</v>
      </c>
      <c r="I1147" s="37" t="s">
        <v>166</v>
      </c>
      <c r="J1147" s="37" t="s">
        <v>18</v>
      </c>
      <c r="K1147" s="37">
        <v>4</v>
      </c>
      <c r="L1147" s="37">
        <v>22</v>
      </c>
      <c r="M1147" s="37">
        <v>2</v>
      </c>
      <c r="N1147" s="37">
        <v>28</v>
      </c>
      <c r="O1147" s="37">
        <v>27</v>
      </c>
      <c r="P1147" s="37">
        <v>10</v>
      </c>
      <c r="Q1147" s="37">
        <v>65</v>
      </c>
      <c r="R1147" s="37">
        <v>463</v>
      </c>
      <c r="T1147" s="37" t="s">
        <v>166</v>
      </c>
      <c r="U1147" s="37" t="s">
        <v>166</v>
      </c>
      <c r="V1147" s="37" t="s">
        <v>166</v>
      </c>
      <c r="W1147" s="37" t="s">
        <v>40</v>
      </c>
      <c r="X1147" s="37" t="s">
        <v>166</v>
      </c>
      <c r="Y1147" s="37" t="s">
        <v>166</v>
      </c>
      <c r="Z1147" s="37" t="s">
        <v>39</v>
      </c>
      <c r="AA1147" s="37">
        <v>59</v>
      </c>
      <c r="AB1147" s="37">
        <v>34</v>
      </c>
      <c r="AC1147" s="37" t="s">
        <v>296</v>
      </c>
      <c r="AD1147" s="37" t="s">
        <v>1996</v>
      </c>
      <c r="AF1147" s="37" t="s">
        <v>1999</v>
      </c>
    </row>
    <row r="1148" spans="3:32" x14ac:dyDescent="0.2">
      <c r="C1148" s="37" t="s">
        <v>39</v>
      </c>
      <c r="D1148" s="37">
        <v>59</v>
      </c>
      <c r="E1148" s="37">
        <v>48</v>
      </c>
      <c r="F1148" s="37">
        <v>2</v>
      </c>
      <c r="G1148" s="37">
        <v>5.2</v>
      </c>
      <c r="H1148" s="37" t="s">
        <v>181</v>
      </c>
      <c r="I1148" s="37" t="s">
        <v>23</v>
      </c>
      <c r="J1148" s="37" t="s">
        <v>17</v>
      </c>
      <c r="K1148" s="37">
        <v>0</v>
      </c>
      <c r="L1148" s="37">
        <v>0</v>
      </c>
      <c r="M1148" s="37">
        <v>0</v>
      </c>
      <c r="N1148" s="37">
        <v>0</v>
      </c>
      <c r="O1148" s="37">
        <v>0</v>
      </c>
      <c r="P1148" s="37">
        <v>0</v>
      </c>
      <c r="Q1148" s="37">
        <v>0</v>
      </c>
      <c r="R1148" s="37">
        <v>0</v>
      </c>
      <c r="T1148" s="37" t="s">
        <v>181</v>
      </c>
      <c r="U1148" s="37" t="s">
        <v>202</v>
      </c>
      <c r="V1148" s="37">
        <v>45</v>
      </c>
      <c r="W1148" s="37" t="s">
        <v>18</v>
      </c>
      <c r="X1148" s="37" t="s">
        <v>190</v>
      </c>
      <c r="Y1148" s="37">
        <v>1248</v>
      </c>
      <c r="Z1148" s="37" t="s">
        <v>39</v>
      </c>
      <c r="AA1148" s="37">
        <v>59</v>
      </c>
      <c r="AB1148" s="37">
        <v>48</v>
      </c>
      <c r="AC1148" s="37">
        <v>2</v>
      </c>
      <c r="AD1148" s="37" t="s">
        <v>2000</v>
      </c>
      <c r="AF1148" s="37" t="s">
        <v>2001</v>
      </c>
    </row>
    <row r="1149" spans="3:32" x14ac:dyDescent="0.2">
      <c r="G1149" s="37" t="s">
        <v>166</v>
      </c>
      <c r="H1149" s="37" t="s">
        <v>166</v>
      </c>
      <c r="I1149" s="37" t="s">
        <v>166</v>
      </c>
      <c r="J1149" s="37" t="s">
        <v>19</v>
      </c>
      <c r="K1149" s="37">
        <v>0</v>
      </c>
      <c r="L1149" s="37">
        <v>0</v>
      </c>
      <c r="M1149" s="37">
        <v>1</v>
      </c>
      <c r="N1149" s="37">
        <v>1</v>
      </c>
      <c r="O1149" s="37">
        <v>3</v>
      </c>
      <c r="P1149" s="37">
        <v>0</v>
      </c>
      <c r="Q1149" s="37">
        <v>4</v>
      </c>
      <c r="R1149" s="37">
        <v>33</v>
      </c>
      <c r="T1149" s="37" t="s">
        <v>166</v>
      </c>
      <c r="U1149" s="37" t="s">
        <v>166</v>
      </c>
      <c r="V1149" s="37" t="s">
        <v>166</v>
      </c>
      <c r="W1149" s="37" t="s">
        <v>18</v>
      </c>
      <c r="X1149" s="37" t="s">
        <v>166</v>
      </c>
      <c r="Y1149" s="37" t="s">
        <v>166</v>
      </c>
      <c r="Z1149" s="37" t="s">
        <v>39</v>
      </c>
      <c r="AA1149" s="37">
        <v>59</v>
      </c>
      <c r="AB1149" s="37">
        <v>48</v>
      </c>
      <c r="AC1149" s="37">
        <v>2</v>
      </c>
      <c r="AD1149" s="37" t="s">
        <v>2000</v>
      </c>
      <c r="AF1149" s="37" t="s">
        <v>2002</v>
      </c>
    </row>
    <row r="1150" spans="3:32" x14ac:dyDescent="0.2">
      <c r="G1150" s="37" t="s">
        <v>166</v>
      </c>
      <c r="H1150" s="37" t="s">
        <v>166</v>
      </c>
      <c r="I1150" s="37" t="s">
        <v>166</v>
      </c>
      <c r="J1150" s="37" t="s">
        <v>18</v>
      </c>
      <c r="K1150" s="37">
        <v>170</v>
      </c>
      <c r="L1150" s="37">
        <v>400</v>
      </c>
      <c r="M1150" s="37">
        <v>28</v>
      </c>
      <c r="N1150" s="37">
        <v>598</v>
      </c>
      <c r="O1150" s="37">
        <v>470</v>
      </c>
      <c r="P1150" s="37">
        <v>180</v>
      </c>
      <c r="Q1150" s="37">
        <v>1248</v>
      </c>
      <c r="R1150" s="37">
        <v>10657</v>
      </c>
      <c r="T1150" s="37" t="s">
        <v>166</v>
      </c>
      <c r="U1150" s="37" t="s">
        <v>166</v>
      </c>
      <c r="V1150" s="37" t="s">
        <v>166</v>
      </c>
      <c r="W1150" s="37" t="s">
        <v>18</v>
      </c>
      <c r="X1150" s="37" t="s">
        <v>166</v>
      </c>
      <c r="Y1150" s="37" t="s">
        <v>166</v>
      </c>
      <c r="Z1150" s="37" t="s">
        <v>39</v>
      </c>
      <c r="AA1150" s="37">
        <v>59</v>
      </c>
      <c r="AB1150" s="37">
        <v>48</v>
      </c>
      <c r="AC1150" s="37">
        <v>2</v>
      </c>
      <c r="AD1150" s="37" t="s">
        <v>2000</v>
      </c>
      <c r="AF1150" s="37" t="s">
        <v>2003</v>
      </c>
    </row>
    <row r="1151" spans="3:32" x14ac:dyDescent="0.2">
      <c r="C1151" s="37" t="s">
        <v>39</v>
      </c>
      <c r="D1151" s="37">
        <v>59</v>
      </c>
      <c r="E1151" s="37">
        <v>57</v>
      </c>
      <c r="F1151" s="37">
        <v>3</v>
      </c>
      <c r="G1151" s="37">
        <v>0.9</v>
      </c>
      <c r="H1151" s="37" t="s">
        <v>181</v>
      </c>
      <c r="I1151" s="37" t="s">
        <v>23</v>
      </c>
      <c r="J1151" s="37" t="s">
        <v>17</v>
      </c>
      <c r="K1151" s="37">
        <v>0</v>
      </c>
      <c r="L1151" s="37">
        <v>0</v>
      </c>
      <c r="M1151" s="37">
        <v>0</v>
      </c>
      <c r="N1151" s="37">
        <v>0</v>
      </c>
      <c r="O1151" s="37">
        <v>0</v>
      </c>
      <c r="P1151" s="37">
        <v>0</v>
      </c>
      <c r="Q1151" s="37">
        <v>0</v>
      </c>
      <c r="R1151" s="37">
        <v>0</v>
      </c>
      <c r="T1151" s="37" t="s">
        <v>181</v>
      </c>
      <c r="U1151" s="37" t="s">
        <v>202</v>
      </c>
      <c r="V1151" s="37">
        <v>45</v>
      </c>
      <c r="W1151" s="37" t="s">
        <v>18</v>
      </c>
      <c r="X1151" s="37" t="s">
        <v>190</v>
      </c>
      <c r="Y1151" s="37">
        <v>216</v>
      </c>
      <c r="Z1151" s="37" t="s">
        <v>39</v>
      </c>
      <c r="AA1151" s="37">
        <v>59</v>
      </c>
      <c r="AB1151" s="37">
        <v>57</v>
      </c>
      <c r="AC1151" s="37">
        <v>3</v>
      </c>
      <c r="AD1151" s="37" t="s">
        <v>2004</v>
      </c>
      <c r="AF1151" s="37" t="s">
        <v>2005</v>
      </c>
    </row>
    <row r="1152" spans="3:32" x14ac:dyDescent="0.2">
      <c r="G1152" s="37" t="s">
        <v>166</v>
      </c>
      <c r="H1152" s="37" t="s">
        <v>166</v>
      </c>
      <c r="I1152" s="37" t="s">
        <v>166</v>
      </c>
      <c r="J1152" s="37" t="s">
        <v>18</v>
      </c>
      <c r="K1152" s="37">
        <v>33</v>
      </c>
      <c r="L1152" s="37">
        <v>37</v>
      </c>
      <c r="M1152" s="37">
        <v>2</v>
      </c>
      <c r="N1152" s="37">
        <v>72</v>
      </c>
      <c r="O1152" s="37">
        <v>107</v>
      </c>
      <c r="P1152" s="37">
        <v>37</v>
      </c>
      <c r="Q1152" s="37">
        <v>216</v>
      </c>
      <c r="R1152" s="37">
        <v>1379</v>
      </c>
      <c r="T1152" s="37" t="s">
        <v>166</v>
      </c>
      <c r="U1152" s="37" t="s">
        <v>166</v>
      </c>
      <c r="V1152" s="37" t="s">
        <v>166</v>
      </c>
      <c r="W1152" s="37" t="s">
        <v>18</v>
      </c>
      <c r="X1152" s="37" t="s">
        <v>166</v>
      </c>
      <c r="Y1152" s="37" t="s">
        <v>166</v>
      </c>
      <c r="Z1152" s="37" t="s">
        <v>39</v>
      </c>
      <c r="AA1152" s="37">
        <v>59</v>
      </c>
      <c r="AB1152" s="37">
        <v>57</v>
      </c>
      <c r="AC1152" s="37">
        <v>3</v>
      </c>
      <c r="AD1152" s="37" t="s">
        <v>2004</v>
      </c>
      <c r="AF1152" s="37" t="s">
        <v>2006</v>
      </c>
    </row>
    <row r="1153" spans="3:32" x14ac:dyDescent="0.2">
      <c r="C1153" s="37" t="s">
        <v>39</v>
      </c>
      <c r="D1153" s="37">
        <v>65</v>
      </c>
      <c r="E1153" s="37">
        <v>32</v>
      </c>
      <c r="F1153" s="37" t="s">
        <v>296</v>
      </c>
      <c r="G1153" s="37">
        <v>9.6999999999999993</v>
      </c>
      <c r="H1153" s="37" t="s">
        <v>181</v>
      </c>
      <c r="I1153" s="37" t="s">
        <v>23</v>
      </c>
      <c r="J1153" s="37" t="s">
        <v>17</v>
      </c>
      <c r="K1153" s="37">
        <v>0</v>
      </c>
      <c r="L1153" s="37">
        <v>0</v>
      </c>
      <c r="M1153" s="37">
        <v>0</v>
      </c>
      <c r="N1153" s="37">
        <v>0</v>
      </c>
      <c r="O1153" s="37">
        <v>0</v>
      </c>
      <c r="P1153" s="37">
        <v>0</v>
      </c>
      <c r="Q1153" s="37">
        <v>0</v>
      </c>
      <c r="R1153" s="37">
        <v>0</v>
      </c>
      <c r="T1153" s="37" t="s">
        <v>181</v>
      </c>
      <c r="U1153" s="37" t="s">
        <v>293</v>
      </c>
      <c r="V1153" s="37">
        <v>65</v>
      </c>
      <c r="W1153" s="37" t="s">
        <v>40</v>
      </c>
      <c r="X1153" s="37" t="s">
        <v>190</v>
      </c>
      <c r="Y1153" s="37">
        <v>1745.9999999999998</v>
      </c>
      <c r="Z1153" s="37" t="s">
        <v>39</v>
      </c>
      <c r="AA1153" s="37">
        <v>65</v>
      </c>
      <c r="AB1153" s="37">
        <v>32</v>
      </c>
      <c r="AC1153" s="37" t="s">
        <v>296</v>
      </c>
      <c r="AD1153" s="37" t="s">
        <v>2007</v>
      </c>
      <c r="AF1153" s="37" t="s">
        <v>2008</v>
      </c>
    </row>
    <row r="1154" spans="3:32" x14ac:dyDescent="0.2">
      <c r="G1154" s="37" t="s">
        <v>166</v>
      </c>
      <c r="H1154" s="37" t="s">
        <v>166</v>
      </c>
      <c r="I1154" s="37" t="s">
        <v>166</v>
      </c>
      <c r="J1154" s="37" t="s">
        <v>40</v>
      </c>
      <c r="K1154" s="37">
        <v>198</v>
      </c>
      <c r="L1154" s="37">
        <v>462</v>
      </c>
      <c r="M1154" s="37">
        <v>89</v>
      </c>
      <c r="N1154" s="37">
        <v>749</v>
      </c>
      <c r="O1154" s="37">
        <v>726</v>
      </c>
      <c r="P1154" s="37">
        <v>271</v>
      </c>
      <c r="Q1154" s="37">
        <v>1746</v>
      </c>
      <c r="R1154" s="37">
        <v>39045</v>
      </c>
      <c r="T1154" s="37" t="s">
        <v>166</v>
      </c>
      <c r="U1154" s="37" t="s">
        <v>166</v>
      </c>
      <c r="V1154" s="37" t="s">
        <v>166</v>
      </c>
      <c r="W1154" s="37" t="s">
        <v>40</v>
      </c>
      <c r="X1154" s="37" t="s">
        <v>166</v>
      </c>
      <c r="Y1154" s="37" t="s">
        <v>166</v>
      </c>
      <c r="Z1154" s="37" t="s">
        <v>39</v>
      </c>
      <c r="AA1154" s="37">
        <v>65</v>
      </c>
      <c r="AB1154" s="37">
        <v>32</v>
      </c>
      <c r="AC1154" s="37" t="s">
        <v>296</v>
      </c>
      <c r="AD1154" s="37" t="s">
        <v>2007</v>
      </c>
      <c r="AF1154" s="37" t="s">
        <v>2009</v>
      </c>
    </row>
    <row r="1155" spans="3:32" x14ac:dyDescent="0.2">
      <c r="C1155" s="37" t="s">
        <v>39</v>
      </c>
      <c r="D1155" s="37">
        <v>67</v>
      </c>
      <c r="E1155" s="37">
        <v>30</v>
      </c>
      <c r="F1155" s="37" t="s">
        <v>296</v>
      </c>
      <c r="G1155" s="37">
        <v>3.5</v>
      </c>
      <c r="H1155" s="37" t="s">
        <v>181</v>
      </c>
      <c r="I1155" s="37" t="s">
        <v>23</v>
      </c>
      <c r="J1155" s="37" t="s">
        <v>17</v>
      </c>
      <c r="K1155" s="37">
        <v>0</v>
      </c>
      <c r="L1155" s="37">
        <v>0</v>
      </c>
      <c r="M1155" s="37">
        <v>0</v>
      </c>
      <c r="N1155" s="37">
        <v>0</v>
      </c>
      <c r="O1155" s="37">
        <v>0</v>
      </c>
      <c r="P1155" s="37">
        <v>0</v>
      </c>
      <c r="Q1155" s="37">
        <v>0</v>
      </c>
      <c r="R1155" s="37">
        <v>0</v>
      </c>
      <c r="T1155" s="37" t="s">
        <v>181</v>
      </c>
      <c r="U1155" s="37" t="s">
        <v>293</v>
      </c>
      <c r="V1155" s="37">
        <v>65</v>
      </c>
      <c r="W1155" s="37" t="s">
        <v>40</v>
      </c>
      <c r="X1155" s="37" t="s">
        <v>190</v>
      </c>
      <c r="Y1155" s="37">
        <v>560</v>
      </c>
      <c r="Z1155" s="37" t="s">
        <v>39</v>
      </c>
      <c r="AA1155" s="37">
        <v>67</v>
      </c>
      <c r="AB1155" s="37">
        <v>30</v>
      </c>
      <c r="AC1155" s="37" t="s">
        <v>296</v>
      </c>
      <c r="AD1155" s="37" t="s">
        <v>2010</v>
      </c>
      <c r="AF1155" s="37" t="s">
        <v>2011</v>
      </c>
    </row>
    <row r="1156" spans="3:32" x14ac:dyDescent="0.2">
      <c r="G1156" s="37" t="s">
        <v>166</v>
      </c>
      <c r="H1156" s="37" t="s">
        <v>166</v>
      </c>
      <c r="I1156" s="37" t="s">
        <v>166</v>
      </c>
      <c r="J1156" s="37" t="s">
        <v>40</v>
      </c>
      <c r="K1156" s="37">
        <v>30</v>
      </c>
      <c r="L1156" s="37">
        <v>155</v>
      </c>
      <c r="M1156" s="37">
        <v>26</v>
      </c>
      <c r="N1156" s="37">
        <v>211</v>
      </c>
      <c r="O1156" s="37">
        <v>261</v>
      </c>
      <c r="P1156" s="37">
        <v>88</v>
      </c>
      <c r="Q1156" s="37">
        <v>560</v>
      </c>
      <c r="R1156" s="37">
        <v>10614</v>
      </c>
      <c r="T1156" s="37" t="s">
        <v>166</v>
      </c>
      <c r="U1156" s="37" t="s">
        <v>166</v>
      </c>
      <c r="V1156" s="37" t="s">
        <v>166</v>
      </c>
      <c r="W1156" s="37" t="s">
        <v>40</v>
      </c>
      <c r="X1156" s="37" t="s">
        <v>166</v>
      </c>
      <c r="Y1156" s="37" t="s">
        <v>166</v>
      </c>
      <c r="Z1156" s="37" t="s">
        <v>39</v>
      </c>
      <c r="AA1156" s="37">
        <v>67</v>
      </c>
      <c r="AB1156" s="37">
        <v>30</v>
      </c>
      <c r="AC1156" s="37" t="s">
        <v>296</v>
      </c>
      <c r="AD1156" s="37" t="s">
        <v>2010</v>
      </c>
      <c r="AF1156" s="37" t="s">
        <v>2012</v>
      </c>
    </row>
    <row r="1157" spans="3:32" x14ac:dyDescent="0.2">
      <c r="C1157" s="37" t="s">
        <v>39</v>
      </c>
      <c r="D1157" s="37">
        <v>67</v>
      </c>
      <c r="E1157" s="37">
        <v>34</v>
      </c>
      <c r="F1157" s="37">
        <v>2</v>
      </c>
      <c r="G1157" s="37">
        <v>2.4</v>
      </c>
      <c r="H1157" s="37" t="s">
        <v>181</v>
      </c>
      <c r="I1157" s="37" t="s">
        <v>23</v>
      </c>
      <c r="J1157" s="37" t="s">
        <v>17</v>
      </c>
      <c r="K1157" s="37">
        <v>17</v>
      </c>
      <c r="L1157" s="37">
        <v>67</v>
      </c>
      <c r="M1157" s="37">
        <v>16</v>
      </c>
      <c r="N1157" s="37">
        <v>100</v>
      </c>
      <c r="O1157" s="37">
        <v>139</v>
      </c>
      <c r="P1157" s="37">
        <v>31</v>
      </c>
      <c r="Q1157" s="37">
        <v>270</v>
      </c>
      <c r="R1157" s="37">
        <v>8889</v>
      </c>
      <c r="T1157" s="37" t="s">
        <v>181</v>
      </c>
      <c r="U1157" s="37" t="s">
        <v>394</v>
      </c>
      <c r="V1157" s="37">
        <v>70</v>
      </c>
      <c r="W1157" s="37" t="s">
        <v>17</v>
      </c>
      <c r="X1157" s="37" t="s">
        <v>190</v>
      </c>
      <c r="Y1157" s="37">
        <v>312</v>
      </c>
      <c r="Z1157" s="37" t="s">
        <v>39</v>
      </c>
      <c r="AA1157" s="37">
        <v>67</v>
      </c>
      <c r="AB1157" s="37">
        <v>34</v>
      </c>
      <c r="AC1157" s="37">
        <v>2</v>
      </c>
      <c r="AD1157" s="37" t="s">
        <v>2013</v>
      </c>
      <c r="AF1157" s="37" t="s">
        <v>2014</v>
      </c>
    </row>
    <row r="1158" spans="3:32" x14ac:dyDescent="0.2">
      <c r="G1158" s="37" t="s">
        <v>166</v>
      </c>
      <c r="H1158" s="37" t="s">
        <v>166</v>
      </c>
      <c r="I1158" s="37" t="s">
        <v>166</v>
      </c>
      <c r="J1158" s="37" t="s">
        <v>40</v>
      </c>
      <c r="K1158" s="37">
        <v>3</v>
      </c>
      <c r="L1158" s="37">
        <v>17</v>
      </c>
      <c r="M1158" s="37">
        <v>3</v>
      </c>
      <c r="N1158" s="37">
        <v>23</v>
      </c>
      <c r="O1158" s="37">
        <v>34</v>
      </c>
      <c r="P1158" s="37">
        <v>10</v>
      </c>
      <c r="Q1158" s="37">
        <v>67</v>
      </c>
      <c r="R1158" s="37">
        <v>1140</v>
      </c>
      <c r="T1158" s="37" t="s">
        <v>166</v>
      </c>
      <c r="U1158" s="37" t="s">
        <v>166</v>
      </c>
      <c r="V1158" s="37" t="s">
        <v>166</v>
      </c>
      <c r="W1158" s="37" t="s">
        <v>17</v>
      </c>
      <c r="X1158" s="37" t="s">
        <v>166</v>
      </c>
      <c r="Y1158" s="37" t="s">
        <v>166</v>
      </c>
      <c r="Z1158" s="37" t="s">
        <v>39</v>
      </c>
      <c r="AA1158" s="37">
        <v>67</v>
      </c>
      <c r="AB1158" s="37">
        <v>34</v>
      </c>
      <c r="AC1158" s="37">
        <v>2</v>
      </c>
      <c r="AD1158" s="37" t="s">
        <v>2013</v>
      </c>
      <c r="AF1158" s="37" t="s">
        <v>2015</v>
      </c>
    </row>
    <row r="1159" spans="3:32" x14ac:dyDescent="0.2">
      <c r="C1159" s="37" t="s">
        <v>39</v>
      </c>
      <c r="D1159" s="37">
        <v>69</v>
      </c>
      <c r="E1159" s="37">
        <v>5</v>
      </c>
      <c r="F1159" s="37" t="s">
        <v>296</v>
      </c>
      <c r="G1159" s="37">
        <v>1.6</v>
      </c>
      <c r="H1159" s="37" t="s">
        <v>181</v>
      </c>
      <c r="I1159" s="37" t="s">
        <v>23</v>
      </c>
      <c r="J1159" s="37" t="s">
        <v>17</v>
      </c>
      <c r="K1159" s="37">
        <v>0</v>
      </c>
      <c r="L1159" s="37">
        <v>0</v>
      </c>
      <c r="M1159" s="37">
        <v>0</v>
      </c>
      <c r="N1159" s="37">
        <v>0</v>
      </c>
      <c r="O1159" s="37">
        <v>0</v>
      </c>
      <c r="P1159" s="37">
        <v>0</v>
      </c>
      <c r="Q1159" s="37">
        <v>0</v>
      </c>
      <c r="R1159" s="37">
        <v>0</v>
      </c>
      <c r="T1159" s="37" t="s">
        <v>181</v>
      </c>
      <c r="U1159" s="37" t="s">
        <v>293</v>
      </c>
      <c r="V1159" s="37">
        <v>65</v>
      </c>
      <c r="W1159" s="37" t="s">
        <v>40</v>
      </c>
      <c r="X1159" s="37" t="s">
        <v>190</v>
      </c>
      <c r="Y1159" s="37">
        <v>256</v>
      </c>
      <c r="Z1159" s="37" t="s">
        <v>39</v>
      </c>
      <c r="AA1159" s="37">
        <v>69</v>
      </c>
      <c r="AB1159" s="37">
        <v>5</v>
      </c>
      <c r="AC1159" s="37" t="s">
        <v>296</v>
      </c>
      <c r="AD1159" s="37" t="s">
        <v>2016</v>
      </c>
      <c r="AF1159" s="37" t="s">
        <v>2017</v>
      </c>
    </row>
    <row r="1160" spans="3:32" x14ac:dyDescent="0.2">
      <c r="G1160" s="37" t="s">
        <v>166</v>
      </c>
      <c r="H1160" s="37" t="s">
        <v>166</v>
      </c>
      <c r="I1160" s="37" t="s">
        <v>166</v>
      </c>
      <c r="J1160" s="37" t="s">
        <v>40</v>
      </c>
      <c r="K1160" s="37">
        <v>16</v>
      </c>
      <c r="L1160" s="37">
        <v>62</v>
      </c>
      <c r="M1160" s="37">
        <v>10</v>
      </c>
      <c r="N1160" s="37">
        <v>88</v>
      </c>
      <c r="O1160" s="37">
        <v>128</v>
      </c>
      <c r="P1160" s="37">
        <v>40</v>
      </c>
      <c r="Q1160" s="37">
        <v>256</v>
      </c>
      <c r="R1160" s="37">
        <v>4504</v>
      </c>
      <c r="T1160" s="37" t="s">
        <v>166</v>
      </c>
      <c r="U1160" s="37" t="s">
        <v>166</v>
      </c>
      <c r="V1160" s="37" t="s">
        <v>166</v>
      </c>
      <c r="W1160" s="37" t="s">
        <v>40</v>
      </c>
      <c r="X1160" s="37" t="s">
        <v>166</v>
      </c>
      <c r="Y1160" s="37" t="s">
        <v>166</v>
      </c>
      <c r="Z1160" s="37" t="s">
        <v>39</v>
      </c>
      <c r="AA1160" s="37">
        <v>69</v>
      </c>
      <c r="AB1160" s="37">
        <v>5</v>
      </c>
      <c r="AC1160" s="37" t="s">
        <v>296</v>
      </c>
      <c r="AD1160" s="37" t="s">
        <v>2016</v>
      </c>
      <c r="AF1160" s="37" t="s">
        <v>2018</v>
      </c>
    </row>
    <row r="1161" spans="3:32" x14ac:dyDescent="0.2">
      <c r="C1161" s="37" t="s">
        <v>39</v>
      </c>
      <c r="D1161" s="37">
        <v>76</v>
      </c>
      <c r="E1161" s="37">
        <v>3</v>
      </c>
      <c r="F1161" s="37" t="s">
        <v>296</v>
      </c>
      <c r="G1161" s="37">
        <v>10</v>
      </c>
      <c r="H1161" s="37" t="s">
        <v>181</v>
      </c>
      <c r="I1161" s="37" t="s">
        <v>23</v>
      </c>
      <c r="J1161" s="37" t="s">
        <v>17</v>
      </c>
      <c r="K1161" s="37">
        <v>81</v>
      </c>
      <c r="L1161" s="37">
        <v>291</v>
      </c>
      <c r="M1161" s="37">
        <v>53</v>
      </c>
      <c r="N1161" s="37">
        <v>425</v>
      </c>
      <c r="O1161" s="37">
        <v>755</v>
      </c>
      <c r="P1161" s="37">
        <v>150</v>
      </c>
      <c r="Q1161" s="37">
        <v>1330</v>
      </c>
      <c r="R1161" s="37">
        <v>39541</v>
      </c>
      <c r="T1161" s="37" t="s">
        <v>181</v>
      </c>
      <c r="U1161" s="37" t="s">
        <v>41</v>
      </c>
      <c r="V1161" s="37">
        <v>65</v>
      </c>
      <c r="W1161" s="37" t="s">
        <v>17</v>
      </c>
      <c r="X1161" s="37" t="s">
        <v>190</v>
      </c>
      <c r="Y1161" s="37">
        <v>1900</v>
      </c>
      <c r="Z1161" s="37" t="s">
        <v>39</v>
      </c>
      <c r="AA1161" s="37">
        <v>76</v>
      </c>
      <c r="AB1161" s="37">
        <v>3</v>
      </c>
      <c r="AC1161" s="37" t="s">
        <v>296</v>
      </c>
      <c r="AD1161" s="37" t="s">
        <v>1012</v>
      </c>
      <c r="AF1161" s="37" t="s">
        <v>1013</v>
      </c>
    </row>
    <row r="1162" spans="3:32" x14ac:dyDescent="0.2">
      <c r="G1162" s="37" t="s">
        <v>166</v>
      </c>
      <c r="H1162" s="37" t="s">
        <v>166</v>
      </c>
      <c r="I1162" s="37" t="s">
        <v>166</v>
      </c>
      <c r="J1162" s="37" t="s">
        <v>40</v>
      </c>
      <c r="K1162" s="37">
        <v>11</v>
      </c>
      <c r="L1162" s="37">
        <v>172</v>
      </c>
      <c r="M1162" s="37">
        <v>32</v>
      </c>
      <c r="N1162" s="37">
        <v>215</v>
      </c>
      <c r="O1162" s="37">
        <v>266</v>
      </c>
      <c r="P1162" s="37">
        <v>89</v>
      </c>
      <c r="Q1162" s="37">
        <v>570</v>
      </c>
      <c r="R1162" s="37">
        <v>10313</v>
      </c>
      <c r="T1162" s="37" t="s">
        <v>166</v>
      </c>
      <c r="U1162" s="37" t="s">
        <v>166</v>
      </c>
      <c r="V1162" s="37" t="s">
        <v>166</v>
      </c>
      <c r="W1162" s="37" t="s">
        <v>17</v>
      </c>
      <c r="X1162" s="37" t="s">
        <v>166</v>
      </c>
      <c r="Y1162" s="37" t="s">
        <v>166</v>
      </c>
      <c r="Z1162" s="37" t="s">
        <v>39</v>
      </c>
      <c r="AA1162" s="37">
        <v>76</v>
      </c>
      <c r="AB1162" s="37">
        <v>3</v>
      </c>
      <c r="AC1162" s="37" t="s">
        <v>296</v>
      </c>
      <c r="AD1162" s="37" t="s">
        <v>1012</v>
      </c>
      <c r="AF1162" s="37" t="s">
        <v>1014</v>
      </c>
    </row>
    <row r="1163" spans="3:32" x14ac:dyDescent="0.2">
      <c r="C1163" s="37" t="s">
        <v>39</v>
      </c>
      <c r="D1163" s="37">
        <v>76</v>
      </c>
      <c r="E1163" s="37">
        <v>3</v>
      </c>
      <c r="F1163" s="37">
        <v>2</v>
      </c>
      <c r="G1163" s="37">
        <v>10</v>
      </c>
      <c r="H1163" s="37" t="s">
        <v>181</v>
      </c>
      <c r="I1163" s="37" t="s">
        <v>23</v>
      </c>
      <c r="J1163" s="37" t="s">
        <v>17</v>
      </c>
      <c r="K1163" s="37">
        <v>72</v>
      </c>
      <c r="L1163" s="37">
        <v>281</v>
      </c>
      <c r="M1163" s="37">
        <v>56</v>
      </c>
      <c r="N1163" s="37">
        <v>409</v>
      </c>
      <c r="O1163" s="37">
        <v>730</v>
      </c>
      <c r="P1163" s="37">
        <v>145</v>
      </c>
      <c r="Q1163" s="37">
        <v>1284</v>
      </c>
      <c r="R1163" s="37">
        <v>37693</v>
      </c>
      <c r="T1163" s="37" t="s">
        <v>181</v>
      </c>
      <c r="U1163" s="37" t="s">
        <v>41</v>
      </c>
      <c r="V1163" s="37">
        <v>65</v>
      </c>
      <c r="W1163" s="37" t="s">
        <v>17</v>
      </c>
      <c r="X1163" s="37" t="s">
        <v>190</v>
      </c>
      <c r="Y1163" s="37">
        <v>1900</v>
      </c>
      <c r="Z1163" s="37" t="s">
        <v>39</v>
      </c>
      <c r="AA1163" s="37">
        <v>76</v>
      </c>
      <c r="AB1163" s="37">
        <v>3</v>
      </c>
      <c r="AC1163" s="37">
        <v>2</v>
      </c>
      <c r="AD1163" s="37" t="s">
        <v>2019</v>
      </c>
      <c r="AF1163" s="37" t="s">
        <v>2020</v>
      </c>
    </row>
    <row r="1164" spans="3:32" x14ac:dyDescent="0.2">
      <c r="G1164" s="37" t="s">
        <v>166</v>
      </c>
      <c r="H1164" s="37" t="s">
        <v>166</v>
      </c>
      <c r="I1164" s="37" t="s">
        <v>166</v>
      </c>
      <c r="J1164" s="37" t="s">
        <v>40</v>
      </c>
      <c r="K1164" s="37">
        <v>11</v>
      </c>
      <c r="L1164" s="37">
        <v>166</v>
      </c>
      <c r="M1164" s="37">
        <v>33</v>
      </c>
      <c r="N1164" s="37">
        <v>210</v>
      </c>
      <c r="O1164" s="37">
        <v>253</v>
      </c>
      <c r="P1164" s="37">
        <v>86</v>
      </c>
      <c r="Q1164" s="37">
        <v>549</v>
      </c>
      <c r="R1164" s="37">
        <v>9958</v>
      </c>
      <c r="T1164" s="37" t="s">
        <v>166</v>
      </c>
      <c r="U1164" s="37" t="s">
        <v>166</v>
      </c>
      <c r="V1164" s="37" t="s">
        <v>166</v>
      </c>
      <c r="W1164" s="37" t="s">
        <v>17</v>
      </c>
      <c r="X1164" s="37" t="s">
        <v>166</v>
      </c>
      <c r="Y1164" s="37" t="s">
        <v>166</v>
      </c>
      <c r="Z1164" s="37" t="s">
        <v>39</v>
      </c>
      <c r="AA1164" s="37">
        <v>76</v>
      </c>
      <c r="AB1164" s="37">
        <v>3</v>
      </c>
      <c r="AC1164" s="37">
        <v>2</v>
      </c>
      <c r="AD1164" s="37" t="s">
        <v>2019</v>
      </c>
      <c r="AF1164" s="37" t="s">
        <v>2021</v>
      </c>
    </row>
    <row r="1165" spans="3:32" x14ac:dyDescent="0.2">
      <c r="C1165" s="37" t="s">
        <v>39</v>
      </c>
      <c r="D1165" s="37">
        <v>83</v>
      </c>
      <c r="E1165" s="37">
        <v>1</v>
      </c>
      <c r="F1165" s="37" t="s">
        <v>296</v>
      </c>
      <c r="G1165" s="37">
        <v>5.7</v>
      </c>
      <c r="H1165" s="37" t="s">
        <v>181</v>
      </c>
      <c r="I1165" s="37" t="s">
        <v>23</v>
      </c>
      <c r="J1165" s="37" t="s">
        <v>17</v>
      </c>
      <c r="K1165" s="37">
        <v>0</v>
      </c>
      <c r="L1165" s="37">
        <v>24</v>
      </c>
      <c r="M1165" s="37">
        <v>17</v>
      </c>
      <c r="N1165" s="37">
        <v>41</v>
      </c>
      <c r="O1165" s="37">
        <v>85</v>
      </c>
      <c r="P1165" s="37">
        <v>17</v>
      </c>
      <c r="Q1165" s="37">
        <v>143</v>
      </c>
      <c r="R1165" s="37">
        <v>3119</v>
      </c>
      <c r="T1165" s="37" t="s">
        <v>181</v>
      </c>
      <c r="U1165" s="37" t="s">
        <v>373</v>
      </c>
      <c r="V1165" s="37">
        <v>65</v>
      </c>
      <c r="W1165" s="37" t="s">
        <v>40</v>
      </c>
      <c r="X1165" s="37" t="s">
        <v>190</v>
      </c>
      <c r="Y1165" s="37">
        <v>1425</v>
      </c>
      <c r="Z1165" s="37" t="s">
        <v>39</v>
      </c>
      <c r="AA1165" s="37">
        <v>83</v>
      </c>
      <c r="AB1165" s="37">
        <v>1</v>
      </c>
      <c r="AC1165" s="37" t="s">
        <v>296</v>
      </c>
      <c r="AD1165" s="37" t="s">
        <v>2022</v>
      </c>
      <c r="AF1165" s="37" t="s">
        <v>2023</v>
      </c>
    </row>
    <row r="1166" spans="3:32" x14ac:dyDescent="0.2">
      <c r="G1166" s="37" t="s">
        <v>166</v>
      </c>
      <c r="H1166" s="37" t="s">
        <v>166</v>
      </c>
      <c r="I1166" s="37" t="s">
        <v>166</v>
      </c>
      <c r="J1166" s="37" t="s">
        <v>40</v>
      </c>
      <c r="K1166" s="37">
        <v>60</v>
      </c>
      <c r="L1166" s="37">
        <v>314</v>
      </c>
      <c r="M1166" s="37">
        <v>65</v>
      </c>
      <c r="N1166" s="37">
        <v>439</v>
      </c>
      <c r="O1166" s="37">
        <v>644</v>
      </c>
      <c r="P1166" s="37">
        <v>199</v>
      </c>
      <c r="Q1166" s="37">
        <v>1282</v>
      </c>
      <c r="R1166" s="37">
        <v>21853</v>
      </c>
      <c r="T1166" s="37" t="s">
        <v>166</v>
      </c>
      <c r="U1166" s="37" t="s">
        <v>166</v>
      </c>
      <c r="V1166" s="37" t="s">
        <v>166</v>
      </c>
      <c r="W1166" s="37" t="s">
        <v>40</v>
      </c>
      <c r="X1166" s="37" t="s">
        <v>166</v>
      </c>
      <c r="Y1166" s="37" t="s">
        <v>166</v>
      </c>
      <c r="Z1166" s="37" t="s">
        <v>39</v>
      </c>
      <c r="AA1166" s="37">
        <v>83</v>
      </c>
      <c r="AB1166" s="37">
        <v>1</v>
      </c>
      <c r="AC1166" s="37" t="s">
        <v>296</v>
      </c>
      <c r="AD1166" s="37" t="s">
        <v>2022</v>
      </c>
      <c r="AF1166" s="37" t="s">
        <v>2024</v>
      </c>
    </row>
    <row r="1167" spans="3:32" x14ac:dyDescent="0.2">
      <c r="C1167" s="37" t="s">
        <v>39</v>
      </c>
      <c r="D1167" s="37">
        <v>83</v>
      </c>
      <c r="E1167" s="37">
        <v>3</v>
      </c>
      <c r="F1167" s="37">
        <v>2</v>
      </c>
      <c r="G1167" s="37">
        <v>4.3</v>
      </c>
      <c r="H1167" s="37" t="s">
        <v>181</v>
      </c>
      <c r="I1167" s="37" t="s">
        <v>23</v>
      </c>
      <c r="J1167" s="37" t="s">
        <v>17</v>
      </c>
      <c r="K1167" s="37">
        <v>0</v>
      </c>
      <c r="L1167" s="37">
        <v>0</v>
      </c>
      <c r="M1167" s="37">
        <v>0</v>
      </c>
      <c r="N1167" s="37">
        <v>0</v>
      </c>
      <c r="O1167" s="37">
        <v>0</v>
      </c>
      <c r="P1167" s="37">
        <v>0</v>
      </c>
      <c r="Q1167" s="37">
        <v>0</v>
      </c>
      <c r="R1167" s="37">
        <v>0</v>
      </c>
      <c r="T1167" s="37" t="s">
        <v>181</v>
      </c>
      <c r="U1167" s="37" t="s">
        <v>429</v>
      </c>
      <c r="V1167" s="37">
        <v>70</v>
      </c>
      <c r="W1167" s="37" t="s">
        <v>40</v>
      </c>
      <c r="X1167" s="37" t="s">
        <v>190</v>
      </c>
      <c r="Y1167" s="37">
        <v>860</v>
      </c>
      <c r="Z1167" s="37" t="s">
        <v>39</v>
      </c>
      <c r="AA1167" s="37">
        <v>83</v>
      </c>
      <c r="AB1167" s="37">
        <v>3</v>
      </c>
      <c r="AC1167" s="37">
        <v>2</v>
      </c>
      <c r="AD1167" s="37" t="s">
        <v>2025</v>
      </c>
      <c r="AF1167" s="37" t="s">
        <v>2026</v>
      </c>
    </row>
    <row r="1168" spans="3:32" x14ac:dyDescent="0.2">
      <c r="G1168" s="37" t="s">
        <v>166</v>
      </c>
      <c r="H1168" s="37" t="s">
        <v>166</v>
      </c>
      <c r="I1168" s="37" t="s">
        <v>166</v>
      </c>
      <c r="J1168" s="37" t="s">
        <v>40</v>
      </c>
      <c r="K1168" s="37">
        <v>24</v>
      </c>
      <c r="L1168" s="37">
        <v>204</v>
      </c>
      <c r="M1168" s="37">
        <v>52</v>
      </c>
      <c r="N1168" s="37">
        <v>280</v>
      </c>
      <c r="O1168" s="37">
        <v>446</v>
      </c>
      <c r="P1168" s="37">
        <v>134</v>
      </c>
      <c r="Q1168" s="37">
        <v>860</v>
      </c>
      <c r="R1168" s="37">
        <v>13499</v>
      </c>
      <c r="T1168" s="37" t="s">
        <v>166</v>
      </c>
      <c r="U1168" s="37" t="s">
        <v>166</v>
      </c>
      <c r="V1168" s="37" t="s">
        <v>166</v>
      </c>
      <c r="W1168" s="37" t="s">
        <v>40</v>
      </c>
      <c r="X1168" s="37" t="s">
        <v>166</v>
      </c>
      <c r="Y1168" s="37" t="s">
        <v>166</v>
      </c>
      <c r="Z1168" s="37" t="s">
        <v>39</v>
      </c>
      <c r="AA1168" s="37">
        <v>83</v>
      </c>
      <c r="AB1168" s="37">
        <v>3</v>
      </c>
      <c r="AC1168" s="37">
        <v>2</v>
      </c>
      <c r="AD1168" s="37" t="s">
        <v>2025</v>
      </c>
      <c r="AF1168" s="37" t="s">
        <v>2027</v>
      </c>
    </row>
    <row r="1169" spans="3:32" x14ac:dyDescent="0.2">
      <c r="C1169" s="37" t="s">
        <v>39</v>
      </c>
      <c r="D1169" s="37">
        <v>83</v>
      </c>
      <c r="E1169" s="37">
        <v>3</v>
      </c>
      <c r="F1169" s="37">
        <v>3</v>
      </c>
      <c r="G1169" s="37">
        <v>2.2000000000000002</v>
      </c>
      <c r="H1169" s="37" t="s">
        <v>181</v>
      </c>
      <c r="I1169" s="37" t="s">
        <v>23</v>
      </c>
      <c r="J1169" s="37" t="s">
        <v>17</v>
      </c>
      <c r="K1169" s="37">
        <v>0</v>
      </c>
      <c r="L1169" s="37">
        <v>0</v>
      </c>
      <c r="M1169" s="37">
        <v>0</v>
      </c>
      <c r="N1169" s="37">
        <v>0</v>
      </c>
      <c r="O1169" s="37">
        <v>0</v>
      </c>
      <c r="P1169" s="37">
        <v>0</v>
      </c>
      <c r="Q1169" s="37">
        <v>0</v>
      </c>
      <c r="R1169" s="37">
        <v>0</v>
      </c>
      <c r="T1169" s="37" t="s">
        <v>181</v>
      </c>
      <c r="U1169" s="37" t="s">
        <v>429</v>
      </c>
      <c r="V1169" s="37">
        <v>70</v>
      </c>
      <c r="W1169" s="37" t="s">
        <v>40</v>
      </c>
      <c r="X1169" s="37" t="s">
        <v>190</v>
      </c>
      <c r="Y1169" s="37">
        <v>440.00000000000006</v>
      </c>
      <c r="Z1169" s="37" t="s">
        <v>39</v>
      </c>
      <c r="AA1169" s="37">
        <v>83</v>
      </c>
      <c r="AB1169" s="37">
        <v>3</v>
      </c>
      <c r="AC1169" s="37">
        <v>3</v>
      </c>
      <c r="AD1169" s="37" t="s">
        <v>2028</v>
      </c>
      <c r="AF1169" s="37" t="s">
        <v>2029</v>
      </c>
    </row>
    <row r="1170" spans="3:32" x14ac:dyDescent="0.2">
      <c r="G1170" s="37" t="s">
        <v>166</v>
      </c>
      <c r="H1170" s="37" t="s">
        <v>166</v>
      </c>
      <c r="I1170" s="37" t="s">
        <v>166</v>
      </c>
      <c r="J1170" s="37" t="s">
        <v>40</v>
      </c>
      <c r="K1170" s="37">
        <v>76</v>
      </c>
      <c r="L1170" s="37">
        <v>82</v>
      </c>
      <c r="M1170" s="37">
        <v>9</v>
      </c>
      <c r="N1170" s="37">
        <v>167</v>
      </c>
      <c r="O1170" s="37">
        <v>204</v>
      </c>
      <c r="P1170" s="37">
        <v>69</v>
      </c>
      <c r="Q1170" s="37">
        <v>440</v>
      </c>
      <c r="R1170" s="37">
        <v>9625</v>
      </c>
      <c r="T1170" s="37" t="s">
        <v>166</v>
      </c>
      <c r="U1170" s="37" t="s">
        <v>166</v>
      </c>
      <c r="V1170" s="37" t="s">
        <v>166</v>
      </c>
      <c r="W1170" s="37" t="s">
        <v>40</v>
      </c>
      <c r="X1170" s="37" t="s">
        <v>166</v>
      </c>
      <c r="Y1170" s="37" t="s">
        <v>166</v>
      </c>
      <c r="Z1170" s="37" t="s">
        <v>39</v>
      </c>
      <c r="AA1170" s="37">
        <v>83</v>
      </c>
      <c r="AB1170" s="37">
        <v>3</v>
      </c>
      <c r="AC1170" s="37">
        <v>3</v>
      </c>
      <c r="AD1170" s="37" t="s">
        <v>2028</v>
      </c>
      <c r="AF1170" s="37" t="s">
        <v>2030</v>
      </c>
    </row>
    <row r="1171" spans="3:32" x14ac:dyDescent="0.2">
      <c r="C1171" s="37" t="s">
        <v>39</v>
      </c>
      <c r="D1171" s="37">
        <v>90</v>
      </c>
      <c r="E1171" s="37">
        <v>13</v>
      </c>
      <c r="F1171" s="37" t="s">
        <v>296</v>
      </c>
      <c r="G1171" s="37">
        <v>1</v>
      </c>
      <c r="H1171" s="37" t="s">
        <v>181</v>
      </c>
      <c r="I1171" s="37" t="s">
        <v>23</v>
      </c>
      <c r="J1171" s="37" t="s">
        <v>17</v>
      </c>
      <c r="K1171" s="37">
        <v>0</v>
      </c>
      <c r="L1171" s="37">
        <v>0</v>
      </c>
      <c r="M1171" s="37">
        <v>0</v>
      </c>
      <c r="N1171" s="37">
        <v>0</v>
      </c>
      <c r="O1171" s="37">
        <v>0</v>
      </c>
      <c r="P1171" s="37">
        <v>0</v>
      </c>
      <c r="Q1171" s="37">
        <v>0</v>
      </c>
      <c r="R1171" s="37">
        <v>0</v>
      </c>
      <c r="T1171" s="37" t="s">
        <v>174</v>
      </c>
      <c r="U1171" s="37" t="s">
        <v>430</v>
      </c>
      <c r="V1171" s="37">
        <v>70</v>
      </c>
      <c r="W1171" s="37" t="s">
        <v>372</v>
      </c>
      <c r="X1171" s="37" t="s">
        <v>190</v>
      </c>
      <c r="Y1171" s="37">
        <v>150</v>
      </c>
      <c r="Z1171" s="37" t="s">
        <v>39</v>
      </c>
      <c r="AA1171" s="37">
        <v>90</v>
      </c>
      <c r="AB1171" s="37">
        <v>13</v>
      </c>
      <c r="AC1171" s="37" t="s">
        <v>296</v>
      </c>
      <c r="AD1171" s="37" t="s">
        <v>2031</v>
      </c>
      <c r="AF1171" s="37" t="s">
        <v>2032</v>
      </c>
    </row>
    <row r="1172" spans="3:32" x14ac:dyDescent="0.2">
      <c r="G1172" s="37" t="s">
        <v>166</v>
      </c>
      <c r="H1172" s="37" t="s">
        <v>166</v>
      </c>
      <c r="I1172" s="37" t="s">
        <v>166</v>
      </c>
      <c r="J1172" s="37" t="s">
        <v>372</v>
      </c>
      <c r="K1172" s="37">
        <v>0</v>
      </c>
      <c r="L1172" s="37">
        <v>13</v>
      </c>
      <c r="M1172" s="37">
        <v>4</v>
      </c>
      <c r="N1172" s="37">
        <v>17</v>
      </c>
      <c r="O1172" s="37">
        <v>51</v>
      </c>
      <c r="P1172" s="37">
        <v>7</v>
      </c>
      <c r="Q1172" s="37">
        <v>75</v>
      </c>
      <c r="R1172" s="37">
        <v>806</v>
      </c>
      <c r="T1172" s="37" t="s">
        <v>166</v>
      </c>
      <c r="U1172" s="37" t="s">
        <v>166</v>
      </c>
      <c r="V1172" s="37" t="s">
        <v>166</v>
      </c>
      <c r="W1172" s="37" t="s">
        <v>372</v>
      </c>
      <c r="X1172" s="37" t="s">
        <v>166</v>
      </c>
      <c r="Y1172" s="37" t="s">
        <v>166</v>
      </c>
      <c r="Z1172" s="37" t="s">
        <v>39</v>
      </c>
      <c r="AA1172" s="37">
        <v>90</v>
      </c>
      <c r="AB1172" s="37">
        <v>13</v>
      </c>
      <c r="AC1172" s="37" t="s">
        <v>296</v>
      </c>
      <c r="AD1172" s="37" t="s">
        <v>2031</v>
      </c>
      <c r="AF1172" s="37" t="s">
        <v>2033</v>
      </c>
    </row>
    <row r="1173" spans="3:32" x14ac:dyDescent="0.2">
      <c r="G1173" s="37" t="s">
        <v>166</v>
      </c>
      <c r="H1173" s="37" t="s">
        <v>166</v>
      </c>
      <c r="I1173" s="37" t="s">
        <v>166</v>
      </c>
      <c r="J1173" s="37" t="s">
        <v>178</v>
      </c>
      <c r="K1173" s="37">
        <v>0</v>
      </c>
      <c r="L1173" s="37">
        <v>2</v>
      </c>
      <c r="M1173" s="37">
        <v>0</v>
      </c>
      <c r="N1173" s="37">
        <v>2</v>
      </c>
      <c r="O1173" s="37">
        <v>12</v>
      </c>
      <c r="P1173" s="37">
        <v>1</v>
      </c>
      <c r="Q1173" s="37">
        <v>15</v>
      </c>
      <c r="R1173" s="37">
        <v>1667</v>
      </c>
      <c r="T1173" s="37" t="s">
        <v>166</v>
      </c>
      <c r="U1173" s="37" t="s">
        <v>166</v>
      </c>
      <c r="V1173" s="37" t="s">
        <v>166</v>
      </c>
      <c r="W1173" s="37" t="s">
        <v>372</v>
      </c>
      <c r="X1173" s="37" t="s">
        <v>166</v>
      </c>
      <c r="Y1173" s="37" t="s">
        <v>166</v>
      </c>
      <c r="Z1173" s="37" t="s">
        <v>39</v>
      </c>
      <c r="AA1173" s="37">
        <v>90</v>
      </c>
      <c r="AB1173" s="37">
        <v>13</v>
      </c>
      <c r="AC1173" s="37" t="s">
        <v>296</v>
      </c>
      <c r="AD1173" s="37" t="s">
        <v>2031</v>
      </c>
      <c r="AF1173" s="37" t="s">
        <v>2034</v>
      </c>
    </row>
    <row r="1174" spans="3:32" x14ac:dyDescent="0.2">
      <c r="G1174" s="37" t="s">
        <v>166</v>
      </c>
      <c r="H1174" s="37" t="s">
        <v>166</v>
      </c>
      <c r="I1174" s="37" t="s">
        <v>166</v>
      </c>
      <c r="J1174" s="37" t="s">
        <v>19</v>
      </c>
      <c r="K1174" s="37">
        <v>0</v>
      </c>
      <c r="L1174" s="37">
        <v>15</v>
      </c>
      <c r="M1174" s="37">
        <v>5</v>
      </c>
      <c r="N1174" s="37">
        <v>20</v>
      </c>
      <c r="O1174" s="37">
        <v>33</v>
      </c>
      <c r="P1174" s="37">
        <v>7</v>
      </c>
      <c r="Q1174" s="37">
        <v>60</v>
      </c>
      <c r="R1174" s="37">
        <v>927</v>
      </c>
      <c r="T1174" s="37" t="s">
        <v>166</v>
      </c>
      <c r="U1174" s="37" t="s">
        <v>166</v>
      </c>
      <c r="V1174" s="37" t="s">
        <v>166</v>
      </c>
      <c r="W1174" s="37" t="s">
        <v>372</v>
      </c>
      <c r="X1174" s="37" t="s">
        <v>166</v>
      </c>
      <c r="Y1174" s="37" t="s">
        <v>166</v>
      </c>
      <c r="Z1174" s="37" t="s">
        <v>39</v>
      </c>
      <c r="AA1174" s="37">
        <v>90</v>
      </c>
      <c r="AB1174" s="37">
        <v>13</v>
      </c>
      <c r="AC1174" s="37" t="s">
        <v>296</v>
      </c>
      <c r="AD1174" s="37" t="s">
        <v>2031</v>
      </c>
      <c r="AF1174" s="37" t="s">
        <v>2035</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41" sqref="G41"/>
    </sheetView>
  </sheetViews>
  <sheetFormatPr defaultRowHeight="12.75" x14ac:dyDescent="0.2"/>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Z15"/>
  <sheetViews>
    <sheetView workbookViewId="0">
      <selection activeCell="J23" sqref="J23"/>
    </sheetView>
  </sheetViews>
  <sheetFormatPr defaultRowHeight="12.75" x14ac:dyDescent="0.2"/>
  <cols>
    <col min="1" max="16384" width="9.140625" style="117"/>
  </cols>
  <sheetData>
    <row r="2" spans="2:52" x14ac:dyDescent="0.2">
      <c r="C2" s="42">
        <v>1</v>
      </c>
      <c r="D2" s="42">
        <v>2</v>
      </c>
      <c r="E2" s="42">
        <v>3</v>
      </c>
      <c r="F2" s="42">
        <v>4</v>
      </c>
      <c r="G2" s="42">
        <v>5</v>
      </c>
      <c r="H2" s="42">
        <v>6</v>
      </c>
      <c r="I2" s="42">
        <v>7</v>
      </c>
      <c r="J2" s="42">
        <v>8</v>
      </c>
      <c r="K2" s="42">
        <v>9</v>
      </c>
      <c r="L2" s="42">
        <v>10</v>
      </c>
      <c r="M2" s="42">
        <v>11</v>
      </c>
      <c r="N2" s="42">
        <v>12</v>
      </c>
      <c r="O2" s="42">
        <v>13</v>
      </c>
      <c r="P2" s="42">
        <v>14</v>
      </c>
      <c r="Q2" s="42">
        <v>15</v>
      </c>
      <c r="R2" s="42">
        <v>16</v>
      </c>
      <c r="S2" s="42">
        <v>17</v>
      </c>
      <c r="T2" s="42">
        <v>18</v>
      </c>
      <c r="U2" s="42">
        <v>19</v>
      </c>
      <c r="V2" s="42">
        <v>20</v>
      </c>
      <c r="W2" s="42">
        <v>21</v>
      </c>
      <c r="X2" s="42">
        <v>22</v>
      </c>
      <c r="Y2" s="42">
        <v>23</v>
      </c>
      <c r="Z2" s="42">
        <v>24</v>
      </c>
      <c r="AA2" s="42">
        <v>25</v>
      </c>
      <c r="AB2" s="42">
        <v>26</v>
      </c>
      <c r="AC2" s="42">
        <v>27</v>
      </c>
      <c r="AD2" s="42">
        <v>28</v>
      </c>
      <c r="AE2" s="42">
        <v>29</v>
      </c>
      <c r="AF2" s="42">
        <v>30</v>
      </c>
      <c r="AG2" s="42">
        <v>31</v>
      </c>
      <c r="AH2" s="42">
        <v>32</v>
      </c>
      <c r="AI2" s="42">
        <v>33</v>
      </c>
      <c r="AJ2" s="42">
        <v>34</v>
      </c>
      <c r="AK2" s="42">
        <v>35</v>
      </c>
      <c r="AL2" s="42">
        <v>36</v>
      </c>
      <c r="AM2" s="42">
        <v>37</v>
      </c>
      <c r="AN2" s="42">
        <v>38</v>
      </c>
      <c r="AO2" s="42">
        <v>39</v>
      </c>
      <c r="AP2" s="42">
        <v>40</v>
      </c>
      <c r="AQ2" s="42">
        <v>41</v>
      </c>
      <c r="AR2" s="42">
        <v>42</v>
      </c>
      <c r="AS2" s="42">
        <v>43</v>
      </c>
      <c r="AT2" s="42">
        <v>44</v>
      </c>
      <c r="AU2" s="42">
        <v>45</v>
      </c>
      <c r="AV2" s="42">
        <v>46</v>
      </c>
      <c r="AW2" s="42">
        <v>47</v>
      </c>
      <c r="AX2" s="42">
        <v>48</v>
      </c>
      <c r="AY2" s="42">
        <v>49</v>
      </c>
      <c r="AZ2" s="42">
        <v>50</v>
      </c>
    </row>
    <row r="3" spans="2:52" x14ac:dyDescent="0.2">
      <c r="B3" s="117">
        <v>1</v>
      </c>
      <c r="C3" s="117">
        <v>190</v>
      </c>
      <c r="D3" s="117">
        <v>60</v>
      </c>
      <c r="E3" s="117">
        <v>100</v>
      </c>
      <c r="F3" s="117">
        <v>100</v>
      </c>
      <c r="G3" s="117">
        <v>480</v>
      </c>
      <c r="H3" s="117">
        <v>100</v>
      </c>
      <c r="I3" s="117">
        <v>100</v>
      </c>
      <c r="J3" s="117">
        <v>220</v>
      </c>
      <c r="K3" s="117">
        <v>330</v>
      </c>
      <c r="L3" s="117">
        <v>100</v>
      </c>
      <c r="M3" s="117">
        <v>100</v>
      </c>
      <c r="N3" s="117">
        <v>160</v>
      </c>
      <c r="O3" s="117">
        <v>130</v>
      </c>
      <c r="P3" s="117">
        <v>110</v>
      </c>
      <c r="Q3" s="117">
        <v>180</v>
      </c>
      <c r="R3" s="117">
        <v>60</v>
      </c>
      <c r="S3" s="117">
        <v>50</v>
      </c>
      <c r="T3" s="117">
        <v>100</v>
      </c>
      <c r="U3" s="117">
        <v>100</v>
      </c>
      <c r="V3" s="117">
        <v>100</v>
      </c>
      <c r="W3" s="117">
        <v>100</v>
      </c>
      <c r="X3" s="117">
        <v>400</v>
      </c>
      <c r="Y3" s="117">
        <v>770</v>
      </c>
      <c r="Z3" s="117">
        <v>340</v>
      </c>
      <c r="AA3" s="117">
        <v>100</v>
      </c>
      <c r="AB3" s="117">
        <v>110</v>
      </c>
      <c r="AC3" s="117">
        <v>120</v>
      </c>
      <c r="AD3" s="117">
        <v>170</v>
      </c>
      <c r="AE3" s="117">
        <v>400</v>
      </c>
      <c r="AF3" s="117">
        <v>615</v>
      </c>
      <c r="AG3" s="117">
        <v>560</v>
      </c>
      <c r="AH3" s="117">
        <v>610</v>
      </c>
      <c r="AI3" s="117">
        <v>100</v>
      </c>
      <c r="AJ3" s="117">
        <v>100</v>
      </c>
      <c r="AK3" s="117">
        <v>290</v>
      </c>
      <c r="AL3" s="117">
        <v>100</v>
      </c>
      <c r="AM3" s="117">
        <v>670</v>
      </c>
      <c r="AN3" s="117">
        <v>100</v>
      </c>
      <c r="AO3" s="117">
        <v>320</v>
      </c>
      <c r="AP3" s="117">
        <v>520</v>
      </c>
      <c r="AQ3" s="117">
        <v>200</v>
      </c>
      <c r="AR3" s="117">
        <v>550</v>
      </c>
      <c r="AS3" s="117">
        <v>210</v>
      </c>
      <c r="AT3" s="117">
        <v>220</v>
      </c>
      <c r="AU3" s="117">
        <v>100</v>
      </c>
      <c r="AV3" s="117">
        <v>70</v>
      </c>
      <c r="AW3" s="117">
        <v>80</v>
      </c>
      <c r="AX3" s="117">
        <v>230</v>
      </c>
      <c r="AY3" s="117">
        <v>100</v>
      </c>
      <c r="AZ3" s="117">
        <v>1000</v>
      </c>
    </row>
    <row r="4" spans="2:52" x14ac:dyDescent="0.2">
      <c r="B4" s="117">
        <v>2</v>
      </c>
      <c r="C4" s="117">
        <v>50</v>
      </c>
      <c r="D4" s="117">
        <v>450</v>
      </c>
      <c r="E4" s="117">
        <v>500</v>
      </c>
      <c r="F4" s="117">
        <v>500</v>
      </c>
      <c r="G4" s="117">
        <v>100</v>
      </c>
      <c r="H4" s="117">
        <v>210</v>
      </c>
      <c r="I4" s="117">
        <v>170</v>
      </c>
      <c r="J4" s="117">
        <v>100</v>
      </c>
      <c r="K4" s="117">
        <v>100</v>
      </c>
      <c r="L4" s="117">
        <v>120</v>
      </c>
      <c r="M4" s="117">
        <v>220</v>
      </c>
      <c r="N4" s="117">
        <v>100</v>
      </c>
      <c r="O4" s="117">
        <v>100</v>
      </c>
      <c r="P4" s="117">
        <v>100</v>
      </c>
      <c r="Q4" s="117">
        <v>100</v>
      </c>
      <c r="R4" s="117">
        <v>50</v>
      </c>
      <c r="S4" s="117">
        <v>60</v>
      </c>
      <c r="T4" s="117">
        <v>80</v>
      </c>
      <c r="U4" s="117">
        <v>550</v>
      </c>
      <c r="V4" s="117">
        <v>560</v>
      </c>
      <c r="W4" s="117">
        <v>610</v>
      </c>
      <c r="X4" s="117">
        <v>110</v>
      </c>
      <c r="Y4" s="117">
        <v>100</v>
      </c>
      <c r="Z4" s="117">
        <v>100</v>
      </c>
      <c r="AA4" s="117">
        <v>520</v>
      </c>
      <c r="AB4" s="117">
        <v>910</v>
      </c>
      <c r="AC4" s="117">
        <v>90</v>
      </c>
      <c r="AD4" s="117">
        <v>250</v>
      </c>
      <c r="AE4" s="117">
        <v>100</v>
      </c>
      <c r="AF4" s="117">
        <v>100</v>
      </c>
      <c r="AG4" s="117">
        <v>100</v>
      </c>
      <c r="AH4" s="117">
        <v>100</v>
      </c>
      <c r="AI4" s="117">
        <v>600</v>
      </c>
      <c r="AJ4" s="117">
        <v>620</v>
      </c>
      <c r="AK4" s="117">
        <v>150</v>
      </c>
      <c r="AL4" s="117">
        <v>300</v>
      </c>
      <c r="AM4" s="117">
        <v>50</v>
      </c>
      <c r="AN4" s="117">
        <v>270</v>
      </c>
      <c r="AO4" s="117">
        <v>100</v>
      </c>
      <c r="AP4" s="117">
        <v>420</v>
      </c>
      <c r="AQ4" s="117">
        <v>100</v>
      </c>
      <c r="AR4" s="117">
        <v>80</v>
      </c>
      <c r="AS4" s="117">
        <v>50</v>
      </c>
      <c r="AT4" s="117">
        <v>100</v>
      </c>
      <c r="AU4" s="117">
        <v>400</v>
      </c>
      <c r="AV4" s="117">
        <v>200</v>
      </c>
      <c r="AW4" s="117">
        <v>20</v>
      </c>
      <c r="AX4" s="117">
        <v>100</v>
      </c>
      <c r="AY4" s="117">
        <v>1000</v>
      </c>
      <c r="AZ4" s="117">
        <v>100</v>
      </c>
    </row>
    <row r="5" spans="2:52" x14ac:dyDescent="0.2">
      <c r="B5" s="117">
        <v>3</v>
      </c>
      <c r="C5" s="117">
        <v>80</v>
      </c>
      <c r="D5" s="117">
        <v>100</v>
      </c>
      <c r="E5" s="117">
        <v>100</v>
      </c>
      <c r="F5" s="117">
        <v>100</v>
      </c>
      <c r="G5" s="117">
        <v>480</v>
      </c>
      <c r="H5" s="117">
        <v>100</v>
      </c>
      <c r="I5" s="117">
        <v>100</v>
      </c>
      <c r="J5" s="117">
        <v>220</v>
      </c>
      <c r="K5" s="117">
        <v>330</v>
      </c>
      <c r="L5" s="117">
        <v>100</v>
      </c>
      <c r="M5" s="117">
        <v>100</v>
      </c>
      <c r="N5" s="117">
        <v>160</v>
      </c>
      <c r="O5" s="117">
        <v>130</v>
      </c>
      <c r="P5" s="117">
        <v>160</v>
      </c>
      <c r="Q5" s="117">
        <v>180</v>
      </c>
      <c r="R5" s="117">
        <v>40</v>
      </c>
      <c r="S5" s="117">
        <v>260</v>
      </c>
      <c r="T5" s="117">
        <v>100</v>
      </c>
      <c r="U5" s="117">
        <v>100</v>
      </c>
      <c r="V5" s="117">
        <v>100</v>
      </c>
      <c r="W5" s="117">
        <v>100</v>
      </c>
      <c r="X5" s="117">
        <v>420</v>
      </c>
      <c r="Y5" s="117">
        <v>770</v>
      </c>
      <c r="Z5" s="117">
        <v>330</v>
      </c>
      <c r="AA5" s="117">
        <v>100</v>
      </c>
      <c r="AB5" s="117">
        <v>100</v>
      </c>
      <c r="AC5" s="117">
        <v>70</v>
      </c>
      <c r="AD5" s="117">
        <v>280</v>
      </c>
      <c r="AE5" s="117">
        <v>400</v>
      </c>
      <c r="AF5" s="117">
        <v>580</v>
      </c>
      <c r="AG5" s="117">
        <v>530</v>
      </c>
      <c r="AH5" s="117">
        <v>580</v>
      </c>
      <c r="AI5" s="117">
        <v>100</v>
      </c>
      <c r="AJ5" s="117">
        <v>100</v>
      </c>
      <c r="AK5" s="117">
        <v>90</v>
      </c>
      <c r="AL5" s="117">
        <v>100</v>
      </c>
      <c r="AM5" s="117">
        <v>640</v>
      </c>
      <c r="AN5" s="117">
        <v>100</v>
      </c>
      <c r="AO5" s="117">
        <v>320</v>
      </c>
      <c r="AP5" s="117">
        <v>220</v>
      </c>
      <c r="AQ5" s="117">
        <v>200</v>
      </c>
      <c r="AR5" s="117">
        <v>550</v>
      </c>
      <c r="AS5" s="117">
        <v>80</v>
      </c>
      <c r="AT5" s="117">
        <v>290</v>
      </c>
      <c r="AU5" s="117">
        <v>100</v>
      </c>
      <c r="AV5" s="117">
        <v>100</v>
      </c>
      <c r="AW5" s="117">
        <v>40</v>
      </c>
      <c r="AX5" s="117">
        <v>240</v>
      </c>
      <c r="AY5" s="117">
        <v>100</v>
      </c>
      <c r="AZ5" s="117">
        <v>1000</v>
      </c>
    </row>
    <row r="6" spans="2:52" x14ac:dyDescent="0.2">
      <c r="B6" s="117">
        <v>4</v>
      </c>
      <c r="C6" s="117">
        <v>100</v>
      </c>
      <c r="D6" s="117">
        <v>430</v>
      </c>
      <c r="E6" s="117">
        <v>500</v>
      </c>
      <c r="F6" s="117">
        <v>500</v>
      </c>
      <c r="G6" s="117">
        <v>100</v>
      </c>
      <c r="H6" s="117">
        <v>210</v>
      </c>
      <c r="I6" s="117">
        <v>170</v>
      </c>
      <c r="J6" s="117">
        <v>100</v>
      </c>
      <c r="K6" s="117">
        <v>100</v>
      </c>
      <c r="L6" s="117">
        <v>120</v>
      </c>
      <c r="M6" s="117">
        <v>220</v>
      </c>
      <c r="N6" s="117">
        <v>100</v>
      </c>
      <c r="O6" s="117">
        <v>100</v>
      </c>
      <c r="P6" s="117">
        <v>100</v>
      </c>
      <c r="Q6" s="117">
        <v>100</v>
      </c>
      <c r="R6" s="117">
        <v>140</v>
      </c>
      <c r="S6" s="117">
        <v>100</v>
      </c>
      <c r="T6" s="117">
        <v>80</v>
      </c>
      <c r="U6" s="117">
        <v>550</v>
      </c>
      <c r="V6" s="117">
        <v>560</v>
      </c>
      <c r="W6" s="117">
        <v>610</v>
      </c>
      <c r="X6" s="117">
        <v>110</v>
      </c>
      <c r="Y6" s="117">
        <v>100</v>
      </c>
      <c r="Z6" s="117">
        <v>100</v>
      </c>
      <c r="AA6" s="117">
        <v>520</v>
      </c>
      <c r="AB6" s="117">
        <v>410</v>
      </c>
      <c r="AC6" s="117">
        <v>110</v>
      </c>
      <c r="AD6" s="117">
        <v>120</v>
      </c>
      <c r="AE6" s="117">
        <v>100</v>
      </c>
      <c r="AF6" s="117">
        <v>100</v>
      </c>
      <c r="AG6" s="117">
        <v>70</v>
      </c>
      <c r="AH6" s="117">
        <v>100</v>
      </c>
      <c r="AI6" s="117">
        <v>600</v>
      </c>
      <c r="AJ6" s="117">
        <v>600</v>
      </c>
      <c r="AK6" s="117">
        <v>170</v>
      </c>
      <c r="AL6" s="117">
        <v>300</v>
      </c>
      <c r="AM6" s="117">
        <v>50</v>
      </c>
      <c r="AN6" s="117">
        <v>270</v>
      </c>
      <c r="AO6" s="117">
        <v>100</v>
      </c>
      <c r="AP6" s="117">
        <v>100</v>
      </c>
      <c r="AQ6" s="117">
        <v>100</v>
      </c>
      <c r="AR6" s="117">
        <v>80</v>
      </c>
      <c r="AS6" s="117">
        <v>150</v>
      </c>
      <c r="AT6" s="117">
        <v>100</v>
      </c>
      <c r="AU6" s="117">
        <v>400</v>
      </c>
      <c r="AV6" s="117">
        <v>70</v>
      </c>
      <c r="AW6" s="117">
        <v>60</v>
      </c>
      <c r="AX6" s="117">
        <v>100</v>
      </c>
      <c r="AY6" s="117">
        <v>1000</v>
      </c>
      <c r="AZ6" s="117">
        <v>100</v>
      </c>
    </row>
    <row r="7" spans="2:52" x14ac:dyDescent="0.2">
      <c r="B7" s="117">
        <v>5</v>
      </c>
      <c r="C7" s="117">
        <v>100</v>
      </c>
      <c r="D7" s="117">
        <v>70</v>
      </c>
      <c r="R7" s="117">
        <v>80</v>
      </c>
      <c r="S7" s="117">
        <v>200</v>
      </c>
      <c r="AB7" s="117">
        <v>500</v>
      </c>
      <c r="AC7" s="117">
        <v>40</v>
      </c>
      <c r="AD7" s="117">
        <v>160</v>
      </c>
      <c r="AG7" s="117">
        <v>70</v>
      </c>
      <c r="AK7" s="117">
        <v>100</v>
      </c>
      <c r="AP7" s="117">
        <v>140</v>
      </c>
      <c r="AS7" s="117">
        <v>50</v>
      </c>
      <c r="AV7" s="117">
        <v>150</v>
      </c>
      <c r="AW7" s="117">
        <v>80</v>
      </c>
    </row>
    <row r="8" spans="2:52" x14ac:dyDescent="0.2">
      <c r="B8" s="117">
        <v>6</v>
      </c>
      <c r="C8" s="117">
        <v>190</v>
      </c>
      <c r="D8" s="117">
        <v>60</v>
      </c>
      <c r="R8" s="117">
        <v>120</v>
      </c>
      <c r="S8" s="117">
        <v>150</v>
      </c>
      <c r="AC8" s="117">
        <v>110</v>
      </c>
      <c r="AD8" s="117">
        <v>230</v>
      </c>
      <c r="AK8" s="117">
        <v>150</v>
      </c>
      <c r="AS8" s="117">
        <v>150</v>
      </c>
      <c r="AV8" s="117">
        <v>220</v>
      </c>
      <c r="AW8" s="117">
        <v>120</v>
      </c>
    </row>
    <row r="9" spans="2:52" x14ac:dyDescent="0.2">
      <c r="B9" s="117">
        <v>7</v>
      </c>
      <c r="C9" s="117">
        <v>70</v>
      </c>
      <c r="R9" s="117">
        <v>60</v>
      </c>
      <c r="S9" s="117">
        <v>40</v>
      </c>
      <c r="AC9" s="117">
        <v>180</v>
      </c>
      <c r="AD9" s="117">
        <v>120</v>
      </c>
      <c r="AK9" s="117">
        <v>80</v>
      </c>
      <c r="AS9" s="117">
        <v>320</v>
      </c>
      <c r="AV9" s="117">
        <v>80</v>
      </c>
    </row>
    <row r="10" spans="2:52" x14ac:dyDescent="0.2">
      <c r="B10" s="117">
        <v>8</v>
      </c>
      <c r="R10" s="117">
        <v>280</v>
      </c>
      <c r="AC10" s="117">
        <v>170</v>
      </c>
      <c r="AD10" s="117">
        <v>120</v>
      </c>
      <c r="AK10" s="117">
        <v>270</v>
      </c>
      <c r="AV10" s="117">
        <v>60</v>
      </c>
    </row>
    <row r="11" spans="2:52" x14ac:dyDescent="0.2">
      <c r="B11" s="117">
        <v>9</v>
      </c>
      <c r="AC11" s="117">
        <v>140</v>
      </c>
      <c r="AD11" s="117">
        <v>150</v>
      </c>
      <c r="AK11" s="117">
        <v>130</v>
      </c>
      <c r="AV11" s="117">
        <v>40</v>
      </c>
    </row>
    <row r="12" spans="2:52" x14ac:dyDescent="0.2">
      <c r="B12" s="117">
        <v>10</v>
      </c>
      <c r="AC12" s="117">
        <v>170</v>
      </c>
      <c r="AD12" s="117">
        <v>80</v>
      </c>
      <c r="AK12" s="117">
        <v>70</v>
      </c>
    </row>
    <row r="13" spans="2:52" x14ac:dyDescent="0.2">
      <c r="B13" s="117">
        <v>11</v>
      </c>
      <c r="AD13" s="117">
        <v>200</v>
      </c>
    </row>
    <row r="14" spans="2:52" x14ac:dyDescent="0.2">
      <c r="B14" s="117">
        <v>12</v>
      </c>
    </row>
    <row r="15" spans="2:52" x14ac:dyDescent="0.2">
      <c r="B15" s="117">
        <v>13</v>
      </c>
      <c r="C15" s="117">
        <f>SUM(C3:C13)/1000</f>
        <v>0.78</v>
      </c>
      <c r="D15" s="117">
        <f t="shared" ref="D15:AZ15" si="0">SUM(D3:D13)/1000</f>
        <v>1.17</v>
      </c>
      <c r="E15" s="117">
        <f t="shared" si="0"/>
        <v>1.2</v>
      </c>
      <c r="F15" s="117">
        <f t="shared" si="0"/>
        <v>1.2</v>
      </c>
      <c r="G15" s="117">
        <f t="shared" si="0"/>
        <v>1.1599999999999999</v>
      </c>
      <c r="H15" s="117">
        <f t="shared" si="0"/>
        <v>0.62</v>
      </c>
      <c r="I15" s="117">
        <f t="shared" si="0"/>
        <v>0.54</v>
      </c>
      <c r="J15" s="117">
        <f t="shared" si="0"/>
        <v>0.64</v>
      </c>
      <c r="K15" s="117">
        <f t="shared" si="0"/>
        <v>0.86</v>
      </c>
      <c r="L15" s="117">
        <f t="shared" si="0"/>
        <v>0.44</v>
      </c>
      <c r="M15" s="117">
        <f t="shared" si="0"/>
        <v>0.64</v>
      </c>
      <c r="N15" s="117">
        <f t="shared" si="0"/>
        <v>0.52</v>
      </c>
      <c r="O15" s="117">
        <f t="shared" si="0"/>
        <v>0.46</v>
      </c>
      <c r="P15" s="117">
        <f t="shared" si="0"/>
        <v>0.47</v>
      </c>
      <c r="Q15" s="117">
        <f t="shared" si="0"/>
        <v>0.56000000000000005</v>
      </c>
      <c r="R15" s="117">
        <f t="shared" si="0"/>
        <v>0.83</v>
      </c>
      <c r="S15" s="117">
        <f t="shared" si="0"/>
        <v>0.86</v>
      </c>
      <c r="T15" s="117">
        <f t="shared" si="0"/>
        <v>0.36</v>
      </c>
      <c r="U15" s="117">
        <f t="shared" si="0"/>
        <v>1.3</v>
      </c>
      <c r="V15" s="117">
        <f>SUM(V3:V13)/1000</f>
        <v>1.32</v>
      </c>
      <c r="W15" s="117">
        <f>SUM(W3:W13)/1000</f>
        <v>1.42</v>
      </c>
      <c r="X15" s="117">
        <f t="shared" si="0"/>
        <v>1.04</v>
      </c>
      <c r="Y15" s="117">
        <f t="shared" si="0"/>
        <v>1.74</v>
      </c>
      <c r="Z15" s="117">
        <f t="shared" si="0"/>
        <v>0.87</v>
      </c>
      <c r="AA15" s="117">
        <f t="shared" si="0"/>
        <v>1.24</v>
      </c>
      <c r="AB15" s="117">
        <f t="shared" si="0"/>
        <v>2.0299999999999998</v>
      </c>
      <c r="AC15" s="117">
        <f t="shared" si="0"/>
        <v>1.2</v>
      </c>
      <c r="AD15" s="117">
        <f t="shared" si="0"/>
        <v>1.88</v>
      </c>
      <c r="AE15" s="117">
        <f t="shared" si="0"/>
        <v>1</v>
      </c>
      <c r="AF15" s="117">
        <f t="shared" si="0"/>
        <v>1.395</v>
      </c>
      <c r="AG15" s="117">
        <f t="shared" si="0"/>
        <v>1.33</v>
      </c>
      <c r="AH15" s="117">
        <f t="shared" si="0"/>
        <v>1.39</v>
      </c>
      <c r="AI15" s="117">
        <f t="shared" si="0"/>
        <v>1.4</v>
      </c>
      <c r="AJ15" s="117">
        <f t="shared" si="0"/>
        <v>1.42</v>
      </c>
      <c r="AK15" s="117">
        <f t="shared" si="0"/>
        <v>1.5</v>
      </c>
      <c r="AL15" s="117">
        <f t="shared" si="0"/>
        <v>0.8</v>
      </c>
      <c r="AM15" s="117">
        <f t="shared" si="0"/>
        <v>1.41</v>
      </c>
      <c r="AN15" s="117">
        <f t="shared" si="0"/>
        <v>0.74</v>
      </c>
      <c r="AO15" s="117">
        <f t="shared" si="0"/>
        <v>0.84</v>
      </c>
      <c r="AP15" s="117">
        <f t="shared" si="0"/>
        <v>1.4</v>
      </c>
      <c r="AQ15" s="117">
        <f t="shared" si="0"/>
        <v>0.6</v>
      </c>
      <c r="AR15" s="117">
        <f t="shared" si="0"/>
        <v>1.26</v>
      </c>
      <c r="AS15" s="117">
        <f t="shared" si="0"/>
        <v>1.01</v>
      </c>
      <c r="AT15" s="117">
        <f t="shared" si="0"/>
        <v>0.71</v>
      </c>
      <c r="AU15" s="117">
        <f>SUM(AU3:AU13)/1000</f>
        <v>1</v>
      </c>
      <c r="AV15" s="117">
        <f>SUM(AV3:AV13)/1000</f>
        <v>0.99</v>
      </c>
      <c r="AW15" s="117">
        <f>SUM(AW3:AW13)/1000</f>
        <v>0.4</v>
      </c>
      <c r="AX15" s="117">
        <f t="shared" si="0"/>
        <v>0.67</v>
      </c>
      <c r="AY15" s="117">
        <f t="shared" si="0"/>
        <v>2.2000000000000002</v>
      </c>
      <c r="AZ15" s="117">
        <f t="shared" si="0"/>
        <v>2.2000000000000002</v>
      </c>
    </row>
  </sheetData>
  <pageMargins left="0.7" right="0.7" top="0.75" bottom="0.75" header="0.3" footer="0.3"/>
  <pageSetup paperSize="9" orientation="portrait" r:id="rId1"/>
  <ignoredErrors>
    <ignoredError sqref="C15:AZ15"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7"/>
  <sheetViews>
    <sheetView workbookViewId="0">
      <pane ySplit="2" topLeftCell="A21" activePane="bottomLeft" state="frozen"/>
      <selection pane="bottomLeft" activeCell="S10" sqref="S10"/>
    </sheetView>
  </sheetViews>
  <sheetFormatPr defaultRowHeight="12.75" x14ac:dyDescent="0.2"/>
  <cols>
    <col min="1" max="1" width="31.85546875" style="131" customWidth="1"/>
    <col min="2" max="2" width="7.85546875" style="44" customWidth="1"/>
    <col min="3" max="13" width="6.7109375" style="131" customWidth="1"/>
    <col min="14" max="14" width="9.140625" style="131"/>
    <col min="15" max="15" width="12" style="44" customWidth="1"/>
    <col min="16" max="18" width="9.140625" style="44"/>
    <col min="19" max="19" width="28.28515625" style="44" customWidth="1"/>
    <col min="20" max="16384" width="9.140625" style="44"/>
  </cols>
  <sheetData>
    <row r="1" spans="1:21" s="133" customFormat="1" ht="32.25" customHeight="1" x14ac:dyDescent="0.2">
      <c r="A1" s="117"/>
      <c r="C1" s="117" t="s">
        <v>2058</v>
      </c>
      <c r="D1" s="117"/>
      <c r="E1" s="117"/>
      <c r="F1" s="117"/>
      <c r="G1" s="117"/>
      <c r="H1" s="117"/>
      <c r="I1" s="117"/>
      <c r="J1" s="117"/>
      <c r="K1" s="117"/>
      <c r="L1" s="117"/>
      <c r="M1" s="117"/>
      <c r="N1" s="117"/>
    </row>
    <row r="2" spans="1:21" x14ac:dyDescent="0.2">
      <c r="A2" s="131" t="s">
        <v>2059</v>
      </c>
      <c r="B2" s="119"/>
      <c r="C2" s="120">
        <v>1</v>
      </c>
      <c r="D2" s="120">
        <v>2</v>
      </c>
      <c r="E2" s="120">
        <v>3</v>
      </c>
      <c r="F2" s="120">
        <v>4</v>
      </c>
      <c r="G2" s="120">
        <v>5</v>
      </c>
      <c r="H2" s="120">
        <v>6</v>
      </c>
      <c r="I2" s="120">
        <v>7</v>
      </c>
      <c r="J2" s="120">
        <v>8</v>
      </c>
      <c r="K2" s="120">
        <v>9</v>
      </c>
      <c r="L2" s="120">
        <v>10</v>
      </c>
      <c r="M2" s="120">
        <v>11</v>
      </c>
      <c r="N2" s="120">
        <v>12</v>
      </c>
      <c r="O2" s="119"/>
    </row>
    <row r="3" spans="1:21" x14ac:dyDescent="0.2">
      <c r="A3" s="148" t="s">
        <v>1018</v>
      </c>
      <c r="B3" s="42">
        <v>1</v>
      </c>
      <c r="C3" s="42">
        <v>80</v>
      </c>
      <c r="D3" s="42">
        <v>250</v>
      </c>
      <c r="E3" s="42">
        <v>65</v>
      </c>
      <c r="F3" s="42">
        <v>60</v>
      </c>
      <c r="G3" s="42">
        <v>25</v>
      </c>
      <c r="H3" s="42">
        <v>360</v>
      </c>
      <c r="I3" s="42">
        <v>100</v>
      </c>
      <c r="J3" s="42"/>
      <c r="K3" s="42"/>
      <c r="L3" s="42"/>
      <c r="M3" s="42"/>
      <c r="N3" s="42"/>
      <c r="O3" s="42"/>
      <c r="P3" s="42"/>
      <c r="Q3" s="149">
        <f>ROUND(SUM(C3:P3)/1000,2)</f>
        <v>0.94</v>
      </c>
      <c r="S3" s="44" t="s">
        <v>1018</v>
      </c>
      <c r="U3" s="44" t="str">
        <f>IF(S3=A3,"ОК","")</f>
        <v>ОК</v>
      </c>
    </row>
    <row r="4" spans="1:21" x14ac:dyDescent="0.2">
      <c r="A4" s="148" t="s">
        <v>1026</v>
      </c>
      <c r="B4" s="42">
        <v>2</v>
      </c>
      <c r="C4" s="42">
        <v>100</v>
      </c>
      <c r="D4" s="42">
        <v>760</v>
      </c>
      <c r="E4" s="42">
        <v>70</v>
      </c>
      <c r="F4" s="42">
        <v>70</v>
      </c>
      <c r="G4" s="42">
        <v>25</v>
      </c>
      <c r="H4" s="42">
        <v>720</v>
      </c>
      <c r="I4" s="42"/>
      <c r="J4" s="42"/>
      <c r="K4" s="42"/>
      <c r="L4" s="42"/>
      <c r="M4" s="42"/>
      <c r="N4" s="42"/>
      <c r="O4" s="42"/>
      <c r="P4" s="42"/>
      <c r="Q4" s="149">
        <f t="shared" ref="Q4:Q66" si="0">ROUND(SUM(C4:P4)/1000,2)</f>
        <v>1.75</v>
      </c>
      <c r="S4" s="44" t="s">
        <v>1026</v>
      </c>
      <c r="U4" s="44" t="str">
        <f t="shared" ref="U4:U66" si="1">IF(S4=A4,"ОК","")</f>
        <v>ОК</v>
      </c>
    </row>
    <row r="5" spans="1:21" x14ac:dyDescent="0.2">
      <c r="A5" s="148" t="s">
        <v>544</v>
      </c>
      <c r="B5" s="42">
        <v>3</v>
      </c>
      <c r="C5" s="42">
        <v>950</v>
      </c>
      <c r="D5" s="42">
        <v>50</v>
      </c>
      <c r="E5" s="42">
        <v>340</v>
      </c>
      <c r="F5" s="42">
        <v>270</v>
      </c>
      <c r="G5" s="42">
        <v>40</v>
      </c>
      <c r="H5" s="42">
        <v>110</v>
      </c>
      <c r="I5" s="42">
        <v>100</v>
      </c>
      <c r="J5" s="42">
        <v>20</v>
      </c>
      <c r="K5" s="42">
        <v>150</v>
      </c>
      <c r="L5" s="42">
        <v>70</v>
      </c>
      <c r="M5" s="42"/>
      <c r="N5" s="42"/>
      <c r="O5" s="42"/>
      <c r="P5" s="42"/>
      <c r="Q5" s="149">
        <f t="shared" si="0"/>
        <v>2.1</v>
      </c>
      <c r="S5" s="44" t="s">
        <v>544</v>
      </c>
      <c r="U5" s="44" t="str">
        <f t="shared" si="1"/>
        <v>ОК</v>
      </c>
    </row>
    <row r="6" spans="1:21" x14ac:dyDescent="0.2">
      <c r="A6" s="148" t="s">
        <v>1034</v>
      </c>
      <c r="B6" s="42">
        <v>4</v>
      </c>
      <c r="C6" s="42">
        <v>100</v>
      </c>
      <c r="D6" s="42">
        <v>970</v>
      </c>
      <c r="E6" s="42">
        <v>60</v>
      </c>
      <c r="F6" s="42">
        <v>85</v>
      </c>
      <c r="G6" s="42">
        <v>1000</v>
      </c>
      <c r="H6" s="42"/>
      <c r="I6" s="42"/>
      <c r="J6" s="42"/>
      <c r="K6" s="42"/>
      <c r="L6" s="42"/>
      <c r="M6" s="42"/>
      <c r="N6" s="42"/>
      <c r="O6" s="42"/>
      <c r="P6" s="42"/>
      <c r="Q6" s="149">
        <f t="shared" si="0"/>
        <v>2.2200000000000002</v>
      </c>
      <c r="S6" s="44" t="s">
        <v>1034</v>
      </c>
      <c r="U6" s="44" t="str">
        <f t="shared" si="1"/>
        <v>ОК</v>
      </c>
    </row>
    <row r="7" spans="1:21" x14ac:dyDescent="0.2">
      <c r="A7" s="148" t="s">
        <v>1038</v>
      </c>
      <c r="B7" s="42">
        <v>5</v>
      </c>
      <c r="C7" s="42">
        <v>100</v>
      </c>
      <c r="D7" s="42">
        <v>750</v>
      </c>
      <c r="E7" s="42">
        <v>100</v>
      </c>
      <c r="F7" s="42">
        <v>720</v>
      </c>
      <c r="G7" s="42"/>
      <c r="H7" s="42"/>
      <c r="I7" s="42"/>
      <c r="J7" s="42"/>
      <c r="K7" s="42"/>
      <c r="L7" s="42"/>
      <c r="M7" s="42"/>
      <c r="N7" s="42"/>
      <c r="O7" s="42"/>
      <c r="P7" s="42"/>
      <c r="Q7" s="149">
        <f t="shared" si="0"/>
        <v>1.67</v>
      </c>
      <c r="S7" s="44" t="s">
        <v>1038</v>
      </c>
      <c r="U7" s="44" t="str">
        <f t="shared" si="1"/>
        <v>ОК</v>
      </c>
    </row>
    <row r="8" spans="1:21" x14ac:dyDescent="0.2">
      <c r="A8" s="148" t="s">
        <v>1054</v>
      </c>
      <c r="B8" s="42">
        <v>6</v>
      </c>
      <c r="C8" s="42">
        <v>90</v>
      </c>
      <c r="D8" s="42">
        <v>230</v>
      </c>
      <c r="E8" s="42">
        <v>70</v>
      </c>
      <c r="F8" s="42">
        <v>55</v>
      </c>
      <c r="G8" s="42">
        <v>40</v>
      </c>
      <c r="H8" s="42">
        <v>110</v>
      </c>
      <c r="I8" s="42">
        <v>70</v>
      </c>
      <c r="J8" s="42">
        <v>340</v>
      </c>
      <c r="K8" s="42"/>
      <c r="L8" s="42"/>
      <c r="M8" s="42"/>
      <c r="N8" s="42"/>
      <c r="O8" s="42"/>
      <c r="P8" s="42"/>
      <c r="Q8" s="149">
        <f t="shared" si="0"/>
        <v>1.01</v>
      </c>
      <c r="S8" s="44" t="s">
        <v>1054</v>
      </c>
      <c r="U8" s="44" t="str">
        <f t="shared" si="1"/>
        <v>ОК</v>
      </c>
    </row>
    <row r="9" spans="1:21" x14ac:dyDescent="0.2">
      <c r="A9" s="148" t="s">
        <v>2060</v>
      </c>
      <c r="B9" s="42">
        <v>7</v>
      </c>
      <c r="C9" s="42">
        <v>420</v>
      </c>
      <c r="D9" s="42">
        <v>105</v>
      </c>
      <c r="E9" s="42">
        <v>360</v>
      </c>
      <c r="F9" s="42">
        <v>100</v>
      </c>
      <c r="G9" s="42"/>
      <c r="H9" s="42"/>
      <c r="I9" s="42"/>
      <c r="J9" s="42"/>
      <c r="K9" s="42"/>
      <c r="L9" s="42"/>
      <c r="M9" s="42"/>
      <c r="N9" s="42"/>
      <c r="O9" s="42"/>
      <c r="P9" s="42"/>
      <c r="Q9" s="149">
        <f t="shared" si="0"/>
        <v>0.99</v>
      </c>
      <c r="S9" s="44" t="s">
        <v>2060</v>
      </c>
      <c r="U9" s="44" t="str">
        <f t="shared" si="1"/>
        <v>ОК</v>
      </c>
    </row>
    <row r="10" spans="1:21" x14ac:dyDescent="0.2">
      <c r="A10" s="148" t="s">
        <v>1058</v>
      </c>
      <c r="B10" s="42">
        <v>8</v>
      </c>
      <c r="C10" s="42">
        <v>460</v>
      </c>
      <c r="D10" s="42">
        <v>100</v>
      </c>
      <c r="E10" s="42">
        <v>460</v>
      </c>
      <c r="F10" s="42">
        <v>100</v>
      </c>
      <c r="G10" s="42"/>
      <c r="H10" s="42"/>
      <c r="I10" s="42"/>
      <c r="J10" s="42"/>
      <c r="K10" s="42"/>
      <c r="L10" s="42"/>
      <c r="M10" s="42"/>
      <c r="N10" s="42"/>
      <c r="O10" s="42"/>
      <c r="P10" s="42"/>
      <c r="Q10" s="149">
        <f t="shared" si="0"/>
        <v>1.1200000000000001</v>
      </c>
      <c r="S10" s="44" t="s">
        <v>1058</v>
      </c>
      <c r="U10" s="44" t="str">
        <f t="shared" si="1"/>
        <v>ОК</v>
      </c>
    </row>
    <row r="11" spans="1:21" x14ac:dyDescent="0.2">
      <c r="A11" s="148" t="s">
        <v>2061</v>
      </c>
      <c r="B11" s="42">
        <v>9</v>
      </c>
      <c r="C11" s="42">
        <v>85</v>
      </c>
      <c r="D11" s="42">
        <v>100</v>
      </c>
      <c r="E11" s="42">
        <v>60</v>
      </c>
      <c r="F11" s="42">
        <v>65</v>
      </c>
      <c r="G11" s="42">
        <v>80</v>
      </c>
      <c r="H11" s="42">
        <v>220</v>
      </c>
      <c r="I11" s="42"/>
      <c r="J11" s="42"/>
      <c r="K11" s="42"/>
      <c r="L11" s="42"/>
      <c r="M11" s="42"/>
      <c r="N11" s="42"/>
      <c r="O11" s="42"/>
      <c r="P11" s="42"/>
      <c r="Q11" s="149">
        <f t="shared" si="0"/>
        <v>0.61</v>
      </c>
      <c r="S11" s="44" t="s">
        <v>2061</v>
      </c>
      <c r="U11" s="44" t="str">
        <f t="shared" si="1"/>
        <v>ОК</v>
      </c>
    </row>
    <row r="12" spans="1:21" x14ac:dyDescent="0.2">
      <c r="A12" s="148" t="s">
        <v>2062</v>
      </c>
      <c r="B12" s="42">
        <v>10</v>
      </c>
      <c r="C12" s="42">
        <v>100</v>
      </c>
      <c r="D12" s="42">
        <v>650</v>
      </c>
      <c r="E12" s="42">
        <v>100</v>
      </c>
      <c r="F12" s="42">
        <v>650</v>
      </c>
      <c r="G12" s="42"/>
      <c r="H12" s="42"/>
      <c r="I12" s="42"/>
      <c r="J12" s="42"/>
      <c r="K12" s="42"/>
      <c r="L12" s="42"/>
      <c r="M12" s="42"/>
      <c r="N12" s="42"/>
      <c r="O12" s="42"/>
      <c r="P12" s="42"/>
      <c r="Q12" s="149">
        <f t="shared" si="0"/>
        <v>1.5</v>
      </c>
      <c r="S12" s="44" t="s">
        <v>2062</v>
      </c>
      <c r="U12" s="44" t="str">
        <f t="shared" si="1"/>
        <v>ОК</v>
      </c>
    </row>
    <row r="13" spans="1:21" x14ac:dyDescent="0.2">
      <c r="A13" s="148" t="s">
        <v>2063</v>
      </c>
      <c r="B13" s="42">
        <v>11</v>
      </c>
      <c r="C13" s="42">
        <v>350</v>
      </c>
      <c r="D13" s="42">
        <v>100</v>
      </c>
      <c r="E13" s="42">
        <v>370</v>
      </c>
      <c r="F13" s="42">
        <v>100</v>
      </c>
      <c r="G13" s="42"/>
      <c r="H13" s="42"/>
      <c r="I13" s="42"/>
      <c r="J13" s="42"/>
      <c r="K13" s="42"/>
      <c r="L13" s="42"/>
      <c r="M13" s="42"/>
      <c r="N13" s="42"/>
      <c r="O13" s="42"/>
      <c r="P13" s="42"/>
      <c r="Q13" s="149">
        <f t="shared" si="0"/>
        <v>0.92</v>
      </c>
      <c r="S13" s="44" t="s">
        <v>2063</v>
      </c>
      <c r="U13" s="44" t="str">
        <f t="shared" si="1"/>
        <v>ОК</v>
      </c>
    </row>
    <row r="14" spans="1:21" x14ac:dyDescent="0.2">
      <c r="A14" s="148" t="s">
        <v>1070</v>
      </c>
      <c r="B14" s="42">
        <v>12</v>
      </c>
      <c r="C14" s="42">
        <v>180</v>
      </c>
      <c r="D14" s="42">
        <v>100</v>
      </c>
      <c r="E14" s="42">
        <v>260</v>
      </c>
      <c r="F14" s="42">
        <v>50</v>
      </c>
      <c r="G14" s="42">
        <v>110</v>
      </c>
      <c r="H14" s="42">
        <v>160</v>
      </c>
      <c r="I14" s="42">
        <v>80</v>
      </c>
      <c r="J14" s="42">
        <v>100</v>
      </c>
      <c r="K14" s="42"/>
      <c r="L14" s="42"/>
      <c r="M14" s="42"/>
      <c r="N14" s="42"/>
      <c r="O14" s="42"/>
      <c r="P14" s="42"/>
      <c r="Q14" s="149">
        <f t="shared" si="0"/>
        <v>1.04</v>
      </c>
      <c r="S14" s="44" t="s">
        <v>1070</v>
      </c>
      <c r="U14" s="44" t="str">
        <f t="shared" si="1"/>
        <v>ОК</v>
      </c>
    </row>
    <row r="15" spans="1:21" x14ac:dyDescent="0.2">
      <c r="A15" s="148" t="s">
        <v>2064</v>
      </c>
      <c r="B15" s="42">
        <v>13</v>
      </c>
      <c r="C15" s="42">
        <v>200</v>
      </c>
      <c r="D15" s="42">
        <v>50</v>
      </c>
      <c r="E15" s="42">
        <v>40</v>
      </c>
      <c r="F15" s="42">
        <v>150</v>
      </c>
      <c r="G15" s="42">
        <v>100</v>
      </c>
      <c r="H15" s="42"/>
      <c r="I15" s="42"/>
      <c r="J15" s="42"/>
      <c r="K15" s="42"/>
      <c r="L15" s="42"/>
      <c r="M15" s="42"/>
      <c r="N15" s="42"/>
      <c r="O15" s="42"/>
      <c r="P15" s="42"/>
      <c r="Q15" s="149">
        <f t="shared" si="0"/>
        <v>0.54</v>
      </c>
      <c r="S15" s="44" t="s">
        <v>2064</v>
      </c>
      <c r="U15" s="44" t="str">
        <f t="shared" si="1"/>
        <v>ОК</v>
      </c>
    </row>
    <row r="16" spans="1:21" x14ac:dyDescent="0.2">
      <c r="A16" s="148" t="s">
        <v>1091</v>
      </c>
      <c r="B16" s="42">
        <v>14</v>
      </c>
      <c r="C16" s="42">
        <v>100</v>
      </c>
      <c r="D16" s="42">
        <v>250</v>
      </c>
      <c r="E16" s="42">
        <v>100</v>
      </c>
      <c r="F16" s="42">
        <v>250</v>
      </c>
      <c r="G16" s="42"/>
      <c r="H16" s="42"/>
      <c r="I16" s="42"/>
      <c r="J16" s="42"/>
      <c r="K16" s="42"/>
      <c r="L16" s="42"/>
      <c r="M16" s="42"/>
      <c r="N16" s="42"/>
      <c r="O16" s="42"/>
      <c r="P16" s="42"/>
      <c r="Q16" s="149">
        <f t="shared" si="0"/>
        <v>0.7</v>
      </c>
      <c r="S16" s="44" t="s">
        <v>1091</v>
      </c>
      <c r="U16" s="44" t="str">
        <f t="shared" si="1"/>
        <v>ОК</v>
      </c>
    </row>
    <row r="17" spans="1:21" x14ac:dyDescent="0.2">
      <c r="A17" s="148" t="s">
        <v>1095</v>
      </c>
      <c r="B17" s="42">
        <v>15</v>
      </c>
      <c r="C17" s="42">
        <v>100</v>
      </c>
      <c r="D17" s="42">
        <v>250</v>
      </c>
      <c r="E17" s="42">
        <v>100</v>
      </c>
      <c r="F17" s="42">
        <v>250</v>
      </c>
      <c r="G17" s="42"/>
      <c r="H17" s="42"/>
      <c r="I17" s="42"/>
      <c r="J17" s="42"/>
      <c r="K17" s="42"/>
      <c r="L17" s="42"/>
      <c r="M17" s="42"/>
      <c r="N17" s="42"/>
      <c r="O17" s="42"/>
      <c r="P17" s="42"/>
      <c r="Q17" s="149">
        <f t="shared" si="0"/>
        <v>0.7</v>
      </c>
      <c r="S17" s="44" t="s">
        <v>1095</v>
      </c>
      <c r="U17" s="44" t="str">
        <f t="shared" si="1"/>
        <v>ОК</v>
      </c>
    </row>
    <row r="18" spans="1:21" x14ac:dyDescent="0.2">
      <c r="A18" s="148" t="s">
        <v>1099</v>
      </c>
      <c r="B18" s="42">
        <v>16</v>
      </c>
      <c r="C18" s="42">
        <v>100</v>
      </c>
      <c r="D18" s="42">
        <v>400</v>
      </c>
      <c r="E18" s="42">
        <v>40</v>
      </c>
      <c r="F18" s="42">
        <v>110</v>
      </c>
      <c r="G18" s="42">
        <v>450</v>
      </c>
      <c r="H18" s="42"/>
      <c r="I18" s="42"/>
      <c r="J18" s="42"/>
      <c r="K18" s="42"/>
      <c r="L18" s="42"/>
      <c r="M18" s="42"/>
      <c r="N18" s="42"/>
      <c r="O18" s="42"/>
      <c r="P18" s="42"/>
      <c r="Q18" s="149">
        <f t="shared" si="0"/>
        <v>1.1000000000000001</v>
      </c>
      <c r="S18" s="44" t="s">
        <v>1099</v>
      </c>
      <c r="U18" s="44" t="str">
        <f t="shared" si="1"/>
        <v>ОК</v>
      </c>
    </row>
    <row r="19" spans="1:21" x14ac:dyDescent="0.2">
      <c r="A19" s="148" t="s">
        <v>2065</v>
      </c>
      <c r="B19" s="42">
        <v>17</v>
      </c>
      <c r="C19" s="42">
        <v>650</v>
      </c>
      <c r="D19" s="42">
        <v>110</v>
      </c>
      <c r="E19" s="42">
        <v>590</v>
      </c>
      <c r="F19" s="42">
        <v>100</v>
      </c>
      <c r="G19" s="42"/>
      <c r="H19" s="42"/>
      <c r="I19" s="42"/>
      <c r="J19" s="42"/>
      <c r="K19" s="42"/>
      <c r="L19" s="42"/>
      <c r="M19" s="42"/>
      <c r="N19" s="42"/>
      <c r="O19" s="42"/>
      <c r="P19" s="42"/>
      <c r="Q19" s="149">
        <f t="shared" si="0"/>
        <v>1.45</v>
      </c>
      <c r="S19" s="44" t="s">
        <v>2065</v>
      </c>
      <c r="U19" s="44" t="str">
        <f t="shared" si="1"/>
        <v>ОК</v>
      </c>
    </row>
    <row r="20" spans="1:21" x14ac:dyDescent="0.2">
      <c r="A20" s="148" t="s">
        <v>2066</v>
      </c>
      <c r="B20" s="42">
        <v>18</v>
      </c>
      <c r="C20" s="42">
        <v>100</v>
      </c>
      <c r="D20" s="42">
        <v>770</v>
      </c>
      <c r="E20" s="42">
        <v>100</v>
      </c>
      <c r="F20" s="42">
        <v>770</v>
      </c>
      <c r="G20" s="42"/>
      <c r="H20" s="42"/>
      <c r="I20" s="42"/>
      <c r="J20" s="42"/>
      <c r="K20" s="42"/>
      <c r="L20" s="42"/>
      <c r="M20" s="42"/>
      <c r="N20" s="42"/>
      <c r="O20" s="42"/>
      <c r="P20" s="42"/>
      <c r="Q20" s="149">
        <f t="shared" si="0"/>
        <v>1.74</v>
      </c>
      <c r="S20" s="44" t="s">
        <v>2066</v>
      </c>
      <c r="U20" s="44" t="str">
        <f t="shared" si="1"/>
        <v>ОК</v>
      </c>
    </row>
    <row r="21" spans="1:21" x14ac:dyDescent="0.2">
      <c r="A21" s="148" t="s">
        <v>2067</v>
      </c>
      <c r="B21" s="42">
        <v>19</v>
      </c>
      <c r="C21" s="42">
        <v>410</v>
      </c>
      <c r="D21" s="42">
        <v>160</v>
      </c>
      <c r="E21" s="42">
        <v>175</v>
      </c>
      <c r="F21" s="42">
        <v>40</v>
      </c>
      <c r="G21" s="42">
        <v>140</v>
      </c>
      <c r="H21" s="42">
        <v>90</v>
      </c>
      <c r="I21" s="42">
        <v>240</v>
      </c>
      <c r="J21" s="42"/>
      <c r="K21" s="42"/>
      <c r="L21" s="42"/>
      <c r="M21" s="42"/>
      <c r="N21" s="42"/>
      <c r="O21" s="42"/>
      <c r="P21" s="42"/>
      <c r="Q21" s="149">
        <f t="shared" si="0"/>
        <v>1.26</v>
      </c>
      <c r="S21" s="44" t="s">
        <v>2067</v>
      </c>
      <c r="U21" s="44" t="str">
        <f t="shared" si="1"/>
        <v>ОК</v>
      </c>
    </row>
    <row r="22" spans="1:21" x14ac:dyDescent="0.2">
      <c r="A22" s="148" t="s">
        <v>2068</v>
      </c>
      <c r="B22" s="42">
        <v>20</v>
      </c>
      <c r="C22" s="42">
        <v>350</v>
      </c>
      <c r="D22" s="42">
        <v>50</v>
      </c>
      <c r="E22" s="42">
        <v>30</v>
      </c>
      <c r="F22" s="42">
        <v>100</v>
      </c>
      <c r="G22" s="42">
        <v>130</v>
      </c>
      <c r="H22" s="42">
        <v>100</v>
      </c>
      <c r="I22" s="42">
        <v>65</v>
      </c>
      <c r="J22" s="42">
        <v>70</v>
      </c>
      <c r="K22" s="42">
        <v>40</v>
      </c>
      <c r="L22" s="42">
        <v>115</v>
      </c>
      <c r="M22" s="42">
        <v>40</v>
      </c>
      <c r="N22" s="42"/>
      <c r="O22" s="42"/>
      <c r="P22" s="42"/>
      <c r="Q22" s="149">
        <f t="shared" si="0"/>
        <v>1.0900000000000001</v>
      </c>
      <c r="S22" s="44" t="s">
        <v>2068</v>
      </c>
      <c r="U22" s="44" t="str">
        <f t="shared" si="1"/>
        <v>ОК</v>
      </c>
    </row>
    <row r="23" spans="1:21" x14ac:dyDescent="0.2">
      <c r="A23" s="148" t="s">
        <v>1111</v>
      </c>
      <c r="B23" s="42">
        <v>21</v>
      </c>
      <c r="C23" s="42">
        <v>180</v>
      </c>
      <c r="D23" s="42">
        <v>160</v>
      </c>
      <c r="E23" s="42">
        <v>120</v>
      </c>
      <c r="F23" s="42">
        <v>100</v>
      </c>
      <c r="G23" s="42"/>
      <c r="H23" s="42"/>
      <c r="I23" s="42"/>
      <c r="J23" s="42"/>
      <c r="K23" s="42"/>
      <c r="L23" s="42"/>
      <c r="M23" s="42"/>
      <c r="N23" s="42"/>
      <c r="O23" s="42"/>
      <c r="P23" s="42"/>
      <c r="Q23" s="149">
        <f t="shared" si="0"/>
        <v>0.56000000000000005</v>
      </c>
      <c r="S23" s="44" t="s">
        <v>1111</v>
      </c>
      <c r="U23" s="44" t="str">
        <f t="shared" si="1"/>
        <v>ОК</v>
      </c>
    </row>
    <row r="24" spans="1:21" x14ac:dyDescent="0.2">
      <c r="A24" s="148" t="s">
        <v>1115</v>
      </c>
      <c r="B24" s="42">
        <v>22</v>
      </c>
      <c r="C24" s="42">
        <v>40</v>
      </c>
      <c r="D24" s="42">
        <v>50</v>
      </c>
      <c r="E24" s="42">
        <v>45</v>
      </c>
      <c r="F24" s="42">
        <v>240</v>
      </c>
      <c r="G24" s="42">
        <v>65</v>
      </c>
      <c r="H24" s="42">
        <v>50</v>
      </c>
      <c r="I24" s="42">
        <v>50</v>
      </c>
      <c r="J24" s="42">
        <v>170</v>
      </c>
      <c r="K24" s="42">
        <v>40</v>
      </c>
      <c r="L24" s="42">
        <v>100</v>
      </c>
      <c r="M24" s="42">
        <v>100</v>
      </c>
      <c r="N24" s="42"/>
      <c r="O24" s="42"/>
      <c r="P24" s="42"/>
      <c r="Q24" s="149">
        <f t="shared" si="0"/>
        <v>0.95</v>
      </c>
      <c r="S24" s="44" t="s">
        <v>1115</v>
      </c>
      <c r="U24" s="44" t="str">
        <f t="shared" si="1"/>
        <v>ОК</v>
      </c>
    </row>
    <row r="25" spans="1:21" x14ac:dyDescent="0.2">
      <c r="A25" s="148" t="s">
        <v>2069</v>
      </c>
      <c r="B25" s="42">
        <v>23</v>
      </c>
      <c r="C25" s="42">
        <v>340</v>
      </c>
      <c r="D25" s="42">
        <v>40</v>
      </c>
      <c r="E25" s="42">
        <v>40</v>
      </c>
      <c r="F25" s="42">
        <v>50</v>
      </c>
      <c r="G25" s="42">
        <v>50</v>
      </c>
      <c r="H25" s="42">
        <v>90</v>
      </c>
      <c r="I25" s="42">
        <v>50</v>
      </c>
      <c r="J25" s="42">
        <v>60</v>
      </c>
      <c r="K25" s="42">
        <v>50</v>
      </c>
      <c r="L25" s="42">
        <v>90</v>
      </c>
      <c r="M25" s="42"/>
      <c r="N25" s="42"/>
      <c r="O25" s="42"/>
      <c r="P25" s="42"/>
      <c r="Q25" s="149">
        <f t="shared" si="0"/>
        <v>0.86</v>
      </c>
      <c r="S25" s="44" t="s">
        <v>2069</v>
      </c>
      <c r="U25" s="44" t="str">
        <f t="shared" si="1"/>
        <v>ОК</v>
      </c>
    </row>
    <row r="26" spans="1:21" x14ac:dyDescent="0.2">
      <c r="A26" s="148" t="s">
        <v>2070</v>
      </c>
      <c r="B26" s="42">
        <v>24</v>
      </c>
      <c r="C26" s="42">
        <v>90</v>
      </c>
      <c r="D26" s="42">
        <v>190</v>
      </c>
      <c r="E26" s="42">
        <v>45</v>
      </c>
      <c r="F26" s="42">
        <v>40</v>
      </c>
      <c r="G26" s="42">
        <v>75</v>
      </c>
      <c r="H26" s="42">
        <v>75</v>
      </c>
      <c r="I26" s="42">
        <v>90</v>
      </c>
      <c r="J26" s="42"/>
      <c r="K26" s="42"/>
      <c r="L26" s="42"/>
      <c r="M26" s="42"/>
      <c r="N26" s="42"/>
      <c r="O26" s="42"/>
      <c r="P26" s="42"/>
      <c r="Q26" s="149">
        <f t="shared" si="0"/>
        <v>0.61</v>
      </c>
      <c r="S26" s="44" t="s">
        <v>2070</v>
      </c>
      <c r="U26" s="44" t="str">
        <f t="shared" si="1"/>
        <v>ОК</v>
      </c>
    </row>
    <row r="27" spans="1:21" x14ac:dyDescent="0.2">
      <c r="A27" s="150" t="s">
        <v>1137</v>
      </c>
      <c r="B27" s="134">
        <v>25</v>
      </c>
      <c r="C27" s="134">
        <v>190</v>
      </c>
      <c r="D27" s="134">
        <v>50</v>
      </c>
      <c r="E27" s="134">
        <v>80</v>
      </c>
      <c r="F27" s="134">
        <v>100</v>
      </c>
      <c r="G27" s="134">
        <v>100</v>
      </c>
      <c r="H27" s="134">
        <v>190</v>
      </c>
      <c r="I27" s="134">
        <v>70</v>
      </c>
      <c r="J27" s="134"/>
      <c r="K27" s="134"/>
      <c r="L27" s="134"/>
      <c r="M27" s="134"/>
      <c r="N27" s="134"/>
      <c r="O27" s="134"/>
      <c r="P27" s="134"/>
      <c r="Q27" s="151">
        <f t="shared" si="0"/>
        <v>0.78</v>
      </c>
      <c r="S27" s="44" t="s">
        <v>1137</v>
      </c>
      <c r="U27" s="44" t="str">
        <f t="shared" si="1"/>
        <v>ОК</v>
      </c>
    </row>
    <row r="28" spans="1:21" x14ac:dyDescent="0.2">
      <c r="A28" s="150" t="s">
        <v>1142</v>
      </c>
      <c r="B28" s="134">
        <v>26</v>
      </c>
      <c r="C28" s="134">
        <v>60</v>
      </c>
      <c r="D28" s="134">
        <v>450</v>
      </c>
      <c r="E28" s="134">
        <v>100</v>
      </c>
      <c r="F28" s="134">
        <v>430</v>
      </c>
      <c r="G28" s="134">
        <v>70</v>
      </c>
      <c r="H28" s="134">
        <v>60</v>
      </c>
      <c r="I28" s="134"/>
      <c r="J28" s="134"/>
      <c r="K28" s="134"/>
      <c r="L28" s="134"/>
      <c r="M28" s="134"/>
      <c r="N28" s="134"/>
      <c r="O28" s="134"/>
      <c r="P28" s="134"/>
      <c r="Q28" s="151">
        <f t="shared" si="0"/>
        <v>1.17</v>
      </c>
      <c r="S28" s="44" t="s">
        <v>1142</v>
      </c>
      <c r="U28" s="44" t="str">
        <f t="shared" si="1"/>
        <v>ОК</v>
      </c>
    </row>
    <row r="29" spans="1:21" x14ac:dyDescent="0.2">
      <c r="A29" s="148" t="s">
        <v>1171</v>
      </c>
      <c r="B29" s="42">
        <v>27</v>
      </c>
      <c r="C29" s="42">
        <v>250</v>
      </c>
      <c r="D29" s="42">
        <v>185</v>
      </c>
      <c r="E29" s="42">
        <v>180</v>
      </c>
      <c r="F29" s="42">
        <v>25</v>
      </c>
      <c r="G29" s="42"/>
      <c r="H29" s="42"/>
      <c r="I29" s="42"/>
      <c r="J29" s="42"/>
      <c r="K29" s="42"/>
      <c r="L29" s="42"/>
      <c r="M29" s="42"/>
      <c r="N29" s="42"/>
      <c r="O29" s="42"/>
      <c r="P29" s="42"/>
      <c r="Q29" s="149">
        <f t="shared" si="0"/>
        <v>0.64</v>
      </c>
      <c r="S29" s="44" t="s">
        <v>1171</v>
      </c>
      <c r="U29" s="44" t="str">
        <f t="shared" si="1"/>
        <v>ОК</v>
      </c>
    </row>
    <row r="30" spans="1:21" x14ac:dyDescent="0.2">
      <c r="A30" s="148" t="s">
        <v>1176</v>
      </c>
      <c r="B30" s="42">
        <v>28</v>
      </c>
      <c r="C30" s="42">
        <v>340</v>
      </c>
      <c r="D30" s="42">
        <v>240</v>
      </c>
      <c r="E30" s="42">
        <v>75</v>
      </c>
      <c r="F30" s="42">
        <v>140</v>
      </c>
      <c r="G30" s="42">
        <v>60</v>
      </c>
      <c r="H30" s="42">
        <v>100</v>
      </c>
      <c r="I30" s="42">
        <v>260</v>
      </c>
      <c r="J30" s="42">
        <v>70</v>
      </c>
      <c r="K30" s="42">
        <v>90</v>
      </c>
      <c r="L30" s="42"/>
      <c r="M30" s="42"/>
      <c r="N30" s="42"/>
      <c r="O30" s="42"/>
      <c r="P30" s="42"/>
      <c r="Q30" s="149">
        <f t="shared" si="0"/>
        <v>1.38</v>
      </c>
      <c r="S30" s="44" t="s">
        <v>1176</v>
      </c>
      <c r="U30" s="44" t="str">
        <f t="shared" si="1"/>
        <v>ОК</v>
      </c>
    </row>
    <row r="31" spans="1:21" x14ac:dyDescent="0.2">
      <c r="A31" s="148" t="s">
        <v>2071</v>
      </c>
      <c r="B31" s="42">
        <v>29</v>
      </c>
      <c r="C31" s="42">
        <v>970</v>
      </c>
      <c r="D31" s="42">
        <v>50</v>
      </c>
      <c r="E31" s="42">
        <v>40</v>
      </c>
      <c r="F31" s="42">
        <v>50</v>
      </c>
      <c r="G31" s="42">
        <v>920</v>
      </c>
      <c r="H31" s="42"/>
      <c r="I31" s="42"/>
      <c r="J31" s="42"/>
      <c r="K31" s="42"/>
      <c r="L31" s="42"/>
      <c r="M31" s="42"/>
      <c r="N31" s="42"/>
      <c r="O31" s="42"/>
      <c r="P31" s="42"/>
      <c r="Q31" s="149">
        <f t="shared" si="0"/>
        <v>2.0299999999999998</v>
      </c>
      <c r="S31" s="44" t="s">
        <v>2071</v>
      </c>
      <c r="U31" s="44" t="str">
        <f t="shared" si="1"/>
        <v>ОК</v>
      </c>
    </row>
    <row r="32" spans="1:21" x14ac:dyDescent="0.2">
      <c r="A32" s="148" t="s">
        <v>2072</v>
      </c>
      <c r="B32" s="42">
        <v>30</v>
      </c>
      <c r="C32" s="42">
        <v>500</v>
      </c>
      <c r="D32" s="42">
        <v>130</v>
      </c>
      <c r="E32" s="42">
        <v>190</v>
      </c>
      <c r="F32" s="42">
        <v>170</v>
      </c>
      <c r="G32" s="42">
        <v>120</v>
      </c>
      <c r="H32" s="42"/>
      <c r="I32" s="42"/>
      <c r="J32" s="42"/>
      <c r="K32" s="42"/>
      <c r="L32" s="42"/>
      <c r="M32" s="42"/>
      <c r="N32" s="42"/>
      <c r="O32" s="42"/>
      <c r="P32" s="42"/>
      <c r="Q32" s="149">
        <f t="shared" si="0"/>
        <v>1.1100000000000001</v>
      </c>
      <c r="S32" s="44" t="s">
        <v>2072</v>
      </c>
      <c r="U32" s="44" t="str">
        <f t="shared" si="1"/>
        <v>ОК</v>
      </c>
    </row>
    <row r="33" spans="1:21" x14ac:dyDescent="0.2">
      <c r="A33" s="148" t="s">
        <v>1216</v>
      </c>
      <c r="B33" s="42">
        <v>31</v>
      </c>
      <c r="C33" s="42">
        <v>100</v>
      </c>
      <c r="D33" s="42">
        <v>390</v>
      </c>
      <c r="E33" s="42">
        <v>100</v>
      </c>
      <c r="F33" s="42">
        <v>390</v>
      </c>
      <c r="G33" s="42"/>
      <c r="H33" s="42"/>
      <c r="I33" s="42"/>
      <c r="J33" s="42"/>
      <c r="K33" s="42"/>
      <c r="L33" s="42"/>
      <c r="M33" s="42"/>
      <c r="N33" s="42"/>
      <c r="O33" s="42"/>
      <c r="P33" s="42"/>
      <c r="Q33" s="149">
        <f t="shared" si="0"/>
        <v>0.98</v>
      </c>
      <c r="S33" s="44" t="s">
        <v>1216</v>
      </c>
      <c r="U33" s="44" t="str">
        <f t="shared" si="1"/>
        <v>ОК</v>
      </c>
    </row>
    <row r="34" spans="1:21" x14ac:dyDescent="0.2">
      <c r="A34" s="148" t="s">
        <v>1220</v>
      </c>
      <c r="B34" s="42">
        <v>32</v>
      </c>
      <c r="C34" s="42">
        <v>100</v>
      </c>
      <c r="D34" s="42">
        <v>480</v>
      </c>
      <c r="E34" s="42">
        <v>100</v>
      </c>
      <c r="F34" s="42">
        <v>480</v>
      </c>
      <c r="G34" s="42"/>
      <c r="H34" s="42"/>
      <c r="I34" s="42"/>
      <c r="J34" s="42"/>
      <c r="K34" s="42"/>
      <c r="L34" s="42"/>
      <c r="M34" s="42"/>
      <c r="N34" s="42"/>
      <c r="O34" s="42"/>
      <c r="P34" s="42"/>
      <c r="Q34" s="149">
        <f t="shared" si="0"/>
        <v>1.1599999999999999</v>
      </c>
      <c r="S34" s="44" t="s">
        <v>1220</v>
      </c>
      <c r="U34" s="44" t="str">
        <f t="shared" si="1"/>
        <v>ОК</v>
      </c>
    </row>
    <row r="35" spans="1:21" x14ac:dyDescent="0.2">
      <c r="A35" s="148" t="s">
        <v>1235</v>
      </c>
      <c r="B35" s="42">
        <v>33</v>
      </c>
      <c r="C35" s="42">
        <v>600</v>
      </c>
      <c r="D35" s="42">
        <v>100</v>
      </c>
      <c r="E35" s="42">
        <v>600</v>
      </c>
      <c r="F35" s="42">
        <v>100</v>
      </c>
      <c r="G35" s="42"/>
      <c r="H35" s="42"/>
      <c r="I35" s="42"/>
      <c r="J35" s="42"/>
      <c r="K35" s="42"/>
      <c r="L35" s="42"/>
      <c r="M35" s="42"/>
      <c r="N35" s="42"/>
      <c r="O35" s="42"/>
      <c r="P35" s="42"/>
      <c r="Q35" s="149">
        <f t="shared" si="0"/>
        <v>1.4</v>
      </c>
      <c r="S35" s="44" t="s">
        <v>1235</v>
      </c>
      <c r="U35" s="44" t="str">
        <f t="shared" si="1"/>
        <v>ОК</v>
      </c>
    </row>
    <row r="36" spans="1:21" x14ac:dyDescent="0.2">
      <c r="A36" s="148" t="s">
        <v>1238</v>
      </c>
      <c r="B36" s="42">
        <v>34</v>
      </c>
      <c r="C36" s="42">
        <v>100</v>
      </c>
      <c r="D36" s="42">
        <v>500</v>
      </c>
      <c r="E36" s="42">
        <v>100</v>
      </c>
      <c r="F36" s="42">
        <v>500</v>
      </c>
      <c r="G36" s="42"/>
      <c r="H36" s="42"/>
      <c r="I36" s="42"/>
      <c r="J36" s="42"/>
      <c r="K36" s="42"/>
      <c r="L36" s="42"/>
      <c r="M36" s="42"/>
      <c r="N36" s="42"/>
      <c r="O36" s="42"/>
      <c r="P36" s="42"/>
      <c r="Q36" s="149">
        <f t="shared" si="0"/>
        <v>1.2</v>
      </c>
      <c r="S36" s="44" t="s">
        <v>1238</v>
      </c>
      <c r="U36" s="44" t="str">
        <f t="shared" si="1"/>
        <v>ОК</v>
      </c>
    </row>
    <row r="37" spans="1:21" x14ac:dyDescent="0.2">
      <c r="A37" s="148" t="s">
        <v>1241</v>
      </c>
      <c r="B37" s="42">
        <v>35</v>
      </c>
      <c r="C37" s="42">
        <v>100</v>
      </c>
      <c r="D37" s="42">
        <v>750</v>
      </c>
      <c r="E37" s="42">
        <v>100</v>
      </c>
      <c r="F37" s="42">
        <v>750</v>
      </c>
      <c r="G37" s="42"/>
      <c r="H37" s="42"/>
      <c r="I37" s="42"/>
      <c r="J37" s="42"/>
      <c r="K37" s="42"/>
      <c r="L37" s="42"/>
      <c r="M37" s="42"/>
      <c r="N37" s="42"/>
      <c r="O37" s="42"/>
      <c r="P37" s="42"/>
      <c r="Q37" s="149">
        <f t="shared" si="0"/>
        <v>1.7</v>
      </c>
      <c r="S37" s="44" t="s">
        <v>1241</v>
      </c>
      <c r="U37" s="44" t="str">
        <f t="shared" si="1"/>
        <v>ОК</v>
      </c>
    </row>
    <row r="38" spans="1:21" x14ac:dyDescent="0.2">
      <c r="A38" s="148" t="s">
        <v>1244</v>
      </c>
      <c r="B38" s="42">
        <v>36</v>
      </c>
      <c r="C38" s="42">
        <v>100</v>
      </c>
      <c r="D38" s="42">
        <v>1000</v>
      </c>
      <c r="E38" s="42">
        <v>100</v>
      </c>
      <c r="F38" s="42">
        <v>1000</v>
      </c>
      <c r="G38" s="42"/>
      <c r="H38" s="42"/>
      <c r="I38" s="42"/>
      <c r="J38" s="42"/>
      <c r="K38" s="42"/>
      <c r="L38" s="42"/>
      <c r="M38" s="42"/>
      <c r="N38" s="42"/>
      <c r="O38" s="42"/>
      <c r="P38" s="42"/>
      <c r="Q38" s="149">
        <f t="shared" si="0"/>
        <v>2.2000000000000002</v>
      </c>
      <c r="S38" s="44" t="s">
        <v>1244</v>
      </c>
      <c r="U38" s="44" t="str">
        <f t="shared" si="1"/>
        <v>ОК</v>
      </c>
    </row>
    <row r="39" spans="1:21" x14ac:dyDescent="0.2">
      <c r="A39" s="148" t="s">
        <v>1247</v>
      </c>
      <c r="B39" s="42">
        <v>37</v>
      </c>
      <c r="C39" s="42">
        <v>100</v>
      </c>
      <c r="D39" s="42">
        <v>1000</v>
      </c>
      <c r="E39" s="42">
        <v>100</v>
      </c>
      <c r="F39" s="42">
        <v>1000</v>
      </c>
      <c r="G39" s="42"/>
      <c r="H39" s="42"/>
      <c r="I39" s="42"/>
      <c r="J39" s="42"/>
      <c r="K39" s="42"/>
      <c r="L39" s="42"/>
      <c r="M39" s="42"/>
      <c r="N39" s="42"/>
      <c r="O39" s="42"/>
      <c r="P39" s="42"/>
      <c r="Q39" s="149">
        <f t="shared" si="0"/>
        <v>2.2000000000000002</v>
      </c>
      <c r="S39" s="44" t="s">
        <v>1247</v>
      </c>
      <c r="U39" s="44" t="str">
        <f t="shared" si="1"/>
        <v>ОК</v>
      </c>
    </row>
    <row r="40" spans="1:21" x14ac:dyDescent="0.2">
      <c r="A40" s="148" t="s">
        <v>1254</v>
      </c>
      <c r="B40" s="42">
        <v>38</v>
      </c>
      <c r="C40" s="42">
        <v>100</v>
      </c>
      <c r="D40" s="42">
        <v>640</v>
      </c>
      <c r="E40" s="42">
        <v>100</v>
      </c>
      <c r="F40" s="42">
        <v>640</v>
      </c>
      <c r="G40" s="42"/>
      <c r="H40" s="42"/>
      <c r="I40" s="42"/>
      <c r="J40" s="42"/>
      <c r="K40" s="42"/>
      <c r="L40" s="42"/>
      <c r="M40" s="42"/>
      <c r="N40" s="42"/>
      <c r="O40" s="42"/>
      <c r="P40" s="42"/>
      <c r="Q40" s="149">
        <f t="shared" si="0"/>
        <v>1.48</v>
      </c>
      <c r="S40" s="44" t="s">
        <v>1254</v>
      </c>
      <c r="U40" s="44" t="str">
        <f t="shared" si="1"/>
        <v>ОК</v>
      </c>
    </row>
    <row r="41" spans="1:21" x14ac:dyDescent="0.2">
      <c r="A41" s="148" t="s">
        <v>1260</v>
      </c>
      <c r="B41" s="42">
        <v>39</v>
      </c>
      <c r="C41" s="42">
        <v>300</v>
      </c>
      <c r="D41" s="42">
        <v>100</v>
      </c>
      <c r="E41" s="42">
        <v>300</v>
      </c>
      <c r="F41" s="42">
        <v>100</v>
      </c>
      <c r="G41" s="42"/>
      <c r="H41" s="42"/>
      <c r="I41" s="42"/>
      <c r="J41" s="42"/>
      <c r="K41" s="42"/>
      <c r="L41" s="42"/>
      <c r="M41" s="42"/>
      <c r="N41" s="42"/>
      <c r="O41" s="42"/>
      <c r="P41" s="42"/>
      <c r="Q41" s="149">
        <f t="shared" si="0"/>
        <v>0.8</v>
      </c>
      <c r="S41" s="44" t="s">
        <v>1260</v>
      </c>
      <c r="U41" s="44" t="str">
        <f t="shared" si="1"/>
        <v>ОК</v>
      </c>
    </row>
    <row r="42" spans="1:21" x14ac:dyDescent="0.2">
      <c r="A42" s="148" t="s">
        <v>1263</v>
      </c>
      <c r="B42" s="42">
        <v>40</v>
      </c>
      <c r="C42" s="42">
        <v>100</v>
      </c>
      <c r="D42" s="42">
        <v>850</v>
      </c>
      <c r="E42" s="42">
        <v>100</v>
      </c>
      <c r="F42" s="42">
        <v>850</v>
      </c>
      <c r="G42" s="42"/>
      <c r="H42" s="42"/>
      <c r="I42" s="42"/>
      <c r="J42" s="42"/>
      <c r="K42" s="42"/>
      <c r="L42" s="42"/>
      <c r="M42" s="42"/>
      <c r="N42" s="42"/>
      <c r="O42" s="42"/>
      <c r="P42" s="42"/>
      <c r="Q42" s="149">
        <f t="shared" si="0"/>
        <v>1.9</v>
      </c>
      <c r="S42" s="44" t="s">
        <v>1263</v>
      </c>
      <c r="U42" s="44" t="str">
        <f t="shared" si="1"/>
        <v>ОК</v>
      </c>
    </row>
    <row r="43" spans="1:21" x14ac:dyDescent="0.2">
      <c r="A43" s="148" t="s">
        <v>1267</v>
      </c>
      <c r="B43" s="42">
        <v>41</v>
      </c>
      <c r="C43" s="42">
        <v>100</v>
      </c>
      <c r="D43" s="42">
        <v>1000</v>
      </c>
      <c r="E43" s="42">
        <v>100</v>
      </c>
      <c r="F43" s="42">
        <v>1000</v>
      </c>
      <c r="G43" s="42"/>
      <c r="H43" s="42"/>
      <c r="I43" s="42"/>
      <c r="J43" s="42"/>
      <c r="K43" s="42"/>
      <c r="L43" s="42"/>
      <c r="M43" s="42"/>
      <c r="N43" s="42"/>
      <c r="O43" s="42"/>
      <c r="P43" s="42"/>
      <c r="Q43" s="149">
        <f t="shared" si="0"/>
        <v>2.2000000000000002</v>
      </c>
      <c r="S43" s="44" t="s">
        <v>1267</v>
      </c>
      <c r="U43" s="44" t="str">
        <f t="shared" si="1"/>
        <v>ОК</v>
      </c>
    </row>
    <row r="44" spans="1:21" x14ac:dyDescent="0.2">
      <c r="A44" s="148" t="s">
        <v>1271</v>
      </c>
      <c r="B44" s="42">
        <v>42</v>
      </c>
      <c r="C44" s="42">
        <v>100</v>
      </c>
      <c r="D44" s="42">
        <v>380</v>
      </c>
      <c r="E44" s="42">
        <v>100</v>
      </c>
      <c r="F44" s="42">
        <v>380</v>
      </c>
      <c r="G44" s="42"/>
      <c r="H44" s="42"/>
      <c r="I44" s="42"/>
      <c r="J44" s="42"/>
      <c r="K44" s="42"/>
      <c r="L44" s="42"/>
      <c r="M44" s="42"/>
      <c r="N44" s="42"/>
      <c r="O44" s="42"/>
      <c r="P44" s="42"/>
      <c r="Q44" s="149">
        <f t="shared" si="0"/>
        <v>0.96</v>
      </c>
      <c r="S44" s="44" t="s">
        <v>1271</v>
      </c>
      <c r="U44" s="44" t="str">
        <f t="shared" si="1"/>
        <v>ОК</v>
      </c>
    </row>
    <row r="45" spans="1:21" x14ac:dyDescent="0.2">
      <c r="A45" s="148" t="s">
        <v>1275</v>
      </c>
      <c r="B45" s="42">
        <v>43</v>
      </c>
      <c r="C45" s="42">
        <v>100</v>
      </c>
      <c r="D45" s="42">
        <v>200</v>
      </c>
      <c r="E45" s="42">
        <v>100</v>
      </c>
      <c r="F45" s="42">
        <v>200</v>
      </c>
      <c r="G45" s="42"/>
      <c r="H45" s="42"/>
      <c r="I45" s="42"/>
      <c r="J45" s="42"/>
      <c r="K45" s="42"/>
      <c r="L45" s="42"/>
      <c r="M45" s="42"/>
      <c r="N45" s="42"/>
      <c r="O45" s="42"/>
      <c r="P45" s="42"/>
      <c r="Q45" s="149">
        <f t="shared" si="0"/>
        <v>0.6</v>
      </c>
      <c r="S45" s="44" t="s">
        <v>1275</v>
      </c>
      <c r="U45" s="44" t="str">
        <f t="shared" si="1"/>
        <v>ОК</v>
      </c>
    </row>
    <row r="46" spans="1:21" x14ac:dyDescent="0.2">
      <c r="A46" s="148" t="s">
        <v>1279</v>
      </c>
      <c r="B46" s="42">
        <v>44</v>
      </c>
      <c r="C46" s="42">
        <v>720</v>
      </c>
      <c r="D46" s="42">
        <v>100</v>
      </c>
      <c r="E46" s="42">
        <v>720</v>
      </c>
      <c r="F46" s="42">
        <v>100</v>
      </c>
      <c r="G46" s="42"/>
      <c r="H46" s="42"/>
      <c r="I46" s="42"/>
      <c r="J46" s="42"/>
      <c r="K46" s="42"/>
      <c r="L46" s="42"/>
      <c r="M46" s="42"/>
      <c r="N46" s="42"/>
      <c r="O46" s="42"/>
      <c r="P46" s="42"/>
      <c r="Q46" s="149">
        <f t="shared" si="0"/>
        <v>1.64</v>
      </c>
      <c r="S46" s="44" t="s">
        <v>1279</v>
      </c>
      <c r="U46" s="44" t="str">
        <f t="shared" si="1"/>
        <v>ОК</v>
      </c>
    </row>
    <row r="47" spans="1:21" x14ac:dyDescent="0.2">
      <c r="A47" s="148" t="s">
        <v>1283</v>
      </c>
      <c r="B47" s="42">
        <v>45</v>
      </c>
      <c r="C47" s="42">
        <v>100</v>
      </c>
      <c r="D47" s="42">
        <v>420</v>
      </c>
      <c r="E47" s="42">
        <v>100</v>
      </c>
      <c r="F47" s="42">
        <v>420</v>
      </c>
      <c r="G47" s="42"/>
      <c r="H47" s="42"/>
      <c r="I47" s="42"/>
      <c r="J47" s="42"/>
      <c r="K47" s="42"/>
      <c r="L47" s="42"/>
      <c r="M47" s="42"/>
      <c r="N47" s="42"/>
      <c r="O47" s="42"/>
      <c r="P47" s="42"/>
      <c r="Q47" s="149">
        <f t="shared" si="0"/>
        <v>1.04</v>
      </c>
      <c r="S47" s="44" t="s">
        <v>1283</v>
      </c>
      <c r="U47" s="44" t="str">
        <f t="shared" si="1"/>
        <v>ОК</v>
      </c>
    </row>
    <row r="48" spans="1:21" x14ac:dyDescent="0.2">
      <c r="A48" s="148" t="s">
        <v>1287</v>
      </c>
      <c r="B48" s="42">
        <v>46</v>
      </c>
      <c r="C48" s="42">
        <v>400</v>
      </c>
      <c r="D48" s="42">
        <v>100</v>
      </c>
      <c r="E48" s="42">
        <v>400</v>
      </c>
      <c r="F48" s="42">
        <v>100</v>
      </c>
      <c r="G48" s="42"/>
      <c r="H48" s="42"/>
      <c r="I48" s="42"/>
      <c r="J48" s="42"/>
      <c r="K48" s="42"/>
      <c r="L48" s="42"/>
      <c r="M48" s="42"/>
      <c r="N48" s="42"/>
      <c r="O48" s="42"/>
      <c r="P48" s="42"/>
      <c r="Q48" s="149">
        <f t="shared" si="0"/>
        <v>1</v>
      </c>
      <c r="S48" s="44" t="s">
        <v>1287</v>
      </c>
      <c r="U48" s="44" t="str">
        <f t="shared" si="1"/>
        <v>ОК</v>
      </c>
    </row>
    <row r="49" spans="1:21" x14ac:dyDescent="0.2">
      <c r="A49" s="148" t="s">
        <v>1295</v>
      </c>
      <c r="B49" s="42">
        <v>47</v>
      </c>
      <c r="C49" s="42">
        <v>100</v>
      </c>
      <c r="D49" s="42">
        <v>700</v>
      </c>
      <c r="E49" s="42">
        <v>100</v>
      </c>
      <c r="F49" s="42">
        <v>700</v>
      </c>
      <c r="G49" s="42"/>
      <c r="H49" s="42"/>
      <c r="I49" s="42"/>
      <c r="J49" s="42"/>
      <c r="K49" s="42"/>
      <c r="L49" s="42"/>
      <c r="M49" s="42"/>
      <c r="N49" s="42"/>
      <c r="O49" s="42"/>
      <c r="P49" s="42"/>
      <c r="Q49" s="149">
        <f t="shared" si="0"/>
        <v>1.6</v>
      </c>
      <c r="S49" s="44" t="s">
        <v>1295</v>
      </c>
      <c r="U49" s="44" t="str">
        <f t="shared" si="1"/>
        <v>ОК</v>
      </c>
    </row>
    <row r="50" spans="1:21" x14ac:dyDescent="0.2">
      <c r="A50" s="148" t="s">
        <v>1370</v>
      </c>
      <c r="B50" s="42">
        <v>48</v>
      </c>
      <c r="C50" s="42">
        <v>100</v>
      </c>
      <c r="D50" s="42">
        <v>500</v>
      </c>
      <c r="E50" s="42">
        <v>100</v>
      </c>
      <c r="F50" s="42">
        <v>500</v>
      </c>
      <c r="G50" s="42"/>
      <c r="H50" s="42"/>
      <c r="I50" s="42"/>
      <c r="J50" s="42"/>
      <c r="K50" s="42"/>
      <c r="L50" s="42"/>
      <c r="M50" s="42"/>
      <c r="N50" s="42"/>
      <c r="O50" s="42"/>
      <c r="P50" s="42"/>
      <c r="Q50" s="149">
        <f t="shared" si="0"/>
        <v>1.2</v>
      </c>
      <c r="S50" s="44" t="s">
        <v>1370</v>
      </c>
      <c r="U50" s="44" t="str">
        <f t="shared" si="1"/>
        <v>ОК</v>
      </c>
    </row>
    <row r="51" spans="1:21" x14ac:dyDescent="0.2">
      <c r="A51" s="148" t="s">
        <v>1379</v>
      </c>
      <c r="B51" s="42">
        <v>49</v>
      </c>
      <c r="C51" s="120">
        <v>100</v>
      </c>
      <c r="D51" s="120">
        <v>310</v>
      </c>
      <c r="E51" s="120">
        <v>100</v>
      </c>
      <c r="F51" s="120">
        <v>310</v>
      </c>
      <c r="G51" s="120"/>
      <c r="H51" s="120"/>
      <c r="I51" s="120"/>
      <c r="J51" s="120"/>
      <c r="K51" s="120"/>
      <c r="L51" s="120"/>
      <c r="M51" s="120"/>
      <c r="N51" s="120"/>
      <c r="O51" s="120"/>
      <c r="P51" s="120"/>
      <c r="Q51" s="149">
        <f t="shared" si="0"/>
        <v>0.82</v>
      </c>
      <c r="S51" s="44" t="s">
        <v>1379</v>
      </c>
      <c r="U51" s="44" t="str">
        <f t="shared" si="1"/>
        <v>ОК</v>
      </c>
    </row>
    <row r="52" spans="1:21" x14ac:dyDescent="0.2">
      <c r="A52" s="148" t="s">
        <v>1388</v>
      </c>
      <c r="B52" s="42">
        <v>50</v>
      </c>
      <c r="C52" s="120">
        <v>100</v>
      </c>
      <c r="D52" s="120">
        <v>450</v>
      </c>
      <c r="E52" s="120">
        <v>100</v>
      </c>
      <c r="F52" s="120">
        <v>450</v>
      </c>
      <c r="G52" s="120"/>
      <c r="H52" s="120"/>
      <c r="I52" s="120"/>
      <c r="J52" s="120"/>
      <c r="K52" s="120"/>
      <c r="L52" s="120"/>
      <c r="M52" s="120"/>
      <c r="N52" s="120"/>
      <c r="O52" s="120"/>
      <c r="P52" s="120"/>
      <c r="Q52" s="149">
        <f t="shared" si="0"/>
        <v>1.1000000000000001</v>
      </c>
      <c r="S52" s="44" t="s">
        <v>1388</v>
      </c>
      <c r="U52" s="44" t="str">
        <f t="shared" si="1"/>
        <v>ОК</v>
      </c>
    </row>
    <row r="53" spans="1:21" x14ac:dyDescent="0.2">
      <c r="A53" s="148" t="s">
        <v>1413</v>
      </c>
      <c r="B53" s="42">
        <v>51</v>
      </c>
      <c r="C53" s="120">
        <v>100</v>
      </c>
      <c r="D53" s="120">
        <v>560</v>
      </c>
      <c r="E53" s="120">
        <v>100</v>
      </c>
      <c r="F53" s="120">
        <v>560</v>
      </c>
      <c r="G53" s="120"/>
      <c r="H53" s="120"/>
      <c r="I53" s="120"/>
      <c r="J53" s="120"/>
      <c r="K53" s="120"/>
      <c r="L53" s="120"/>
      <c r="M53" s="120"/>
      <c r="N53" s="120"/>
      <c r="O53" s="120"/>
      <c r="P53" s="120"/>
      <c r="Q53" s="149">
        <f t="shared" si="0"/>
        <v>1.32</v>
      </c>
      <c r="S53" s="44" t="s">
        <v>1413</v>
      </c>
      <c r="U53" s="44" t="str">
        <f t="shared" si="1"/>
        <v>ОК</v>
      </c>
    </row>
    <row r="54" spans="1:21" x14ac:dyDescent="0.2">
      <c r="A54" s="148" t="s">
        <v>1428</v>
      </c>
      <c r="B54" s="42">
        <v>52</v>
      </c>
      <c r="C54" s="120">
        <v>350</v>
      </c>
      <c r="D54" s="120">
        <v>100</v>
      </c>
      <c r="E54" s="120">
        <v>350</v>
      </c>
      <c r="F54" s="120">
        <v>100</v>
      </c>
      <c r="G54" s="120"/>
      <c r="H54" s="120"/>
      <c r="I54" s="120"/>
      <c r="J54" s="120"/>
      <c r="K54" s="120"/>
      <c r="L54" s="120"/>
      <c r="M54" s="120"/>
      <c r="N54" s="120"/>
      <c r="O54" s="120"/>
      <c r="P54" s="120"/>
      <c r="Q54" s="149">
        <f t="shared" si="0"/>
        <v>0.9</v>
      </c>
      <c r="S54" s="44" t="s">
        <v>1428</v>
      </c>
      <c r="U54" s="44" t="str">
        <f t="shared" si="1"/>
        <v>ОК</v>
      </c>
    </row>
    <row r="55" spans="1:21" x14ac:dyDescent="0.2">
      <c r="A55" s="148" t="s">
        <v>1453</v>
      </c>
      <c r="B55" s="42">
        <v>53</v>
      </c>
      <c r="C55" s="120">
        <v>100</v>
      </c>
      <c r="D55" s="120">
        <v>350</v>
      </c>
      <c r="E55" s="120">
        <v>100</v>
      </c>
      <c r="F55" s="120">
        <v>350</v>
      </c>
      <c r="G55" s="120"/>
      <c r="H55" s="120"/>
      <c r="I55" s="120"/>
      <c r="J55" s="120"/>
      <c r="K55" s="120"/>
      <c r="L55" s="120"/>
      <c r="M55" s="120"/>
      <c r="N55" s="120"/>
      <c r="O55" s="120"/>
      <c r="P55" s="120"/>
      <c r="Q55" s="149">
        <f t="shared" si="0"/>
        <v>0.9</v>
      </c>
      <c r="S55" s="44" t="s">
        <v>1453</v>
      </c>
      <c r="U55" s="44" t="str">
        <f t="shared" si="1"/>
        <v>ОК</v>
      </c>
    </row>
    <row r="56" spans="1:21" x14ac:dyDescent="0.2">
      <c r="A56" s="150" t="s">
        <v>1456</v>
      </c>
      <c r="B56" s="42">
        <v>54</v>
      </c>
      <c r="C56" s="152">
        <v>100</v>
      </c>
      <c r="D56" s="152">
        <v>210</v>
      </c>
      <c r="E56" s="152">
        <v>100</v>
      </c>
      <c r="F56" s="152">
        <v>210</v>
      </c>
      <c r="G56" s="152"/>
      <c r="H56" s="152"/>
      <c r="I56" s="152"/>
      <c r="J56" s="152"/>
      <c r="K56" s="152"/>
      <c r="L56" s="152"/>
      <c r="M56" s="152"/>
      <c r="N56" s="152"/>
      <c r="O56" s="152"/>
      <c r="P56" s="152"/>
      <c r="Q56" s="151">
        <f t="shared" si="0"/>
        <v>0.62</v>
      </c>
      <c r="S56" s="44" t="s">
        <v>1456</v>
      </c>
      <c r="U56" s="44" t="str">
        <f t="shared" si="1"/>
        <v>ОК</v>
      </c>
    </row>
    <row r="57" spans="1:21" x14ac:dyDescent="0.2">
      <c r="A57" s="150" t="s">
        <v>1470</v>
      </c>
      <c r="B57" s="42">
        <v>55</v>
      </c>
      <c r="C57" s="152">
        <v>100</v>
      </c>
      <c r="D57" s="152">
        <v>170</v>
      </c>
      <c r="E57" s="152">
        <v>100</v>
      </c>
      <c r="F57" s="152">
        <v>170</v>
      </c>
      <c r="G57" s="152"/>
      <c r="H57" s="152"/>
      <c r="I57" s="152"/>
      <c r="J57" s="152"/>
      <c r="K57" s="152"/>
      <c r="L57" s="152"/>
      <c r="M57" s="152"/>
      <c r="N57" s="152"/>
      <c r="O57" s="152"/>
      <c r="P57" s="152"/>
      <c r="Q57" s="151">
        <f t="shared" si="0"/>
        <v>0.54</v>
      </c>
      <c r="S57" s="44" t="s">
        <v>1470</v>
      </c>
      <c r="U57" s="44" t="str">
        <f t="shared" si="1"/>
        <v>ОК</v>
      </c>
    </row>
    <row r="58" spans="1:21" x14ac:dyDescent="0.2">
      <c r="A58" s="150" t="s">
        <v>1474</v>
      </c>
      <c r="B58" s="42">
        <v>56</v>
      </c>
      <c r="C58" s="152">
        <v>220</v>
      </c>
      <c r="D58" s="152">
        <v>100</v>
      </c>
      <c r="E58" s="152">
        <v>220</v>
      </c>
      <c r="F58" s="152">
        <v>100</v>
      </c>
      <c r="G58" s="152"/>
      <c r="H58" s="152"/>
      <c r="I58" s="152"/>
      <c r="J58" s="152"/>
      <c r="K58" s="152"/>
      <c r="L58" s="152"/>
      <c r="M58" s="152"/>
      <c r="N58" s="152"/>
      <c r="O58" s="152"/>
      <c r="P58" s="152"/>
      <c r="Q58" s="151">
        <f t="shared" si="0"/>
        <v>0.64</v>
      </c>
      <c r="S58" s="44" t="s">
        <v>1474</v>
      </c>
      <c r="U58" s="44" t="str">
        <f t="shared" si="1"/>
        <v>ОК</v>
      </c>
    </row>
    <row r="59" spans="1:21" x14ac:dyDescent="0.2">
      <c r="A59" s="148" t="s">
        <v>1479</v>
      </c>
      <c r="B59" s="42">
        <v>57</v>
      </c>
      <c r="C59" s="120">
        <v>170</v>
      </c>
      <c r="D59" s="120">
        <v>100</v>
      </c>
      <c r="E59" s="120">
        <v>200</v>
      </c>
      <c r="F59" s="120">
        <v>100</v>
      </c>
      <c r="G59" s="120"/>
      <c r="H59" s="120"/>
      <c r="I59" s="120"/>
      <c r="J59" s="120"/>
      <c r="K59" s="120"/>
      <c r="L59" s="120"/>
      <c r="M59" s="120"/>
      <c r="N59" s="120"/>
      <c r="O59" s="120"/>
      <c r="P59" s="120"/>
      <c r="Q59" s="149">
        <f t="shared" si="0"/>
        <v>0.56999999999999995</v>
      </c>
      <c r="S59" s="44" t="s">
        <v>1479</v>
      </c>
      <c r="U59" s="44" t="str">
        <f t="shared" si="1"/>
        <v>ОК</v>
      </c>
    </row>
    <row r="60" spans="1:21" x14ac:dyDescent="0.2">
      <c r="A60" s="148" t="s">
        <v>1483</v>
      </c>
      <c r="B60" s="42">
        <v>58</v>
      </c>
      <c r="C60" s="120">
        <v>100</v>
      </c>
      <c r="D60" s="120">
        <v>700</v>
      </c>
      <c r="E60" s="120">
        <v>100</v>
      </c>
      <c r="F60" s="120">
        <v>700</v>
      </c>
      <c r="G60" s="120"/>
      <c r="H60" s="120"/>
      <c r="I60" s="120"/>
      <c r="J60" s="120"/>
      <c r="K60" s="120"/>
      <c r="L60" s="120"/>
      <c r="M60" s="120"/>
      <c r="N60" s="120"/>
      <c r="O60" s="120"/>
      <c r="P60" s="120"/>
      <c r="Q60" s="149">
        <f t="shared" si="0"/>
        <v>1.6</v>
      </c>
      <c r="S60" s="44" t="s">
        <v>1483</v>
      </c>
      <c r="U60" s="44" t="str">
        <f t="shared" si="1"/>
        <v>ОК</v>
      </c>
    </row>
    <row r="61" spans="1:21" x14ac:dyDescent="0.2">
      <c r="A61" s="148" t="s">
        <v>1491</v>
      </c>
      <c r="B61" s="42">
        <v>59</v>
      </c>
      <c r="C61" s="120">
        <v>360</v>
      </c>
      <c r="D61" s="120">
        <v>100</v>
      </c>
      <c r="E61" s="120">
        <v>360</v>
      </c>
      <c r="F61" s="120">
        <v>100</v>
      </c>
      <c r="G61" s="120"/>
      <c r="H61" s="120"/>
      <c r="I61" s="120"/>
      <c r="J61" s="120"/>
      <c r="K61" s="120"/>
      <c r="L61" s="120"/>
      <c r="M61" s="120"/>
      <c r="N61" s="120"/>
      <c r="O61" s="120"/>
      <c r="P61" s="120"/>
      <c r="Q61" s="149">
        <f t="shared" si="0"/>
        <v>0.92</v>
      </c>
      <c r="S61" s="44" t="s">
        <v>1491</v>
      </c>
      <c r="U61" s="44" t="str">
        <f t="shared" si="1"/>
        <v>ОК</v>
      </c>
    </row>
    <row r="62" spans="1:21" x14ac:dyDescent="0.2">
      <c r="A62" s="148" t="s">
        <v>1494</v>
      </c>
      <c r="B62" s="42">
        <v>60</v>
      </c>
      <c r="C62" s="120">
        <v>410</v>
      </c>
      <c r="D62" s="120">
        <v>100</v>
      </c>
      <c r="E62" s="120">
        <v>410</v>
      </c>
      <c r="F62" s="120">
        <v>100</v>
      </c>
      <c r="G62" s="120"/>
      <c r="H62" s="120"/>
      <c r="I62" s="120"/>
      <c r="J62" s="120"/>
      <c r="K62" s="120"/>
      <c r="L62" s="120"/>
      <c r="M62" s="120"/>
      <c r="N62" s="120"/>
      <c r="O62" s="120"/>
      <c r="P62" s="120"/>
      <c r="Q62" s="149">
        <f t="shared" si="0"/>
        <v>1.02</v>
      </c>
      <c r="S62" s="44" t="s">
        <v>1494</v>
      </c>
      <c r="U62" s="44" t="str">
        <f t="shared" si="1"/>
        <v>ОК</v>
      </c>
    </row>
    <row r="63" spans="1:21" x14ac:dyDescent="0.2">
      <c r="A63" s="150" t="s">
        <v>1498</v>
      </c>
      <c r="B63" s="42">
        <v>61</v>
      </c>
      <c r="C63" s="152">
        <v>330</v>
      </c>
      <c r="D63" s="152">
        <v>100</v>
      </c>
      <c r="E63" s="152">
        <v>330</v>
      </c>
      <c r="F63" s="152">
        <v>100</v>
      </c>
      <c r="G63" s="152"/>
      <c r="H63" s="152"/>
      <c r="I63" s="152"/>
      <c r="J63" s="152"/>
      <c r="K63" s="152"/>
      <c r="L63" s="152"/>
      <c r="M63" s="152"/>
      <c r="N63" s="152"/>
      <c r="O63" s="152"/>
      <c r="P63" s="152"/>
      <c r="Q63" s="151">
        <f t="shared" si="0"/>
        <v>0.86</v>
      </c>
      <c r="S63" s="44" t="s">
        <v>1498</v>
      </c>
      <c r="U63" s="44" t="str">
        <f t="shared" si="1"/>
        <v>ОК</v>
      </c>
    </row>
    <row r="64" spans="1:21" x14ac:dyDescent="0.2">
      <c r="A64" s="148" t="s">
        <v>1508</v>
      </c>
      <c r="B64" s="42">
        <v>62</v>
      </c>
      <c r="C64" s="120">
        <v>100</v>
      </c>
      <c r="D64" s="120">
        <v>700</v>
      </c>
      <c r="E64" s="120">
        <v>100</v>
      </c>
      <c r="F64" s="120">
        <v>700</v>
      </c>
      <c r="G64" s="120"/>
      <c r="H64" s="120"/>
      <c r="I64" s="120"/>
      <c r="J64" s="120"/>
      <c r="K64" s="120"/>
      <c r="L64" s="120"/>
      <c r="M64" s="120"/>
      <c r="N64" s="120"/>
      <c r="O64" s="120"/>
      <c r="P64" s="120"/>
      <c r="Q64" s="149">
        <f t="shared" si="0"/>
        <v>1.6</v>
      </c>
      <c r="S64" s="44" t="s">
        <v>1508</v>
      </c>
      <c r="U64" s="44" t="str">
        <f t="shared" si="1"/>
        <v>ОК</v>
      </c>
    </row>
    <row r="65" spans="1:21" x14ac:dyDescent="0.2">
      <c r="A65" s="148" t="s">
        <v>1513</v>
      </c>
      <c r="B65" s="42">
        <v>63</v>
      </c>
      <c r="C65" s="120">
        <v>840</v>
      </c>
      <c r="D65" s="120">
        <v>100</v>
      </c>
      <c r="E65" s="120">
        <v>840</v>
      </c>
      <c r="F65" s="120">
        <v>100</v>
      </c>
      <c r="G65" s="120"/>
      <c r="H65" s="120"/>
      <c r="I65" s="120"/>
      <c r="J65" s="120"/>
      <c r="K65" s="120"/>
      <c r="L65" s="120"/>
      <c r="M65" s="120"/>
      <c r="N65" s="120"/>
      <c r="O65" s="120"/>
      <c r="P65" s="120"/>
      <c r="Q65" s="149">
        <f t="shared" si="0"/>
        <v>1.88</v>
      </c>
      <c r="S65" s="44" t="s">
        <v>1513</v>
      </c>
      <c r="U65" s="44" t="str">
        <f t="shared" si="1"/>
        <v>ОК</v>
      </c>
    </row>
    <row r="66" spans="1:21" x14ac:dyDescent="0.2">
      <c r="A66" s="150" t="s">
        <v>1523</v>
      </c>
      <c r="B66" s="42">
        <v>64</v>
      </c>
      <c r="C66" s="152">
        <v>100</v>
      </c>
      <c r="D66" s="152">
        <v>120</v>
      </c>
      <c r="E66" s="152">
        <v>100</v>
      </c>
      <c r="F66" s="152">
        <v>120</v>
      </c>
      <c r="G66" s="152"/>
      <c r="H66" s="152"/>
      <c r="I66" s="152"/>
      <c r="J66" s="152"/>
      <c r="K66" s="152"/>
      <c r="L66" s="152"/>
      <c r="M66" s="152"/>
      <c r="N66" s="152"/>
      <c r="O66" s="152"/>
      <c r="P66" s="152"/>
      <c r="Q66" s="151">
        <f t="shared" si="0"/>
        <v>0.44</v>
      </c>
      <c r="S66" s="44" t="s">
        <v>1523</v>
      </c>
      <c r="U66" s="44" t="str">
        <f t="shared" si="1"/>
        <v>ОК</v>
      </c>
    </row>
    <row r="67" spans="1:21" x14ac:dyDescent="0.2">
      <c r="A67" s="148" t="s">
        <v>1532</v>
      </c>
      <c r="B67" s="42">
        <v>65</v>
      </c>
      <c r="C67" s="120">
        <v>960</v>
      </c>
      <c r="D67" s="120">
        <v>100</v>
      </c>
      <c r="E67" s="120">
        <v>960</v>
      </c>
      <c r="F67" s="120">
        <v>100</v>
      </c>
      <c r="G67" s="120"/>
      <c r="H67" s="120"/>
      <c r="I67" s="120"/>
      <c r="J67" s="120"/>
      <c r="K67" s="120"/>
      <c r="L67" s="120"/>
      <c r="M67" s="120"/>
      <c r="N67" s="120"/>
      <c r="O67" s="120"/>
      <c r="P67" s="120"/>
      <c r="Q67" s="149">
        <f t="shared" ref="Q67:Q130" si="2">ROUND(SUM(C67:P67)/1000,2)</f>
        <v>2.12</v>
      </c>
      <c r="S67" s="44" t="s">
        <v>1532</v>
      </c>
      <c r="U67" s="44" t="str">
        <f t="shared" ref="U67:U130" si="3">IF(S67=A67,"ОК","")</f>
        <v>ОК</v>
      </c>
    </row>
    <row r="68" spans="1:21" x14ac:dyDescent="0.2">
      <c r="A68" s="148" t="s">
        <v>1538</v>
      </c>
      <c r="B68" s="42">
        <v>66</v>
      </c>
      <c r="C68" s="120">
        <v>100</v>
      </c>
      <c r="D68" s="120">
        <v>770</v>
      </c>
      <c r="E68" s="120">
        <v>100</v>
      </c>
      <c r="F68" s="120">
        <v>770</v>
      </c>
      <c r="G68" s="120"/>
      <c r="H68" s="120"/>
      <c r="I68" s="120"/>
      <c r="J68" s="120"/>
      <c r="K68" s="120"/>
      <c r="L68" s="120"/>
      <c r="M68" s="120"/>
      <c r="N68" s="120"/>
      <c r="O68" s="120"/>
      <c r="P68" s="120"/>
      <c r="Q68" s="149">
        <f t="shared" si="2"/>
        <v>1.74</v>
      </c>
      <c r="S68" s="44" t="s">
        <v>1538</v>
      </c>
      <c r="U68" s="44" t="str">
        <f t="shared" si="3"/>
        <v>ОК</v>
      </c>
    </row>
    <row r="69" spans="1:21" x14ac:dyDescent="0.2">
      <c r="A69" s="148" t="s">
        <v>1542</v>
      </c>
      <c r="B69" s="42">
        <v>67</v>
      </c>
      <c r="C69" s="120">
        <v>100</v>
      </c>
      <c r="D69" s="120">
        <v>270</v>
      </c>
      <c r="E69" s="120">
        <v>100</v>
      </c>
      <c r="F69" s="120">
        <v>270</v>
      </c>
      <c r="G69" s="120"/>
      <c r="H69" s="120"/>
      <c r="I69" s="120"/>
      <c r="J69" s="120"/>
      <c r="K69" s="120"/>
      <c r="L69" s="120"/>
      <c r="M69" s="120"/>
      <c r="N69" s="120"/>
      <c r="O69" s="120"/>
      <c r="P69" s="120"/>
      <c r="Q69" s="149">
        <f t="shared" si="2"/>
        <v>0.74</v>
      </c>
      <c r="S69" s="44" t="s">
        <v>1542</v>
      </c>
      <c r="U69" s="44" t="str">
        <f t="shared" si="3"/>
        <v>ОК</v>
      </c>
    </row>
    <row r="70" spans="1:21" x14ac:dyDescent="0.2">
      <c r="A70" s="148" t="s">
        <v>1546</v>
      </c>
      <c r="B70" s="42">
        <v>68</v>
      </c>
      <c r="C70" s="120">
        <v>100</v>
      </c>
      <c r="D70" s="120">
        <v>860</v>
      </c>
      <c r="E70" s="120">
        <v>100</v>
      </c>
      <c r="F70" s="120">
        <v>860</v>
      </c>
      <c r="G70" s="120"/>
      <c r="H70" s="120"/>
      <c r="I70" s="120"/>
      <c r="J70" s="120"/>
      <c r="K70" s="120"/>
      <c r="L70" s="120"/>
      <c r="M70" s="120"/>
      <c r="N70" s="120"/>
      <c r="O70" s="120"/>
      <c r="P70" s="120"/>
      <c r="Q70" s="149">
        <f t="shared" si="2"/>
        <v>1.92</v>
      </c>
      <c r="S70" s="44" t="s">
        <v>1546</v>
      </c>
      <c r="U70" s="44" t="str">
        <f t="shared" si="3"/>
        <v>ОК</v>
      </c>
    </row>
    <row r="71" spans="1:21" x14ac:dyDescent="0.2">
      <c r="A71" s="148" t="s">
        <v>1550</v>
      </c>
      <c r="B71" s="42">
        <v>69</v>
      </c>
      <c r="C71" s="120">
        <v>100</v>
      </c>
      <c r="D71" s="120">
        <v>420</v>
      </c>
      <c r="E71" s="120">
        <v>100</v>
      </c>
      <c r="F71" s="120">
        <v>420</v>
      </c>
      <c r="G71" s="120"/>
      <c r="H71" s="120"/>
      <c r="I71" s="120"/>
      <c r="J71" s="120"/>
      <c r="K71" s="120"/>
      <c r="L71" s="120"/>
      <c r="M71" s="120"/>
      <c r="N71" s="120"/>
      <c r="O71" s="120"/>
      <c r="P71" s="120"/>
      <c r="Q71" s="149">
        <f t="shared" si="2"/>
        <v>1.04</v>
      </c>
      <c r="S71" s="44" t="s">
        <v>1550</v>
      </c>
      <c r="U71" s="44" t="str">
        <f t="shared" si="3"/>
        <v>ОК</v>
      </c>
    </row>
    <row r="72" spans="1:21" x14ac:dyDescent="0.2">
      <c r="A72" s="148" t="s">
        <v>1554</v>
      </c>
      <c r="B72" s="42">
        <v>70</v>
      </c>
      <c r="C72" s="120">
        <v>100</v>
      </c>
      <c r="D72" s="120">
        <v>540</v>
      </c>
      <c r="E72" s="120">
        <v>100</v>
      </c>
      <c r="F72" s="120">
        <v>540</v>
      </c>
      <c r="G72" s="120"/>
      <c r="H72" s="120"/>
      <c r="I72" s="120"/>
      <c r="J72" s="120"/>
      <c r="K72" s="120"/>
      <c r="L72" s="120"/>
      <c r="M72" s="120"/>
      <c r="N72" s="120"/>
      <c r="O72" s="120"/>
      <c r="P72" s="120"/>
      <c r="Q72" s="149">
        <f t="shared" si="2"/>
        <v>1.28</v>
      </c>
      <c r="S72" s="44" t="s">
        <v>1554</v>
      </c>
      <c r="U72" s="44" t="str">
        <f t="shared" si="3"/>
        <v>ОК</v>
      </c>
    </row>
    <row r="73" spans="1:21" x14ac:dyDescent="0.2">
      <c r="A73" s="148" t="s">
        <v>1558</v>
      </c>
      <c r="B73" s="42">
        <v>71</v>
      </c>
      <c r="C73" s="120">
        <v>100</v>
      </c>
      <c r="D73" s="120">
        <v>280</v>
      </c>
      <c r="E73" s="120">
        <v>100</v>
      </c>
      <c r="F73" s="120">
        <v>280</v>
      </c>
      <c r="G73" s="120"/>
      <c r="H73" s="120"/>
      <c r="I73" s="120"/>
      <c r="J73" s="120"/>
      <c r="K73" s="120"/>
      <c r="L73" s="120"/>
      <c r="M73" s="120"/>
      <c r="N73" s="120"/>
      <c r="O73" s="120"/>
      <c r="P73" s="120"/>
      <c r="Q73" s="149">
        <f t="shared" si="2"/>
        <v>0.76</v>
      </c>
      <c r="S73" s="44" t="s">
        <v>1558</v>
      </c>
      <c r="U73" s="44" t="str">
        <f t="shared" si="3"/>
        <v>ОК</v>
      </c>
    </row>
    <row r="74" spans="1:21" x14ac:dyDescent="0.2">
      <c r="A74" s="148" t="s">
        <v>1562</v>
      </c>
      <c r="B74" s="42">
        <v>72</v>
      </c>
      <c r="C74" s="120">
        <v>100</v>
      </c>
      <c r="D74" s="120">
        <v>370</v>
      </c>
      <c r="E74" s="120">
        <v>100</v>
      </c>
      <c r="F74" s="120">
        <v>370</v>
      </c>
      <c r="G74" s="120"/>
      <c r="H74" s="120"/>
      <c r="I74" s="120"/>
      <c r="J74" s="120"/>
      <c r="K74" s="120"/>
      <c r="L74" s="120"/>
      <c r="M74" s="120"/>
      <c r="N74" s="120"/>
      <c r="O74" s="120"/>
      <c r="P74" s="120"/>
      <c r="Q74" s="149">
        <f t="shared" si="2"/>
        <v>0.94</v>
      </c>
      <c r="S74" s="44" t="s">
        <v>1562</v>
      </c>
      <c r="U74" s="44" t="str">
        <f t="shared" si="3"/>
        <v>ОК</v>
      </c>
    </row>
    <row r="75" spans="1:21" x14ac:dyDescent="0.2">
      <c r="A75" s="148" t="s">
        <v>1567</v>
      </c>
      <c r="B75" s="42">
        <v>73</v>
      </c>
      <c r="C75" s="120">
        <v>100</v>
      </c>
      <c r="D75" s="120">
        <v>610</v>
      </c>
      <c r="E75" s="120">
        <v>100</v>
      </c>
      <c r="F75" s="120">
        <v>610</v>
      </c>
      <c r="G75" s="120"/>
      <c r="H75" s="120"/>
      <c r="I75" s="120"/>
      <c r="J75" s="120"/>
      <c r="K75" s="120"/>
      <c r="L75" s="120"/>
      <c r="M75" s="120"/>
      <c r="N75" s="120"/>
      <c r="O75" s="120"/>
      <c r="P75" s="120"/>
      <c r="Q75" s="149">
        <f t="shared" si="2"/>
        <v>1.42</v>
      </c>
      <c r="S75" s="44" t="s">
        <v>1567</v>
      </c>
      <c r="U75" s="44" t="str">
        <f t="shared" si="3"/>
        <v>ОК</v>
      </c>
    </row>
    <row r="76" spans="1:21" x14ac:dyDescent="0.2">
      <c r="A76" s="148" t="s">
        <v>1572</v>
      </c>
      <c r="B76" s="42">
        <v>74</v>
      </c>
      <c r="C76" s="120">
        <v>100</v>
      </c>
      <c r="D76" s="120">
        <v>870</v>
      </c>
      <c r="E76" s="120">
        <v>100</v>
      </c>
      <c r="F76" s="120">
        <v>870</v>
      </c>
      <c r="G76" s="120"/>
      <c r="H76" s="120"/>
      <c r="I76" s="120"/>
      <c r="J76" s="120"/>
      <c r="K76" s="120"/>
      <c r="L76" s="120"/>
      <c r="M76" s="120"/>
      <c r="N76" s="120"/>
      <c r="O76" s="120"/>
      <c r="P76" s="120"/>
      <c r="Q76" s="149">
        <f t="shared" si="2"/>
        <v>1.94</v>
      </c>
      <c r="S76" s="44" t="s">
        <v>1572</v>
      </c>
      <c r="U76" s="44" t="str">
        <f t="shared" si="3"/>
        <v>ОК</v>
      </c>
    </row>
    <row r="77" spans="1:21" x14ac:dyDescent="0.2">
      <c r="A77" s="148" t="s">
        <v>1577</v>
      </c>
      <c r="B77" s="42">
        <v>75</v>
      </c>
      <c r="C77" s="120">
        <v>380</v>
      </c>
      <c r="D77" s="120">
        <v>100</v>
      </c>
      <c r="E77" s="120">
        <v>380</v>
      </c>
      <c r="F77" s="120">
        <v>100</v>
      </c>
      <c r="G77" s="120"/>
      <c r="H77" s="120"/>
      <c r="I77" s="120"/>
      <c r="J77" s="120"/>
      <c r="K77" s="120"/>
      <c r="L77" s="120"/>
      <c r="M77" s="120"/>
      <c r="N77" s="120"/>
      <c r="O77" s="120"/>
      <c r="P77" s="120"/>
      <c r="Q77" s="149">
        <f t="shared" si="2"/>
        <v>0.96</v>
      </c>
      <c r="S77" s="44" t="s">
        <v>1577</v>
      </c>
      <c r="U77" s="44" t="str">
        <f t="shared" si="3"/>
        <v>ОК</v>
      </c>
    </row>
    <row r="78" spans="1:21" x14ac:dyDescent="0.2">
      <c r="A78" s="148" t="s">
        <v>1581</v>
      </c>
      <c r="B78" s="42">
        <v>76</v>
      </c>
      <c r="C78" s="120">
        <v>560</v>
      </c>
      <c r="D78" s="120">
        <v>100</v>
      </c>
      <c r="E78" s="120">
        <v>560</v>
      </c>
      <c r="F78" s="120">
        <v>100</v>
      </c>
      <c r="G78" s="120"/>
      <c r="H78" s="120"/>
      <c r="I78" s="120"/>
      <c r="J78" s="120"/>
      <c r="K78" s="120"/>
      <c r="L78" s="120"/>
      <c r="M78" s="120"/>
      <c r="N78" s="120"/>
      <c r="O78" s="120"/>
      <c r="P78" s="120"/>
      <c r="Q78" s="149">
        <f t="shared" si="2"/>
        <v>1.32</v>
      </c>
      <c r="S78" s="44" t="s">
        <v>1581</v>
      </c>
      <c r="U78" s="44" t="str">
        <f t="shared" si="3"/>
        <v>ОК</v>
      </c>
    </row>
    <row r="79" spans="1:21" x14ac:dyDescent="0.2">
      <c r="A79" s="148" t="s">
        <v>1594</v>
      </c>
      <c r="B79" s="42">
        <v>77</v>
      </c>
      <c r="C79" s="120">
        <v>250</v>
      </c>
      <c r="D79" s="120">
        <v>100</v>
      </c>
      <c r="E79" s="120">
        <v>250</v>
      </c>
      <c r="F79" s="120">
        <v>100</v>
      </c>
      <c r="G79" s="120"/>
      <c r="H79" s="120"/>
      <c r="I79" s="120"/>
      <c r="J79" s="120"/>
      <c r="K79" s="120"/>
      <c r="L79" s="120"/>
      <c r="M79" s="120"/>
      <c r="N79" s="120"/>
      <c r="O79" s="120"/>
      <c r="P79" s="120"/>
      <c r="Q79" s="149">
        <f t="shared" si="2"/>
        <v>0.7</v>
      </c>
      <c r="S79" s="44" t="s">
        <v>1594</v>
      </c>
      <c r="U79" s="44" t="str">
        <f t="shared" si="3"/>
        <v>ОК</v>
      </c>
    </row>
    <row r="80" spans="1:21" x14ac:dyDescent="0.2">
      <c r="A80" s="150" t="s">
        <v>1617</v>
      </c>
      <c r="B80" s="42">
        <v>78</v>
      </c>
      <c r="C80" s="152">
        <v>100</v>
      </c>
      <c r="D80" s="152">
        <v>220</v>
      </c>
      <c r="E80" s="152">
        <v>100</v>
      </c>
      <c r="F80" s="152">
        <v>220</v>
      </c>
      <c r="G80" s="152"/>
      <c r="H80" s="152"/>
      <c r="I80" s="152"/>
      <c r="J80" s="152"/>
      <c r="K80" s="152"/>
      <c r="L80" s="152"/>
      <c r="M80" s="152"/>
      <c r="N80" s="152"/>
      <c r="O80" s="152"/>
      <c r="P80" s="152"/>
      <c r="Q80" s="151">
        <f t="shared" si="2"/>
        <v>0.64</v>
      </c>
      <c r="S80" s="44" t="s">
        <v>1617</v>
      </c>
      <c r="U80" s="44" t="str">
        <f t="shared" si="3"/>
        <v>ОК</v>
      </c>
    </row>
    <row r="81" spans="1:21" x14ac:dyDescent="0.2">
      <c r="A81" s="150" t="s">
        <v>1622</v>
      </c>
      <c r="B81" s="42">
        <v>79</v>
      </c>
      <c r="C81" s="152">
        <v>160</v>
      </c>
      <c r="D81" s="152">
        <v>100</v>
      </c>
      <c r="E81" s="152">
        <v>160</v>
      </c>
      <c r="F81" s="152">
        <v>100</v>
      </c>
      <c r="G81" s="152"/>
      <c r="H81" s="152"/>
      <c r="I81" s="152"/>
      <c r="J81" s="152"/>
      <c r="K81" s="152"/>
      <c r="L81" s="152"/>
      <c r="M81" s="152"/>
      <c r="N81" s="152"/>
      <c r="O81" s="152"/>
      <c r="P81" s="152"/>
      <c r="Q81" s="151">
        <f t="shared" si="2"/>
        <v>0.52</v>
      </c>
      <c r="S81" s="44" t="s">
        <v>1622</v>
      </c>
      <c r="U81" s="44" t="str">
        <f t="shared" si="3"/>
        <v>ОК</v>
      </c>
    </row>
    <row r="82" spans="1:21" x14ac:dyDescent="0.2">
      <c r="A82" s="150" t="s">
        <v>1627</v>
      </c>
      <c r="B82" s="42">
        <v>80</v>
      </c>
      <c r="C82" s="152">
        <v>130</v>
      </c>
      <c r="D82" s="152">
        <v>100</v>
      </c>
      <c r="E82" s="152">
        <v>130</v>
      </c>
      <c r="F82" s="152">
        <v>100</v>
      </c>
      <c r="G82" s="152"/>
      <c r="H82" s="152"/>
      <c r="I82" s="152"/>
      <c r="J82" s="152"/>
      <c r="K82" s="152"/>
      <c r="L82" s="152"/>
      <c r="M82" s="152"/>
      <c r="N82" s="152"/>
      <c r="O82" s="152"/>
      <c r="P82" s="152"/>
      <c r="Q82" s="151">
        <f t="shared" si="2"/>
        <v>0.46</v>
      </c>
      <c r="S82" s="44" t="s">
        <v>1627</v>
      </c>
      <c r="U82" s="44" t="str">
        <f t="shared" si="3"/>
        <v>ОК</v>
      </c>
    </row>
    <row r="83" spans="1:21" x14ac:dyDescent="0.2">
      <c r="A83" s="150" t="s">
        <v>1632</v>
      </c>
      <c r="B83" s="42">
        <v>81</v>
      </c>
      <c r="C83" s="152">
        <v>110</v>
      </c>
      <c r="D83" s="152">
        <v>100</v>
      </c>
      <c r="E83" s="152">
        <v>160</v>
      </c>
      <c r="F83" s="152">
        <v>100</v>
      </c>
      <c r="G83" s="152"/>
      <c r="H83" s="152"/>
      <c r="I83" s="152"/>
      <c r="J83" s="152"/>
      <c r="K83" s="152"/>
      <c r="L83" s="152"/>
      <c r="M83" s="152"/>
      <c r="N83" s="152"/>
      <c r="O83" s="152"/>
      <c r="P83" s="152"/>
      <c r="Q83" s="151">
        <f t="shared" si="2"/>
        <v>0.47</v>
      </c>
      <c r="S83" s="44" t="s">
        <v>1632</v>
      </c>
      <c r="U83" s="44" t="str">
        <f t="shared" si="3"/>
        <v>ОК</v>
      </c>
    </row>
    <row r="84" spans="1:21" x14ac:dyDescent="0.2">
      <c r="A84" s="148" t="s">
        <v>1642</v>
      </c>
      <c r="B84" s="42">
        <v>82</v>
      </c>
      <c r="C84" s="120">
        <v>100</v>
      </c>
      <c r="D84" s="120">
        <v>430</v>
      </c>
      <c r="E84" s="120">
        <v>100</v>
      </c>
      <c r="F84" s="120">
        <v>430</v>
      </c>
      <c r="G84" s="120"/>
      <c r="H84" s="120"/>
      <c r="I84" s="120"/>
      <c r="J84" s="120"/>
      <c r="K84" s="120"/>
      <c r="L84" s="120"/>
      <c r="M84" s="120"/>
      <c r="N84" s="120"/>
      <c r="O84" s="120"/>
      <c r="P84" s="120"/>
      <c r="Q84" s="149">
        <f t="shared" si="2"/>
        <v>1.06</v>
      </c>
      <c r="S84" s="44" t="s">
        <v>1642</v>
      </c>
      <c r="U84" s="44" t="str">
        <f t="shared" si="3"/>
        <v>ОК</v>
      </c>
    </row>
    <row r="85" spans="1:21" x14ac:dyDescent="0.2">
      <c r="A85" s="148" t="s">
        <v>1645</v>
      </c>
      <c r="B85" s="42">
        <v>83</v>
      </c>
      <c r="C85" s="120">
        <v>450</v>
      </c>
      <c r="D85" s="120">
        <v>100</v>
      </c>
      <c r="E85" s="120">
        <v>450</v>
      </c>
      <c r="F85" s="120">
        <v>100</v>
      </c>
      <c r="G85" s="120"/>
      <c r="H85" s="120"/>
      <c r="I85" s="120"/>
      <c r="J85" s="120"/>
      <c r="K85" s="120"/>
      <c r="L85" s="120"/>
      <c r="M85" s="120"/>
      <c r="N85" s="120"/>
      <c r="O85" s="120"/>
      <c r="P85" s="120"/>
      <c r="Q85" s="149">
        <f t="shared" si="2"/>
        <v>1.1000000000000001</v>
      </c>
      <c r="S85" s="44" t="s">
        <v>1645</v>
      </c>
      <c r="U85" s="44" t="str">
        <f t="shared" si="3"/>
        <v>ОК</v>
      </c>
    </row>
    <row r="86" spans="1:21" x14ac:dyDescent="0.2">
      <c r="A86" s="148" t="s">
        <v>1649</v>
      </c>
      <c r="B86" s="42">
        <v>84</v>
      </c>
      <c r="C86" s="120">
        <v>310</v>
      </c>
      <c r="D86" s="120">
        <v>100</v>
      </c>
      <c r="E86" s="120">
        <v>310</v>
      </c>
      <c r="F86" s="120">
        <v>100</v>
      </c>
      <c r="G86" s="120"/>
      <c r="H86" s="120"/>
      <c r="I86" s="120"/>
      <c r="J86" s="120"/>
      <c r="K86" s="120"/>
      <c r="L86" s="120"/>
      <c r="M86" s="120"/>
      <c r="N86" s="120"/>
      <c r="O86" s="120"/>
      <c r="P86" s="120"/>
      <c r="Q86" s="149">
        <f t="shared" si="2"/>
        <v>0.82</v>
      </c>
      <c r="S86" s="44" t="s">
        <v>1649</v>
      </c>
      <c r="U86" s="44" t="str">
        <f t="shared" si="3"/>
        <v>ОК</v>
      </c>
    </row>
    <row r="87" spans="1:21" x14ac:dyDescent="0.2">
      <c r="A87" s="148" t="s">
        <v>1652</v>
      </c>
      <c r="B87" s="42">
        <v>85</v>
      </c>
      <c r="C87" s="120">
        <v>100</v>
      </c>
      <c r="D87" s="120">
        <v>480</v>
      </c>
      <c r="E87" s="120">
        <v>100</v>
      </c>
      <c r="F87" s="120">
        <v>480</v>
      </c>
      <c r="G87" s="120"/>
      <c r="H87" s="120"/>
      <c r="I87" s="120"/>
      <c r="J87" s="120"/>
      <c r="K87" s="120"/>
      <c r="L87" s="120"/>
      <c r="M87" s="120"/>
      <c r="N87" s="120"/>
      <c r="O87" s="120"/>
      <c r="P87" s="120"/>
      <c r="Q87" s="149">
        <f t="shared" si="2"/>
        <v>1.1599999999999999</v>
      </c>
      <c r="S87" s="44" t="s">
        <v>1652</v>
      </c>
      <c r="U87" s="44" t="str">
        <f t="shared" si="3"/>
        <v>ОК</v>
      </c>
    </row>
    <row r="88" spans="1:21" x14ac:dyDescent="0.2">
      <c r="A88" s="148" t="s">
        <v>1656</v>
      </c>
      <c r="B88" s="42">
        <v>86</v>
      </c>
      <c r="C88" s="120">
        <v>530</v>
      </c>
      <c r="D88" s="120">
        <v>100</v>
      </c>
      <c r="E88" s="120">
        <v>460</v>
      </c>
      <c r="F88" s="120">
        <v>150</v>
      </c>
      <c r="G88" s="120"/>
      <c r="H88" s="120"/>
      <c r="I88" s="120"/>
      <c r="J88" s="120"/>
      <c r="K88" s="120"/>
      <c r="L88" s="120"/>
      <c r="M88" s="120"/>
      <c r="N88" s="120"/>
      <c r="O88" s="120"/>
      <c r="P88" s="120"/>
      <c r="Q88" s="149">
        <f t="shared" si="2"/>
        <v>1.24</v>
      </c>
      <c r="S88" s="44" t="s">
        <v>1656</v>
      </c>
      <c r="U88" s="44" t="str">
        <f t="shared" si="3"/>
        <v>ОК</v>
      </c>
    </row>
    <row r="89" spans="1:21" x14ac:dyDescent="0.2">
      <c r="A89" s="150" t="s">
        <v>1659</v>
      </c>
      <c r="B89" s="42">
        <v>87</v>
      </c>
      <c r="C89" s="152">
        <v>180</v>
      </c>
      <c r="D89" s="152">
        <v>100</v>
      </c>
      <c r="E89" s="152">
        <v>180</v>
      </c>
      <c r="F89" s="152">
        <v>100</v>
      </c>
      <c r="G89" s="152"/>
      <c r="H89" s="152"/>
      <c r="I89" s="152"/>
      <c r="J89" s="152"/>
      <c r="K89" s="152"/>
      <c r="L89" s="152"/>
      <c r="M89" s="152"/>
      <c r="N89" s="152"/>
      <c r="O89" s="152"/>
      <c r="P89" s="152"/>
      <c r="Q89" s="151">
        <f t="shared" si="2"/>
        <v>0.56000000000000005</v>
      </c>
      <c r="S89" s="44" t="s">
        <v>1659</v>
      </c>
      <c r="U89" s="44" t="str">
        <f t="shared" si="3"/>
        <v>ОК</v>
      </c>
    </row>
    <row r="90" spans="1:21" x14ac:dyDescent="0.2">
      <c r="A90" s="148" t="s">
        <v>1662</v>
      </c>
      <c r="B90" s="42">
        <v>88</v>
      </c>
      <c r="C90" s="120">
        <v>100</v>
      </c>
      <c r="D90" s="120">
        <v>470</v>
      </c>
      <c r="E90" s="120">
        <v>100</v>
      </c>
      <c r="F90" s="120">
        <v>460</v>
      </c>
      <c r="G90" s="120"/>
      <c r="H90" s="120"/>
      <c r="I90" s="120"/>
      <c r="J90" s="120"/>
      <c r="K90" s="120"/>
      <c r="L90" s="120"/>
      <c r="M90" s="120"/>
      <c r="N90" s="120"/>
      <c r="O90" s="120"/>
      <c r="P90" s="120"/>
      <c r="Q90" s="149">
        <f t="shared" si="2"/>
        <v>1.1299999999999999</v>
      </c>
      <c r="S90" s="44" t="s">
        <v>1662</v>
      </c>
      <c r="U90" s="44" t="str">
        <f t="shared" si="3"/>
        <v>ОК</v>
      </c>
    </row>
    <row r="91" spans="1:21" x14ac:dyDescent="0.2">
      <c r="A91" s="148" t="s">
        <v>1670</v>
      </c>
      <c r="B91" s="42">
        <v>89</v>
      </c>
      <c r="C91" s="120">
        <v>100</v>
      </c>
      <c r="D91" s="120">
        <v>320</v>
      </c>
      <c r="E91" s="120">
        <v>100</v>
      </c>
      <c r="F91" s="120">
        <v>320</v>
      </c>
      <c r="G91" s="120"/>
      <c r="H91" s="120"/>
      <c r="I91" s="120"/>
      <c r="J91" s="120"/>
      <c r="K91" s="120"/>
      <c r="L91" s="120"/>
      <c r="M91" s="120"/>
      <c r="N91" s="120"/>
      <c r="O91" s="120"/>
      <c r="P91" s="120"/>
      <c r="Q91" s="149">
        <f t="shared" si="2"/>
        <v>0.84</v>
      </c>
      <c r="S91" s="44" t="s">
        <v>1670</v>
      </c>
      <c r="U91" s="44" t="str">
        <f t="shared" si="3"/>
        <v>ОК</v>
      </c>
    </row>
    <row r="92" spans="1:21" x14ac:dyDescent="0.2">
      <c r="A92" s="148" t="s">
        <v>1673</v>
      </c>
      <c r="B92" s="42">
        <v>90</v>
      </c>
      <c r="C92" s="120">
        <v>660</v>
      </c>
      <c r="D92" s="120">
        <v>100</v>
      </c>
      <c r="E92" s="120">
        <v>680</v>
      </c>
      <c r="F92" s="120">
        <v>100</v>
      </c>
      <c r="G92" s="120"/>
      <c r="H92" s="120"/>
      <c r="I92" s="120"/>
      <c r="J92" s="120"/>
      <c r="K92" s="120"/>
      <c r="L92" s="120"/>
      <c r="M92" s="120"/>
      <c r="N92" s="120"/>
      <c r="O92" s="120"/>
      <c r="P92" s="120"/>
      <c r="Q92" s="149">
        <f t="shared" si="2"/>
        <v>1.54</v>
      </c>
      <c r="S92" s="44" t="s">
        <v>1673</v>
      </c>
      <c r="U92" s="44" t="str">
        <f t="shared" si="3"/>
        <v>ОК</v>
      </c>
    </row>
    <row r="93" spans="1:21" x14ac:dyDescent="0.2">
      <c r="A93" s="148" t="s">
        <v>1676</v>
      </c>
      <c r="B93" s="42">
        <v>91</v>
      </c>
      <c r="C93" s="120">
        <v>330</v>
      </c>
      <c r="D93" s="120">
        <v>100</v>
      </c>
      <c r="E93" s="120">
        <v>330</v>
      </c>
      <c r="F93" s="120">
        <v>100</v>
      </c>
      <c r="G93" s="120"/>
      <c r="H93" s="120"/>
      <c r="I93" s="120"/>
      <c r="J93" s="120"/>
      <c r="K93" s="120"/>
      <c r="L93" s="120"/>
      <c r="M93" s="120"/>
      <c r="N93" s="120"/>
      <c r="O93" s="120"/>
      <c r="P93" s="120"/>
      <c r="Q93" s="149">
        <f t="shared" si="2"/>
        <v>0.86</v>
      </c>
      <c r="S93" s="44" t="s">
        <v>1676</v>
      </c>
      <c r="U93" s="44" t="str">
        <f t="shared" si="3"/>
        <v>ОК</v>
      </c>
    </row>
    <row r="94" spans="1:21" x14ac:dyDescent="0.2">
      <c r="A94" s="148" t="s">
        <v>1679</v>
      </c>
      <c r="B94" s="42">
        <v>92</v>
      </c>
      <c r="C94" s="120">
        <v>280</v>
      </c>
      <c r="D94" s="120">
        <v>100</v>
      </c>
      <c r="E94" s="120">
        <v>280</v>
      </c>
      <c r="F94" s="120">
        <v>100</v>
      </c>
      <c r="G94" s="120"/>
      <c r="H94" s="120"/>
      <c r="I94" s="120"/>
      <c r="J94" s="120"/>
      <c r="K94" s="120"/>
      <c r="L94" s="120"/>
      <c r="M94" s="120"/>
      <c r="N94" s="120"/>
      <c r="O94" s="120"/>
      <c r="P94" s="120"/>
      <c r="Q94" s="149">
        <f t="shared" si="2"/>
        <v>0.76</v>
      </c>
      <c r="S94" s="44" t="s">
        <v>1679</v>
      </c>
      <c r="U94" s="44" t="str">
        <f t="shared" si="3"/>
        <v>ОК</v>
      </c>
    </row>
    <row r="95" spans="1:21" x14ac:dyDescent="0.2">
      <c r="A95" s="148" t="s">
        <v>1682</v>
      </c>
      <c r="B95" s="42">
        <v>93</v>
      </c>
      <c r="C95" s="120">
        <v>280</v>
      </c>
      <c r="D95" s="120">
        <v>100</v>
      </c>
      <c r="E95" s="120">
        <v>280</v>
      </c>
      <c r="F95" s="120">
        <v>100</v>
      </c>
      <c r="G95" s="120"/>
      <c r="H95" s="120"/>
      <c r="I95" s="120"/>
      <c r="J95" s="120"/>
      <c r="K95" s="120"/>
      <c r="L95" s="120"/>
      <c r="M95" s="120"/>
      <c r="N95" s="120"/>
      <c r="O95" s="120"/>
      <c r="P95" s="120"/>
      <c r="Q95" s="149">
        <f t="shared" si="2"/>
        <v>0.76</v>
      </c>
      <c r="S95" s="44" t="s">
        <v>1682</v>
      </c>
      <c r="U95" s="44" t="str">
        <f t="shared" si="3"/>
        <v>ОК</v>
      </c>
    </row>
    <row r="96" spans="1:21" x14ac:dyDescent="0.2">
      <c r="A96" s="148" t="s">
        <v>1685</v>
      </c>
      <c r="B96" s="42">
        <v>94</v>
      </c>
      <c r="C96" s="120">
        <v>100</v>
      </c>
      <c r="D96" s="120">
        <v>290</v>
      </c>
      <c r="E96" s="120">
        <v>100</v>
      </c>
      <c r="F96" s="120">
        <v>280</v>
      </c>
      <c r="G96" s="120"/>
      <c r="H96" s="120"/>
      <c r="I96" s="120"/>
      <c r="J96" s="120"/>
      <c r="K96" s="120"/>
      <c r="L96" s="120"/>
      <c r="M96" s="120"/>
      <c r="N96" s="120"/>
      <c r="O96" s="120"/>
      <c r="P96" s="120"/>
      <c r="Q96" s="149">
        <f t="shared" si="2"/>
        <v>0.77</v>
      </c>
      <c r="S96" s="44" t="s">
        <v>1685</v>
      </c>
      <c r="U96" s="44" t="str">
        <f t="shared" si="3"/>
        <v>ОК</v>
      </c>
    </row>
    <row r="97" spans="1:21" x14ac:dyDescent="0.2">
      <c r="A97" s="148" t="s">
        <v>1689</v>
      </c>
      <c r="B97" s="42">
        <v>95</v>
      </c>
      <c r="C97" s="120">
        <v>100</v>
      </c>
      <c r="D97" s="120">
        <v>250</v>
      </c>
      <c r="E97" s="120">
        <v>110</v>
      </c>
      <c r="F97" s="120">
        <v>290</v>
      </c>
      <c r="G97" s="120"/>
      <c r="H97" s="120"/>
      <c r="I97" s="120"/>
      <c r="J97" s="120"/>
      <c r="K97" s="120"/>
      <c r="L97" s="120"/>
      <c r="M97" s="120"/>
      <c r="N97" s="120"/>
      <c r="O97" s="120"/>
      <c r="P97" s="120"/>
      <c r="Q97" s="149">
        <f t="shared" si="2"/>
        <v>0.75</v>
      </c>
      <c r="S97" s="44" t="s">
        <v>1689</v>
      </c>
      <c r="U97" s="44" t="str">
        <f t="shared" si="3"/>
        <v>ОК</v>
      </c>
    </row>
    <row r="98" spans="1:21" x14ac:dyDescent="0.2">
      <c r="A98" s="150" t="s">
        <v>852</v>
      </c>
      <c r="B98" s="42">
        <v>96</v>
      </c>
      <c r="C98" s="152">
        <v>60</v>
      </c>
      <c r="D98" s="152">
        <v>50</v>
      </c>
      <c r="E98" s="152">
        <v>40</v>
      </c>
      <c r="F98" s="152">
        <v>140</v>
      </c>
      <c r="G98" s="152">
        <v>80</v>
      </c>
      <c r="H98" s="152">
        <v>120</v>
      </c>
      <c r="I98" s="152">
        <v>60</v>
      </c>
      <c r="J98" s="152">
        <v>280</v>
      </c>
      <c r="K98" s="152"/>
      <c r="L98" s="152"/>
      <c r="M98" s="152"/>
      <c r="N98" s="152"/>
      <c r="O98" s="152"/>
      <c r="P98" s="152"/>
      <c r="Q98" s="151">
        <f t="shared" si="2"/>
        <v>0.83</v>
      </c>
      <c r="S98" s="44" t="s">
        <v>852</v>
      </c>
      <c r="U98" s="44" t="str">
        <f t="shared" si="3"/>
        <v>ОК</v>
      </c>
    </row>
    <row r="99" spans="1:21" x14ac:dyDescent="0.2">
      <c r="A99" s="148" t="s">
        <v>1694</v>
      </c>
      <c r="B99" s="42">
        <v>97</v>
      </c>
      <c r="C99" s="120">
        <v>80</v>
      </c>
      <c r="D99" s="120">
        <v>90</v>
      </c>
      <c r="E99" s="120">
        <v>50</v>
      </c>
      <c r="F99" s="120">
        <v>30</v>
      </c>
      <c r="G99" s="120">
        <v>60</v>
      </c>
      <c r="H99" s="120"/>
      <c r="I99" s="120"/>
      <c r="J99" s="120"/>
      <c r="K99" s="120"/>
      <c r="L99" s="120"/>
      <c r="M99" s="120"/>
      <c r="N99" s="120"/>
      <c r="O99" s="120"/>
      <c r="P99" s="120"/>
      <c r="Q99" s="149">
        <f t="shared" si="2"/>
        <v>0.31</v>
      </c>
      <c r="S99" s="44" t="s">
        <v>1694</v>
      </c>
      <c r="U99" s="44" t="str">
        <f t="shared" si="3"/>
        <v>ОК</v>
      </c>
    </row>
    <row r="100" spans="1:21" x14ac:dyDescent="0.2">
      <c r="A100" s="150" t="s">
        <v>1697</v>
      </c>
      <c r="B100" s="42">
        <v>98</v>
      </c>
      <c r="C100" s="152">
        <v>50</v>
      </c>
      <c r="D100" s="152">
        <v>60</v>
      </c>
      <c r="E100" s="152">
        <v>260</v>
      </c>
      <c r="F100" s="152">
        <v>100</v>
      </c>
      <c r="G100" s="152">
        <v>200</v>
      </c>
      <c r="H100" s="152">
        <v>150</v>
      </c>
      <c r="I100" s="152">
        <v>40</v>
      </c>
      <c r="J100" s="152"/>
      <c r="K100" s="152"/>
      <c r="L100" s="152"/>
      <c r="M100" s="152"/>
      <c r="N100" s="152"/>
      <c r="O100" s="152"/>
      <c r="P100" s="152"/>
      <c r="Q100" s="151">
        <f t="shared" si="2"/>
        <v>0.86</v>
      </c>
      <c r="S100" s="44" t="s">
        <v>1697</v>
      </c>
      <c r="U100" s="44" t="str">
        <f t="shared" si="3"/>
        <v>ОК</v>
      </c>
    </row>
    <row r="101" spans="1:21" x14ac:dyDescent="0.2">
      <c r="A101" s="150" t="s">
        <v>1702</v>
      </c>
      <c r="B101" s="42">
        <v>99</v>
      </c>
      <c r="C101" s="152">
        <v>100</v>
      </c>
      <c r="D101" s="152">
        <v>80</v>
      </c>
      <c r="E101" s="152">
        <v>100</v>
      </c>
      <c r="F101" s="152">
        <v>80</v>
      </c>
      <c r="G101" s="152"/>
      <c r="H101" s="152"/>
      <c r="I101" s="152"/>
      <c r="J101" s="152"/>
      <c r="K101" s="152"/>
      <c r="L101" s="152"/>
      <c r="M101" s="152"/>
      <c r="N101" s="152"/>
      <c r="O101" s="152"/>
      <c r="P101" s="152"/>
      <c r="Q101" s="151">
        <f t="shared" si="2"/>
        <v>0.36</v>
      </c>
      <c r="S101" s="44" t="s">
        <v>1702</v>
      </c>
      <c r="U101" s="44" t="str">
        <f t="shared" si="3"/>
        <v>ОК</v>
      </c>
    </row>
    <row r="102" spans="1:21" x14ac:dyDescent="0.2">
      <c r="A102" s="148" t="s">
        <v>1706</v>
      </c>
      <c r="B102" s="42">
        <v>100</v>
      </c>
      <c r="C102" s="120">
        <v>70</v>
      </c>
      <c r="D102" s="120">
        <v>100</v>
      </c>
      <c r="E102" s="120">
        <v>70</v>
      </c>
      <c r="F102" s="120">
        <v>100</v>
      </c>
      <c r="G102" s="120">
        <v>30</v>
      </c>
      <c r="H102" s="120">
        <v>120</v>
      </c>
      <c r="I102" s="120">
        <v>90</v>
      </c>
      <c r="J102" s="120">
        <v>60</v>
      </c>
      <c r="K102" s="120"/>
      <c r="L102" s="120"/>
      <c r="M102" s="120"/>
      <c r="N102" s="120"/>
      <c r="O102" s="120"/>
      <c r="P102" s="120"/>
      <c r="Q102" s="149">
        <f t="shared" si="2"/>
        <v>0.64</v>
      </c>
      <c r="S102" s="44" t="s">
        <v>1706</v>
      </c>
      <c r="U102" s="44" t="str">
        <f t="shared" si="3"/>
        <v>ОК</v>
      </c>
    </row>
    <row r="103" spans="1:21" x14ac:dyDescent="0.2">
      <c r="A103" s="148" t="s">
        <v>1710</v>
      </c>
      <c r="B103" s="42">
        <v>101</v>
      </c>
      <c r="C103" s="120">
        <v>100</v>
      </c>
      <c r="D103" s="120">
        <v>370</v>
      </c>
      <c r="E103" s="120">
        <v>100</v>
      </c>
      <c r="F103" s="120">
        <v>370</v>
      </c>
      <c r="G103" s="120"/>
      <c r="H103" s="120"/>
      <c r="I103" s="120"/>
      <c r="J103" s="120"/>
      <c r="K103" s="120"/>
      <c r="L103" s="120"/>
      <c r="M103" s="120"/>
      <c r="N103" s="120"/>
      <c r="O103" s="120"/>
      <c r="P103" s="120"/>
      <c r="Q103" s="149">
        <f t="shared" si="2"/>
        <v>0.94</v>
      </c>
      <c r="S103" s="44" t="s">
        <v>1710</v>
      </c>
      <c r="U103" s="44" t="str">
        <f t="shared" si="3"/>
        <v>ОК</v>
      </c>
    </row>
    <row r="104" spans="1:21" x14ac:dyDescent="0.2">
      <c r="A104" s="148" t="s">
        <v>1713</v>
      </c>
      <c r="B104" s="42">
        <v>102</v>
      </c>
      <c r="C104" s="120">
        <v>100</v>
      </c>
      <c r="D104" s="120">
        <v>240</v>
      </c>
      <c r="E104" s="120">
        <v>100</v>
      </c>
      <c r="F104" s="120">
        <v>240</v>
      </c>
      <c r="G104" s="120"/>
      <c r="H104" s="120"/>
      <c r="I104" s="120"/>
      <c r="J104" s="120"/>
      <c r="K104" s="120"/>
      <c r="L104" s="120"/>
      <c r="M104" s="120"/>
      <c r="N104" s="120"/>
      <c r="O104" s="120"/>
      <c r="P104" s="120"/>
      <c r="Q104" s="149">
        <f t="shared" si="2"/>
        <v>0.68</v>
      </c>
      <c r="S104" s="44" t="s">
        <v>1713</v>
      </c>
      <c r="U104" s="44" t="str">
        <f t="shared" si="3"/>
        <v>ОК</v>
      </c>
    </row>
    <row r="105" spans="1:21" x14ac:dyDescent="0.2">
      <c r="A105" s="150" t="s">
        <v>1716</v>
      </c>
      <c r="B105" s="42">
        <v>103</v>
      </c>
      <c r="C105" s="152">
        <v>100</v>
      </c>
      <c r="D105" s="152">
        <v>550</v>
      </c>
      <c r="E105" s="152">
        <v>100</v>
      </c>
      <c r="F105" s="152">
        <v>550</v>
      </c>
      <c r="G105" s="152"/>
      <c r="H105" s="152"/>
      <c r="I105" s="152"/>
      <c r="J105" s="152"/>
      <c r="K105" s="152"/>
      <c r="L105" s="152"/>
      <c r="M105" s="152"/>
      <c r="N105" s="152"/>
      <c r="O105" s="152"/>
      <c r="P105" s="152"/>
      <c r="Q105" s="151">
        <f t="shared" si="2"/>
        <v>1.3</v>
      </c>
      <c r="S105" s="44" t="s">
        <v>1716</v>
      </c>
      <c r="U105" s="44" t="str">
        <f t="shared" si="3"/>
        <v>ОК</v>
      </c>
    </row>
    <row r="106" spans="1:21" x14ac:dyDescent="0.2">
      <c r="A106" s="150" t="s">
        <v>1719</v>
      </c>
      <c r="B106" s="42">
        <v>104</v>
      </c>
      <c r="C106" s="152">
        <v>100</v>
      </c>
      <c r="D106" s="152">
        <v>560</v>
      </c>
      <c r="E106" s="152">
        <v>100</v>
      </c>
      <c r="F106" s="152">
        <v>560</v>
      </c>
      <c r="G106" s="152"/>
      <c r="H106" s="152"/>
      <c r="I106" s="152"/>
      <c r="J106" s="152"/>
      <c r="K106" s="152"/>
      <c r="L106" s="152"/>
      <c r="M106" s="152"/>
      <c r="N106" s="152"/>
      <c r="O106" s="152"/>
      <c r="P106" s="152"/>
      <c r="Q106" s="151">
        <f t="shared" si="2"/>
        <v>1.32</v>
      </c>
      <c r="S106" s="44" t="s">
        <v>1719</v>
      </c>
      <c r="U106" s="44" t="str">
        <f t="shared" si="3"/>
        <v>ОК</v>
      </c>
    </row>
    <row r="107" spans="1:21" x14ac:dyDescent="0.2">
      <c r="A107" s="148" t="s">
        <v>1770</v>
      </c>
      <c r="B107" s="42">
        <v>105</v>
      </c>
      <c r="C107" s="120">
        <v>180</v>
      </c>
      <c r="D107" s="120">
        <v>170</v>
      </c>
      <c r="E107" s="120">
        <v>110</v>
      </c>
      <c r="F107" s="120">
        <v>110</v>
      </c>
      <c r="G107" s="120"/>
      <c r="H107" s="120"/>
      <c r="I107" s="120"/>
      <c r="J107" s="120"/>
      <c r="K107" s="120"/>
      <c r="L107" s="120"/>
      <c r="M107" s="120"/>
      <c r="N107" s="120"/>
      <c r="O107" s="120"/>
      <c r="P107" s="120"/>
      <c r="Q107" s="149">
        <f t="shared" si="2"/>
        <v>0.56999999999999995</v>
      </c>
      <c r="S107" s="44" t="s">
        <v>1770</v>
      </c>
      <c r="U107" s="44" t="str">
        <f t="shared" si="3"/>
        <v>ОК</v>
      </c>
    </row>
    <row r="108" spans="1:21" x14ac:dyDescent="0.2">
      <c r="A108" s="148" t="s">
        <v>1774</v>
      </c>
      <c r="B108" s="42">
        <v>106</v>
      </c>
      <c r="C108" s="120">
        <v>240</v>
      </c>
      <c r="D108" s="120">
        <v>110</v>
      </c>
      <c r="E108" s="120">
        <v>180</v>
      </c>
      <c r="F108" s="120">
        <v>100</v>
      </c>
      <c r="G108" s="120"/>
      <c r="H108" s="120"/>
      <c r="I108" s="120"/>
      <c r="J108" s="120"/>
      <c r="K108" s="120"/>
      <c r="L108" s="120"/>
      <c r="M108" s="120"/>
      <c r="N108" s="120"/>
      <c r="O108" s="120"/>
      <c r="P108" s="120"/>
      <c r="Q108" s="149">
        <f t="shared" si="2"/>
        <v>0.63</v>
      </c>
      <c r="S108" s="44" t="s">
        <v>1774</v>
      </c>
      <c r="U108" s="44" t="str">
        <f t="shared" si="3"/>
        <v>ОК</v>
      </c>
    </row>
    <row r="109" spans="1:21" x14ac:dyDescent="0.2">
      <c r="A109" s="148" t="s">
        <v>1778</v>
      </c>
      <c r="B109" s="42">
        <v>107</v>
      </c>
      <c r="C109" s="120">
        <v>70</v>
      </c>
      <c r="D109" s="120">
        <v>240</v>
      </c>
      <c r="E109" s="120">
        <v>60</v>
      </c>
      <c r="F109" s="120">
        <v>180</v>
      </c>
      <c r="G109" s="120"/>
      <c r="H109" s="120"/>
      <c r="I109" s="120"/>
      <c r="J109" s="120"/>
      <c r="K109" s="120"/>
      <c r="L109" s="120"/>
      <c r="M109" s="120"/>
      <c r="N109" s="120"/>
      <c r="O109" s="120"/>
      <c r="P109" s="120"/>
      <c r="Q109" s="149">
        <f t="shared" si="2"/>
        <v>0.55000000000000004</v>
      </c>
      <c r="S109" s="44" t="s">
        <v>1778</v>
      </c>
      <c r="U109" s="44" t="str">
        <f t="shared" si="3"/>
        <v>ОК</v>
      </c>
    </row>
    <row r="110" spans="1:21" x14ac:dyDescent="0.2">
      <c r="A110" s="148" t="s">
        <v>1817</v>
      </c>
      <c r="B110" s="42">
        <v>108</v>
      </c>
      <c r="C110" s="120">
        <v>340</v>
      </c>
      <c r="D110" s="120">
        <v>110</v>
      </c>
      <c r="E110" s="120">
        <v>440</v>
      </c>
      <c r="F110" s="120">
        <v>100</v>
      </c>
      <c r="G110" s="120"/>
      <c r="H110" s="120"/>
      <c r="I110" s="120"/>
      <c r="J110" s="120"/>
      <c r="K110" s="120"/>
      <c r="L110" s="120"/>
      <c r="M110" s="120"/>
      <c r="N110" s="120"/>
      <c r="O110" s="120"/>
      <c r="P110" s="120"/>
      <c r="Q110" s="149">
        <f t="shared" si="2"/>
        <v>0.99</v>
      </c>
      <c r="S110" s="44" t="s">
        <v>1817</v>
      </c>
      <c r="U110" s="44" t="str">
        <f t="shared" si="3"/>
        <v>ОК</v>
      </c>
    </row>
    <row r="111" spans="1:21" x14ac:dyDescent="0.2">
      <c r="A111" s="148" t="s">
        <v>1823</v>
      </c>
      <c r="B111" s="42">
        <v>109</v>
      </c>
      <c r="C111" s="120">
        <v>110</v>
      </c>
      <c r="D111" s="120">
        <v>350</v>
      </c>
      <c r="E111" s="120">
        <v>130</v>
      </c>
      <c r="F111" s="120">
        <v>310</v>
      </c>
      <c r="G111" s="120"/>
      <c r="H111" s="120"/>
      <c r="I111" s="120"/>
      <c r="J111" s="120"/>
      <c r="K111" s="120"/>
      <c r="L111" s="120"/>
      <c r="M111" s="120"/>
      <c r="N111" s="120"/>
      <c r="O111" s="120"/>
      <c r="P111" s="120"/>
      <c r="Q111" s="149">
        <f t="shared" si="2"/>
        <v>0.9</v>
      </c>
      <c r="S111" s="44" t="s">
        <v>1823</v>
      </c>
      <c r="U111" s="44" t="str">
        <f t="shared" si="3"/>
        <v>ОК</v>
      </c>
    </row>
    <row r="112" spans="1:21" x14ac:dyDescent="0.2">
      <c r="A112" s="148" t="s">
        <v>1829</v>
      </c>
      <c r="B112" s="42">
        <v>110</v>
      </c>
      <c r="C112" s="120">
        <v>100</v>
      </c>
      <c r="D112" s="120">
        <v>1000</v>
      </c>
      <c r="E112" s="120">
        <v>100</v>
      </c>
      <c r="F112" s="120">
        <v>1000</v>
      </c>
      <c r="G112" s="120"/>
      <c r="H112" s="120"/>
      <c r="I112" s="120"/>
      <c r="J112" s="120"/>
      <c r="K112" s="120"/>
      <c r="L112" s="120"/>
      <c r="M112" s="120"/>
      <c r="N112" s="120"/>
      <c r="O112" s="120"/>
      <c r="P112" s="120"/>
      <c r="Q112" s="149">
        <f t="shared" si="2"/>
        <v>2.2000000000000002</v>
      </c>
      <c r="S112" s="44" t="s">
        <v>1829</v>
      </c>
      <c r="U112" s="44" t="str">
        <f t="shared" si="3"/>
        <v>ОК</v>
      </c>
    </row>
    <row r="113" spans="1:21" x14ac:dyDescent="0.2">
      <c r="A113" s="148" t="s">
        <v>1832</v>
      </c>
      <c r="B113" s="42">
        <v>111</v>
      </c>
      <c r="C113" s="120">
        <v>1000</v>
      </c>
      <c r="D113" s="120">
        <v>100</v>
      </c>
      <c r="E113" s="120">
        <v>1000</v>
      </c>
      <c r="F113" s="120">
        <v>100</v>
      </c>
      <c r="G113" s="120"/>
      <c r="H113" s="120"/>
      <c r="I113" s="120"/>
      <c r="J113" s="120"/>
      <c r="K113" s="120"/>
      <c r="L113" s="120"/>
      <c r="M113" s="120"/>
      <c r="N113" s="120"/>
      <c r="O113" s="120"/>
      <c r="P113" s="120"/>
      <c r="Q113" s="149">
        <f t="shared" si="2"/>
        <v>2.2000000000000002</v>
      </c>
      <c r="S113" s="44" t="s">
        <v>1832</v>
      </c>
      <c r="U113" s="44" t="str">
        <f t="shared" si="3"/>
        <v>ОК</v>
      </c>
    </row>
    <row r="114" spans="1:21" x14ac:dyDescent="0.2">
      <c r="A114" s="148" t="s">
        <v>1835</v>
      </c>
      <c r="B114" s="42">
        <v>112</v>
      </c>
      <c r="C114" s="120">
        <v>1000</v>
      </c>
      <c r="D114" s="120">
        <v>100</v>
      </c>
      <c r="E114" s="120">
        <v>1000</v>
      </c>
      <c r="F114" s="120">
        <v>100</v>
      </c>
      <c r="G114" s="120"/>
      <c r="H114" s="120"/>
      <c r="I114" s="120"/>
      <c r="J114" s="120"/>
      <c r="K114" s="120"/>
      <c r="L114" s="120"/>
      <c r="M114" s="120"/>
      <c r="N114" s="120"/>
      <c r="O114" s="120"/>
      <c r="P114" s="120"/>
      <c r="Q114" s="149">
        <f t="shared" si="2"/>
        <v>2.2000000000000002</v>
      </c>
      <c r="S114" s="44" t="s">
        <v>1835</v>
      </c>
      <c r="U114" s="44" t="str">
        <f t="shared" si="3"/>
        <v>ОК</v>
      </c>
    </row>
    <row r="115" spans="1:21" x14ac:dyDescent="0.2">
      <c r="A115" s="148" t="s">
        <v>2073</v>
      </c>
      <c r="B115" s="42">
        <v>113</v>
      </c>
      <c r="C115" s="120">
        <v>430</v>
      </c>
      <c r="D115" s="120">
        <v>100</v>
      </c>
      <c r="E115" s="120">
        <v>43</v>
      </c>
      <c r="F115" s="120">
        <v>100</v>
      </c>
      <c r="G115" s="120"/>
      <c r="H115" s="120"/>
      <c r="I115" s="120"/>
      <c r="J115" s="120"/>
      <c r="K115" s="120"/>
      <c r="L115" s="120"/>
      <c r="M115" s="120"/>
      <c r="N115" s="120"/>
      <c r="O115" s="120"/>
      <c r="P115" s="120"/>
      <c r="Q115" s="149">
        <f t="shared" si="2"/>
        <v>0.67</v>
      </c>
      <c r="S115" s="44" t="s">
        <v>2073</v>
      </c>
      <c r="U115" s="44" t="str">
        <f t="shared" si="3"/>
        <v>ОК</v>
      </c>
    </row>
    <row r="116" spans="1:21" x14ac:dyDescent="0.2">
      <c r="A116" s="150" t="s">
        <v>2074</v>
      </c>
      <c r="B116" s="42">
        <v>114</v>
      </c>
      <c r="C116" s="152">
        <v>120</v>
      </c>
      <c r="D116" s="152">
        <v>90</v>
      </c>
      <c r="E116" s="152">
        <v>70</v>
      </c>
      <c r="F116" s="152">
        <v>110</v>
      </c>
      <c r="G116" s="152">
        <v>40</v>
      </c>
      <c r="H116" s="152">
        <v>110</v>
      </c>
      <c r="I116" s="152">
        <v>180</v>
      </c>
      <c r="J116" s="152">
        <v>170</v>
      </c>
      <c r="K116" s="152">
        <v>140</v>
      </c>
      <c r="L116" s="152">
        <v>170</v>
      </c>
      <c r="M116" s="152"/>
      <c r="N116" s="152"/>
      <c r="O116" s="152"/>
      <c r="P116" s="152"/>
      <c r="Q116" s="151">
        <f t="shared" si="2"/>
        <v>1.2</v>
      </c>
      <c r="S116" s="44" t="s">
        <v>2074</v>
      </c>
      <c r="U116" s="44" t="str">
        <f t="shared" si="3"/>
        <v>ОК</v>
      </c>
    </row>
    <row r="117" spans="1:21" x14ac:dyDescent="0.2">
      <c r="A117" s="148" t="s">
        <v>910</v>
      </c>
      <c r="B117" s="42">
        <v>115</v>
      </c>
      <c r="C117" s="120">
        <v>100</v>
      </c>
      <c r="D117" s="120">
        <v>360</v>
      </c>
      <c r="E117" s="120">
        <v>100</v>
      </c>
      <c r="F117" s="120">
        <v>360</v>
      </c>
      <c r="G117" s="120"/>
      <c r="H117" s="120"/>
      <c r="I117" s="120"/>
      <c r="J117" s="120"/>
      <c r="K117" s="120"/>
      <c r="L117" s="120"/>
      <c r="M117" s="120"/>
      <c r="N117" s="120"/>
      <c r="O117" s="120"/>
      <c r="P117" s="120"/>
      <c r="Q117" s="149">
        <f t="shared" si="2"/>
        <v>0.92</v>
      </c>
      <c r="S117" s="44" t="s">
        <v>910</v>
      </c>
      <c r="U117" s="44" t="str">
        <f t="shared" si="3"/>
        <v>ОК</v>
      </c>
    </row>
    <row r="118" spans="1:21" x14ac:dyDescent="0.2">
      <c r="A118" s="148" t="s">
        <v>930</v>
      </c>
      <c r="B118" s="42">
        <v>116</v>
      </c>
      <c r="C118" s="120">
        <v>100</v>
      </c>
      <c r="D118" s="120">
        <v>400</v>
      </c>
      <c r="E118" s="120">
        <v>100</v>
      </c>
      <c r="F118" s="120">
        <v>400</v>
      </c>
      <c r="G118" s="120"/>
      <c r="H118" s="120"/>
      <c r="I118" s="120"/>
      <c r="J118" s="120"/>
      <c r="K118" s="120"/>
      <c r="L118" s="120"/>
      <c r="M118" s="120"/>
      <c r="N118" s="120"/>
      <c r="O118" s="120"/>
      <c r="P118" s="120"/>
      <c r="Q118" s="149">
        <f t="shared" si="2"/>
        <v>1</v>
      </c>
      <c r="S118" s="44" t="s">
        <v>930</v>
      </c>
      <c r="U118" s="44" t="str">
        <f t="shared" si="3"/>
        <v>ОК</v>
      </c>
    </row>
    <row r="119" spans="1:21" x14ac:dyDescent="0.2">
      <c r="A119" s="148" t="s">
        <v>1848</v>
      </c>
      <c r="B119" s="42">
        <v>117</v>
      </c>
      <c r="C119" s="120">
        <v>230</v>
      </c>
      <c r="D119" s="120">
        <v>100</v>
      </c>
      <c r="E119" s="120">
        <v>230</v>
      </c>
      <c r="F119" s="120">
        <v>100</v>
      </c>
      <c r="G119" s="120"/>
      <c r="H119" s="120"/>
      <c r="I119" s="120"/>
      <c r="J119" s="120"/>
      <c r="K119" s="120"/>
      <c r="L119" s="120"/>
      <c r="M119" s="120"/>
      <c r="N119" s="120"/>
      <c r="O119" s="120"/>
      <c r="P119" s="120"/>
      <c r="Q119" s="149">
        <f t="shared" si="2"/>
        <v>0.66</v>
      </c>
      <c r="S119" s="44" t="s">
        <v>1848</v>
      </c>
      <c r="U119" s="44" t="str">
        <f t="shared" si="3"/>
        <v>ОК</v>
      </c>
    </row>
    <row r="120" spans="1:21" x14ac:dyDescent="0.2">
      <c r="A120" s="150" t="s">
        <v>1851</v>
      </c>
      <c r="B120" s="42">
        <v>118</v>
      </c>
      <c r="C120" s="152">
        <v>615</v>
      </c>
      <c r="D120" s="152">
        <v>100</v>
      </c>
      <c r="E120" s="152">
        <v>580</v>
      </c>
      <c r="F120" s="152">
        <v>100</v>
      </c>
      <c r="G120" s="152"/>
      <c r="H120" s="152"/>
      <c r="I120" s="152"/>
      <c r="J120" s="152"/>
      <c r="K120" s="152"/>
      <c r="L120" s="152"/>
      <c r="M120" s="152"/>
      <c r="N120" s="152"/>
      <c r="O120" s="152"/>
      <c r="P120" s="152"/>
      <c r="Q120" s="151">
        <f t="shared" si="2"/>
        <v>1.4</v>
      </c>
      <c r="S120" s="44" t="s">
        <v>1851</v>
      </c>
      <c r="U120" s="44" t="str">
        <f t="shared" si="3"/>
        <v>ОК</v>
      </c>
    </row>
    <row r="121" spans="1:21" x14ac:dyDescent="0.2">
      <c r="A121" s="150" t="s">
        <v>1853</v>
      </c>
      <c r="B121" s="42">
        <v>119</v>
      </c>
      <c r="C121" s="152">
        <v>560</v>
      </c>
      <c r="D121" s="152">
        <v>100</v>
      </c>
      <c r="E121" s="152">
        <v>530</v>
      </c>
      <c r="F121" s="152">
        <v>70</v>
      </c>
      <c r="G121" s="152">
        <v>70</v>
      </c>
      <c r="H121" s="152"/>
      <c r="I121" s="152"/>
      <c r="J121" s="152"/>
      <c r="K121" s="152"/>
      <c r="L121" s="152"/>
      <c r="M121" s="152"/>
      <c r="N121" s="152"/>
      <c r="O121" s="152"/>
      <c r="P121" s="152"/>
      <c r="Q121" s="151">
        <f t="shared" si="2"/>
        <v>1.33</v>
      </c>
      <c r="S121" s="44" t="s">
        <v>1853</v>
      </c>
      <c r="U121" s="44" t="str">
        <f t="shared" si="3"/>
        <v>ОК</v>
      </c>
    </row>
    <row r="122" spans="1:21" x14ac:dyDescent="0.2">
      <c r="A122" s="153" t="s">
        <v>1855</v>
      </c>
      <c r="B122" s="42">
        <v>120</v>
      </c>
      <c r="C122" s="152">
        <v>610</v>
      </c>
      <c r="D122" s="152">
        <v>100</v>
      </c>
      <c r="E122" s="152">
        <v>580</v>
      </c>
      <c r="F122" s="152">
        <v>100</v>
      </c>
      <c r="G122" s="152"/>
      <c r="H122" s="152"/>
      <c r="I122" s="152"/>
      <c r="J122" s="152"/>
      <c r="K122" s="152"/>
      <c r="L122" s="152"/>
      <c r="M122" s="152"/>
      <c r="N122" s="152"/>
      <c r="O122" s="152"/>
      <c r="P122" s="152"/>
      <c r="Q122" s="151">
        <f t="shared" si="2"/>
        <v>1.39</v>
      </c>
      <c r="S122" s="44" t="s">
        <v>1855</v>
      </c>
      <c r="U122" s="44" t="str">
        <f t="shared" si="3"/>
        <v>ОК</v>
      </c>
    </row>
    <row r="123" spans="1:21" x14ac:dyDescent="0.2">
      <c r="A123" s="153" t="s">
        <v>1857</v>
      </c>
      <c r="B123" s="42">
        <v>121</v>
      </c>
      <c r="C123" s="152">
        <v>100</v>
      </c>
      <c r="D123" s="152">
        <v>600</v>
      </c>
      <c r="E123" s="152">
        <v>100</v>
      </c>
      <c r="F123" s="152">
        <v>600</v>
      </c>
      <c r="G123" s="152"/>
      <c r="H123" s="152"/>
      <c r="I123" s="152"/>
      <c r="J123" s="152"/>
      <c r="K123" s="152"/>
      <c r="L123" s="152"/>
      <c r="M123" s="152"/>
      <c r="N123" s="152"/>
      <c r="O123" s="152"/>
      <c r="P123" s="152"/>
      <c r="Q123" s="151">
        <f t="shared" si="2"/>
        <v>1.4</v>
      </c>
      <c r="S123" s="44" t="s">
        <v>1857</v>
      </c>
      <c r="U123" s="44" t="str">
        <f t="shared" si="3"/>
        <v>ОК</v>
      </c>
    </row>
    <row r="124" spans="1:21" x14ac:dyDescent="0.2">
      <c r="A124" s="154" t="s">
        <v>2075</v>
      </c>
      <c r="B124" s="42">
        <v>122</v>
      </c>
      <c r="C124" s="120">
        <v>770</v>
      </c>
      <c r="D124" s="120">
        <v>100</v>
      </c>
      <c r="E124" s="120">
        <v>770</v>
      </c>
      <c r="F124" s="120">
        <v>100</v>
      </c>
      <c r="G124" s="120"/>
      <c r="H124" s="120"/>
      <c r="I124" s="120"/>
      <c r="J124" s="120"/>
      <c r="K124" s="120"/>
      <c r="L124" s="120"/>
      <c r="M124" s="120"/>
      <c r="N124" s="120"/>
      <c r="O124" s="120"/>
      <c r="P124" s="120"/>
      <c r="Q124" s="149">
        <f t="shared" si="2"/>
        <v>1.74</v>
      </c>
      <c r="S124" s="44" t="s">
        <v>2075</v>
      </c>
      <c r="U124" s="44" t="str">
        <f t="shared" si="3"/>
        <v>ОК</v>
      </c>
    </row>
    <row r="125" spans="1:21" x14ac:dyDescent="0.2">
      <c r="A125" s="154" t="s">
        <v>2076</v>
      </c>
      <c r="B125" s="42">
        <v>123</v>
      </c>
      <c r="C125" s="120">
        <v>650</v>
      </c>
      <c r="D125" s="120">
        <v>100</v>
      </c>
      <c r="E125" s="120">
        <v>650</v>
      </c>
      <c r="F125" s="120">
        <v>100</v>
      </c>
      <c r="G125" s="120"/>
      <c r="H125" s="120"/>
      <c r="I125" s="120"/>
      <c r="J125" s="120"/>
      <c r="K125" s="120"/>
      <c r="L125" s="120"/>
      <c r="M125" s="120"/>
      <c r="N125" s="120"/>
      <c r="O125" s="120"/>
      <c r="P125" s="120"/>
      <c r="Q125" s="149">
        <f t="shared" si="2"/>
        <v>1.5</v>
      </c>
      <c r="S125" s="44" t="s">
        <v>2076</v>
      </c>
      <c r="U125" s="44" t="str">
        <f t="shared" si="3"/>
        <v>ОК</v>
      </c>
    </row>
    <row r="126" spans="1:21" x14ac:dyDescent="0.2">
      <c r="A126" s="153" t="s">
        <v>2077</v>
      </c>
      <c r="B126" s="42">
        <v>124</v>
      </c>
      <c r="C126" s="152">
        <v>100</v>
      </c>
      <c r="D126" s="152">
        <v>300</v>
      </c>
      <c r="E126" s="152">
        <v>100</v>
      </c>
      <c r="F126" s="152">
        <v>300</v>
      </c>
      <c r="G126" s="152"/>
      <c r="H126" s="152"/>
      <c r="I126" s="152"/>
      <c r="J126" s="152"/>
      <c r="K126" s="152"/>
      <c r="L126" s="152"/>
      <c r="M126" s="152"/>
      <c r="N126" s="152"/>
      <c r="O126" s="152"/>
      <c r="P126" s="152"/>
      <c r="Q126" s="151">
        <f t="shared" si="2"/>
        <v>0.8</v>
      </c>
      <c r="S126" s="44" t="s">
        <v>2077</v>
      </c>
      <c r="U126" s="44" t="str">
        <f t="shared" si="3"/>
        <v>ОК</v>
      </c>
    </row>
    <row r="127" spans="1:21" x14ac:dyDescent="0.2">
      <c r="A127" s="154" t="s">
        <v>1871</v>
      </c>
      <c r="B127" s="42">
        <v>125</v>
      </c>
      <c r="C127" s="120">
        <v>60</v>
      </c>
      <c r="D127" s="120">
        <v>90</v>
      </c>
      <c r="E127" s="120">
        <v>50</v>
      </c>
      <c r="F127" s="120">
        <v>60</v>
      </c>
      <c r="G127" s="120">
        <v>70</v>
      </c>
      <c r="H127" s="120">
        <v>150</v>
      </c>
      <c r="I127" s="120">
        <v>150</v>
      </c>
      <c r="J127" s="120">
        <v>150</v>
      </c>
      <c r="K127" s="120">
        <v>50</v>
      </c>
      <c r="L127" s="120">
        <v>200</v>
      </c>
      <c r="M127" s="120">
        <v>90</v>
      </c>
      <c r="N127" s="120">
        <v>150</v>
      </c>
      <c r="O127" s="120">
        <v>460</v>
      </c>
      <c r="P127" s="120">
        <v>110</v>
      </c>
      <c r="Q127" s="149">
        <f t="shared" si="2"/>
        <v>1.84</v>
      </c>
      <c r="S127" s="44" t="s">
        <v>1871</v>
      </c>
      <c r="U127" s="44" t="str">
        <f t="shared" si="3"/>
        <v>ОК</v>
      </c>
    </row>
    <row r="128" spans="1:21" x14ac:dyDescent="0.2">
      <c r="A128" s="154" t="s">
        <v>963</v>
      </c>
      <c r="B128" s="42">
        <v>126</v>
      </c>
      <c r="C128" s="120">
        <v>100</v>
      </c>
      <c r="D128" s="120">
        <v>720</v>
      </c>
      <c r="E128" s="120">
        <v>100</v>
      </c>
      <c r="F128" s="120">
        <v>720</v>
      </c>
      <c r="G128" s="120"/>
      <c r="H128" s="120"/>
      <c r="I128" s="120"/>
      <c r="J128" s="120"/>
      <c r="K128" s="120"/>
      <c r="L128" s="120"/>
      <c r="M128" s="120"/>
      <c r="N128" s="120"/>
      <c r="O128" s="120"/>
      <c r="P128" s="120"/>
      <c r="Q128" s="149">
        <f t="shared" si="2"/>
        <v>1.64</v>
      </c>
      <c r="S128" s="44" t="s">
        <v>963</v>
      </c>
      <c r="U128" s="44" t="str">
        <f t="shared" si="3"/>
        <v>ОК</v>
      </c>
    </row>
    <row r="129" spans="1:21" x14ac:dyDescent="0.2">
      <c r="A129" s="154" t="s">
        <v>2078</v>
      </c>
      <c r="B129" s="42">
        <v>127</v>
      </c>
      <c r="C129" s="120">
        <v>450</v>
      </c>
      <c r="D129" s="120">
        <v>100</v>
      </c>
      <c r="E129" s="120">
        <v>450</v>
      </c>
      <c r="F129" s="120">
        <v>100</v>
      </c>
      <c r="G129" s="120"/>
      <c r="H129" s="120"/>
      <c r="I129" s="120"/>
      <c r="J129" s="120"/>
      <c r="K129" s="120"/>
      <c r="L129" s="120"/>
      <c r="M129" s="120"/>
      <c r="N129" s="120"/>
      <c r="O129" s="120"/>
      <c r="P129" s="120"/>
      <c r="Q129" s="149">
        <f t="shared" si="2"/>
        <v>1.1000000000000001</v>
      </c>
      <c r="S129" s="44" t="s">
        <v>2078</v>
      </c>
      <c r="U129" s="44" t="str">
        <f t="shared" si="3"/>
        <v>ОК</v>
      </c>
    </row>
    <row r="130" spans="1:21" x14ac:dyDescent="0.2">
      <c r="A130" s="154" t="s">
        <v>1884</v>
      </c>
      <c r="B130" s="42">
        <v>128</v>
      </c>
      <c r="C130" s="120">
        <v>750</v>
      </c>
      <c r="D130" s="120">
        <v>100</v>
      </c>
      <c r="E130" s="120">
        <v>750</v>
      </c>
      <c r="F130" s="120">
        <v>100</v>
      </c>
      <c r="G130" s="120"/>
      <c r="H130" s="120"/>
      <c r="I130" s="120"/>
      <c r="J130" s="120"/>
      <c r="K130" s="120"/>
      <c r="L130" s="120"/>
      <c r="M130" s="120"/>
      <c r="N130" s="120"/>
      <c r="O130" s="120"/>
      <c r="P130" s="120"/>
      <c r="Q130" s="149">
        <f t="shared" si="2"/>
        <v>1.7</v>
      </c>
      <c r="S130" s="44" t="s">
        <v>1884</v>
      </c>
      <c r="U130" s="44" t="str">
        <f t="shared" si="3"/>
        <v>ОК</v>
      </c>
    </row>
    <row r="131" spans="1:21" x14ac:dyDescent="0.2">
      <c r="A131" s="154" t="s">
        <v>1887</v>
      </c>
      <c r="B131" s="42">
        <v>129</v>
      </c>
      <c r="C131" s="120">
        <v>450</v>
      </c>
      <c r="D131" s="120">
        <v>100</v>
      </c>
      <c r="E131" s="120">
        <v>450</v>
      </c>
      <c r="F131" s="120">
        <v>100</v>
      </c>
      <c r="G131" s="120"/>
      <c r="H131" s="120"/>
      <c r="I131" s="120"/>
      <c r="J131" s="120"/>
      <c r="K131" s="120"/>
      <c r="L131" s="120"/>
      <c r="M131" s="120"/>
      <c r="N131" s="120"/>
      <c r="O131" s="120"/>
      <c r="P131" s="120"/>
      <c r="Q131" s="149">
        <f t="shared" ref="Q131:Q158" si="4">ROUND(SUM(C131:P131)/1000,2)</f>
        <v>1.1000000000000001</v>
      </c>
      <c r="S131" s="44" t="s">
        <v>1887</v>
      </c>
      <c r="U131" s="44" t="str">
        <f t="shared" ref="U131:U157" si="5">IF(S131=A131,"ОК","")</f>
        <v>ОК</v>
      </c>
    </row>
    <row r="132" spans="1:21" x14ac:dyDescent="0.2">
      <c r="A132" s="154" t="s">
        <v>1890</v>
      </c>
      <c r="B132" s="42">
        <v>130</v>
      </c>
      <c r="C132" s="120">
        <v>700</v>
      </c>
      <c r="D132" s="120">
        <v>100</v>
      </c>
      <c r="E132" s="120">
        <v>700</v>
      </c>
      <c r="F132" s="120">
        <v>100</v>
      </c>
      <c r="G132" s="120"/>
      <c r="H132" s="120"/>
      <c r="I132" s="120"/>
      <c r="J132" s="120"/>
      <c r="K132" s="120"/>
      <c r="L132" s="120"/>
      <c r="M132" s="120"/>
      <c r="N132" s="120"/>
      <c r="O132" s="120"/>
      <c r="P132" s="120"/>
      <c r="Q132" s="149">
        <f t="shared" si="4"/>
        <v>1.6</v>
      </c>
      <c r="S132" s="44" t="s">
        <v>1890</v>
      </c>
      <c r="U132" s="44" t="str">
        <f t="shared" si="5"/>
        <v>ОК</v>
      </c>
    </row>
    <row r="133" spans="1:21" x14ac:dyDescent="0.2">
      <c r="A133" s="154" t="s">
        <v>1893</v>
      </c>
      <c r="B133" s="42">
        <v>131</v>
      </c>
      <c r="C133" s="120">
        <v>570</v>
      </c>
      <c r="D133" s="120">
        <v>100</v>
      </c>
      <c r="E133" s="120">
        <v>570</v>
      </c>
      <c r="F133" s="120">
        <v>100</v>
      </c>
      <c r="G133" s="120"/>
      <c r="H133" s="120"/>
      <c r="I133" s="120"/>
      <c r="J133" s="120"/>
      <c r="K133" s="120"/>
      <c r="L133" s="120"/>
      <c r="M133" s="120"/>
      <c r="N133" s="120"/>
      <c r="O133" s="120"/>
      <c r="P133" s="120"/>
      <c r="Q133" s="149">
        <f t="shared" si="4"/>
        <v>1.34</v>
      </c>
      <c r="S133" s="44" t="s">
        <v>1893</v>
      </c>
      <c r="U133" s="44" t="str">
        <f t="shared" si="5"/>
        <v>ОК</v>
      </c>
    </row>
    <row r="134" spans="1:21" x14ac:dyDescent="0.2">
      <c r="A134" s="153" t="s">
        <v>1896</v>
      </c>
      <c r="B134" s="42">
        <v>132</v>
      </c>
      <c r="C134" s="152">
        <v>200</v>
      </c>
      <c r="D134" s="152">
        <v>100</v>
      </c>
      <c r="E134" s="152">
        <v>200</v>
      </c>
      <c r="F134" s="152">
        <v>100</v>
      </c>
      <c r="G134" s="152"/>
      <c r="H134" s="152"/>
      <c r="I134" s="152"/>
      <c r="J134" s="152"/>
      <c r="K134" s="152"/>
      <c r="L134" s="152"/>
      <c r="M134" s="152"/>
      <c r="N134" s="152"/>
      <c r="O134" s="152"/>
      <c r="P134" s="152"/>
      <c r="Q134" s="151">
        <f t="shared" si="4"/>
        <v>0.6</v>
      </c>
      <c r="S134" s="44" t="s">
        <v>1896</v>
      </c>
      <c r="U134" s="44" t="str">
        <f t="shared" si="5"/>
        <v>ОК</v>
      </c>
    </row>
    <row r="135" spans="1:21" x14ac:dyDescent="0.2">
      <c r="A135" s="153" t="s">
        <v>1901</v>
      </c>
      <c r="B135" s="42">
        <v>133</v>
      </c>
      <c r="C135" s="152">
        <v>550</v>
      </c>
      <c r="D135" s="152">
        <v>80</v>
      </c>
      <c r="E135" s="152">
        <v>550</v>
      </c>
      <c r="F135" s="152">
        <v>80</v>
      </c>
      <c r="G135" s="152"/>
      <c r="H135" s="152"/>
      <c r="I135" s="152"/>
      <c r="J135" s="152"/>
      <c r="K135" s="152"/>
      <c r="L135" s="152"/>
      <c r="M135" s="152"/>
      <c r="N135" s="152"/>
      <c r="O135" s="152"/>
      <c r="P135" s="152"/>
      <c r="Q135" s="151">
        <f t="shared" si="4"/>
        <v>1.26</v>
      </c>
      <c r="S135" s="44" t="s">
        <v>1901</v>
      </c>
      <c r="U135" s="44" t="str">
        <f t="shared" si="5"/>
        <v>ОК</v>
      </c>
    </row>
    <row r="136" spans="1:21" x14ac:dyDescent="0.2">
      <c r="A136" s="154" t="s">
        <v>1906</v>
      </c>
      <c r="B136" s="42">
        <v>134</v>
      </c>
      <c r="C136" s="120">
        <v>590</v>
      </c>
      <c r="D136" s="120">
        <v>180</v>
      </c>
      <c r="E136" s="120">
        <v>200</v>
      </c>
      <c r="F136" s="120">
        <v>440</v>
      </c>
      <c r="G136" s="120">
        <v>110</v>
      </c>
      <c r="H136" s="120"/>
      <c r="I136" s="120"/>
      <c r="J136" s="120"/>
      <c r="K136" s="120"/>
      <c r="L136" s="120"/>
      <c r="M136" s="120"/>
      <c r="N136" s="120"/>
      <c r="O136" s="120"/>
      <c r="P136" s="120"/>
      <c r="Q136" s="149">
        <f t="shared" si="4"/>
        <v>1.52</v>
      </c>
      <c r="S136" s="44" t="s">
        <v>1906</v>
      </c>
      <c r="U136" s="44" t="str">
        <f t="shared" si="5"/>
        <v>ОК</v>
      </c>
    </row>
    <row r="137" spans="1:21" x14ac:dyDescent="0.2">
      <c r="A137" s="153" t="s">
        <v>1909</v>
      </c>
      <c r="B137" s="42">
        <v>135</v>
      </c>
      <c r="C137" s="152">
        <v>210</v>
      </c>
      <c r="D137" s="152">
        <v>50</v>
      </c>
      <c r="E137" s="152">
        <v>80</v>
      </c>
      <c r="F137" s="152">
        <v>150</v>
      </c>
      <c r="G137" s="152">
        <v>50</v>
      </c>
      <c r="H137" s="152">
        <v>150</v>
      </c>
      <c r="I137" s="152">
        <v>320</v>
      </c>
      <c r="J137" s="152"/>
      <c r="K137" s="152"/>
      <c r="L137" s="152"/>
      <c r="M137" s="152"/>
      <c r="N137" s="152"/>
      <c r="O137" s="152"/>
      <c r="P137" s="152"/>
      <c r="Q137" s="151">
        <f t="shared" si="4"/>
        <v>1.01</v>
      </c>
      <c r="S137" s="44" t="s">
        <v>1909</v>
      </c>
      <c r="U137" s="44" t="str">
        <f t="shared" si="5"/>
        <v>ОК</v>
      </c>
    </row>
    <row r="138" spans="1:21" x14ac:dyDescent="0.2">
      <c r="A138" s="154" t="s">
        <v>1911</v>
      </c>
      <c r="B138" s="42">
        <v>136</v>
      </c>
      <c r="C138" s="120">
        <v>1000</v>
      </c>
      <c r="D138" s="120">
        <v>100</v>
      </c>
      <c r="E138" s="120">
        <v>1000</v>
      </c>
      <c r="F138" s="120">
        <v>100</v>
      </c>
      <c r="G138" s="120"/>
      <c r="H138" s="120"/>
      <c r="I138" s="120"/>
      <c r="J138" s="120"/>
      <c r="K138" s="120"/>
      <c r="L138" s="120"/>
      <c r="M138" s="120"/>
      <c r="N138" s="120"/>
      <c r="O138" s="120"/>
      <c r="P138" s="120"/>
      <c r="Q138" s="149">
        <f t="shared" si="4"/>
        <v>2.2000000000000002</v>
      </c>
      <c r="S138" s="44" t="s">
        <v>1911</v>
      </c>
      <c r="U138" s="44" t="str">
        <f t="shared" si="5"/>
        <v>ОК</v>
      </c>
    </row>
    <row r="139" spans="1:21" x14ac:dyDescent="0.2">
      <c r="A139" s="154" t="s">
        <v>1914</v>
      </c>
      <c r="B139" s="42">
        <v>137</v>
      </c>
      <c r="C139" s="120">
        <v>1000</v>
      </c>
      <c r="D139" s="120">
        <v>100</v>
      </c>
      <c r="E139" s="120">
        <v>1000</v>
      </c>
      <c r="F139" s="120">
        <v>100</v>
      </c>
      <c r="G139" s="120"/>
      <c r="H139" s="120"/>
      <c r="I139" s="120"/>
      <c r="J139" s="120"/>
      <c r="K139" s="120"/>
      <c r="L139" s="120"/>
      <c r="M139" s="120"/>
      <c r="N139" s="120"/>
      <c r="O139" s="120"/>
      <c r="P139" s="120"/>
      <c r="Q139" s="149">
        <f t="shared" si="4"/>
        <v>2.2000000000000002</v>
      </c>
      <c r="S139" s="44" t="s">
        <v>1914</v>
      </c>
      <c r="U139" s="44" t="str">
        <f t="shared" si="5"/>
        <v>ОК</v>
      </c>
    </row>
    <row r="140" spans="1:21" x14ac:dyDescent="0.2">
      <c r="A140" s="154" t="s">
        <v>1917</v>
      </c>
      <c r="B140" s="42">
        <v>138</v>
      </c>
      <c r="C140" s="120">
        <v>140</v>
      </c>
      <c r="D140" s="120">
        <v>240</v>
      </c>
      <c r="E140" s="120">
        <v>180</v>
      </c>
      <c r="F140" s="120">
        <v>340</v>
      </c>
      <c r="G140" s="120"/>
      <c r="H140" s="120"/>
      <c r="I140" s="120"/>
      <c r="J140" s="120"/>
      <c r="K140" s="120"/>
      <c r="L140" s="120"/>
      <c r="M140" s="120"/>
      <c r="N140" s="120"/>
      <c r="O140" s="120"/>
      <c r="P140" s="120"/>
      <c r="Q140" s="149">
        <f t="shared" si="4"/>
        <v>0.9</v>
      </c>
      <c r="S140" s="44" t="s">
        <v>1917</v>
      </c>
      <c r="U140" s="44" t="str">
        <f t="shared" si="5"/>
        <v>ОК</v>
      </c>
    </row>
    <row r="141" spans="1:21" x14ac:dyDescent="0.2">
      <c r="A141" s="154" t="s">
        <v>1945</v>
      </c>
      <c r="B141" s="42">
        <v>139</v>
      </c>
      <c r="C141" s="120">
        <v>110</v>
      </c>
      <c r="D141" s="120">
        <v>190</v>
      </c>
      <c r="E141" s="120">
        <v>100</v>
      </c>
      <c r="F141" s="120">
        <v>170</v>
      </c>
      <c r="G141" s="120"/>
      <c r="H141" s="120"/>
      <c r="I141" s="120"/>
      <c r="J141" s="120"/>
      <c r="K141" s="120"/>
      <c r="L141" s="120"/>
      <c r="M141" s="120"/>
      <c r="N141" s="120"/>
      <c r="O141" s="120"/>
      <c r="P141" s="120"/>
      <c r="Q141" s="149">
        <f t="shared" si="4"/>
        <v>0.56999999999999995</v>
      </c>
      <c r="S141" s="44" t="s">
        <v>1945</v>
      </c>
      <c r="U141" s="44" t="str">
        <f t="shared" si="5"/>
        <v>ОК</v>
      </c>
    </row>
    <row r="142" spans="1:21" x14ac:dyDescent="0.2">
      <c r="A142" s="154" t="s">
        <v>1949</v>
      </c>
      <c r="B142" s="42">
        <v>140</v>
      </c>
      <c r="C142" s="120">
        <v>300</v>
      </c>
      <c r="D142" s="120">
        <v>150</v>
      </c>
      <c r="E142" s="120">
        <v>140</v>
      </c>
      <c r="F142" s="120">
        <v>270</v>
      </c>
      <c r="G142" s="120">
        <v>90</v>
      </c>
      <c r="H142" s="120">
        <v>220</v>
      </c>
      <c r="I142" s="120"/>
      <c r="J142" s="120"/>
      <c r="K142" s="120"/>
      <c r="L142" s="120"/>
      <c r="M142" s="120"/>
      <c r="N142" s="120"/>
      <c r="O142" s="120"/>
      <c r="P142" s="120"/>
      <c r="Q142" s="149">
        <f t="shared" si="4"/>
        <v>1.17</v>
      </c>
      <c r="S142" s="44" t="s">
        <v>1949</v>
      </c>
      <c r="U142" s="44" t="str">
        <f t="shared" si="5"/>
        <v>ОК</v>
      </c>
    </row>
    <row r="143" spans="1:21" x14ac:dyDescent="0.2">
      <c r="A143" s="154" t="s">
        <v>2079</v>
      </c>
      <c r="B143" s="42">
        <v>141</v>
      </c>
      <c r="C143" s="120">
        <v>100</v>
      </c>
      <c r="D143" s="120">
        <v>300</v>
      </c>
      <c r="E143" s="120">
        <v>100</v>
      </c>
      <c r="F143" s="120">
        <v>300</v>
      </c>
      <c r="G143" s="120"/>
      <c r="H143" s="120"/>
      <c r="I143" s="120"/>
      <c r="J143" s="120"/>
      <c r="K143" s="120"/>
      <c r="L143" s="120"/>
      <c r="M143" s="120"/>
      <c r="N143" s="120"/>
      <c r="O143" s="120"/>
      <c r="P143" s="120"/>
      <c r="Q143" s="149">
        <f t="shared" si="4"/>
        <v>0.8</v>
      </c>
      <c r="S143" s="44" t="s">
        <v>2079</v>
      </c>
      <c r="U143" s="44" t="str">
        <f t="shared" si="5"/>
        <v>ОК</v>
      </c>
    </row>
    <row r="144" spans="1:21" x14ac:dyDescent="0.2">
      <c r="A144" s="154" t="s">
        <v>1952</v>
      </c>
      <c r="B144" s="42">
        <v>142</v>
      </c>
      <c r="C144" s="120">
        <v>170</v>
      </c>
      <c r="D144" s="120">
        <v>70</v>
      </c>
      <c r="E144" s="120">
        <v>110</v>
      </c>
      <c r="F144" s="120">
        <v>220</v>
      </c>
      <c r="G144" s="120">
        <v>170</v>
      </c>
      <c r="H144" s="120"/>
      <c r="I144" s="120"/>
      <c r="J144" s="120"/>
      <c r="K144" s="120"/>
      <c r="L144" s="120"/>
      <c r="M144" s="120"/>
      <c r="N144" s="120"/>
      <c r="O144" s="120"/>
      <c r="P144" s="120"/>
      <c r="Q144" s="149">
        <f t="shared" si="4"/>
        <v>0.74</v>
      </c>
      <c r="S144" s="44" t="s">
        <v>1952</v>
      </c>
      <c r="U144" s="44" t="str">
        <f t="shared" si="5"/>
        <v>ОК</v>
      </c>
    </row>
    <row r="145" spans="1:21" x14ac:dyDescent="0.2">
      <c r="A145" s="154" t="s">
        <v>2080</v>
      </c>
      <c r="B145" s="42">
        <v>143</v>
      </c>
      <c r="C145" s="120">
        <v>12</v>
      </c>
      <c r="D145" s="120">
        <v>80</v>
      </c>
      <c r="E145" s="120">
        <v>190</v>
      </c>
      <c r="F145" s="120">
        <v>250</v>
      </c>
      <c r="G145" s="120"/>
      <c r="H145" s="120"/>
      <c r="I145" s="120"/>
      <c r="J145" s="120"/>
      <c r="K145" s="120"/>
      <c r="L145" s="120"/>
      <c r="M145" s="120"/>
      <c r="N145" s="120"/>
      <c r="O145" s="120"/>
      <c r="P145" s="120"/>
      <c r="Q145" s="149">
        <f t="shared" si="4"/>
        <v>0.53</v>
      </c>
      <c r="S145" s="44" t="s">
        <v>2080</v>
      </c>
      <c r="U145" s="44" t="str">
        <f t="shared" si="5"/>
        <v>ОК</v>
      </c>
    </row>
    <row r="146" spans="1:21" x14ac:dyDescent="0.2">
      <c r="A146" s="154" t="s">
        <v>2081</v>
      </c>
      <c r="B146" s="42">
        <v>144</v>
      </c>
      <c r="C146" s="120">
        <v>260</v>
      </c>
      <c r="D146" s="120">
        <v>150</v>
      </c>
      <c r="E146" s="120">
        <v>270</v>
      </c>
      <c r="F146" s="120">
        <v>100</v>
      </c>
      <c r="G146" s="120"/>
      <c r="H146" s="120"/>
      <c r="I146" s="120"/>
      <c r="J146" s="120"/>
      <c r="K146" s="120"/>
      <c r="L146" s="120"/>
      <c r="M146" s="120"/>
      <c r="N146" s="120"/>
      <c r="O146" s="120"/>
      <c r="P146" s="120"/>
      <c r="Q146" s="149">
        <f t="shared" si="4"/>
        <v>0.78</v>
      </c>
      <c r="S146" s="44" t="s">
        <v>2081</v>
      </c>
      <c r="U146" s="44" t="str">
        <f t="shared" si="5"/>
        <v>ОК</v>
      </c>
    </row>
    <row r="147" spans="1:21" x14ac:dyDescent="0.2">
      <c r="A147" s="153" t="s">
        <v>2082</v>
      </c>
      <c r="B147" s="42">
        <v>145</v>
      </c>
      <c r="C147" s="152">
        <v>220</v>
      </c>
      <c r="D147" s="152">
        <v>100</v>
      </c>
      <c r="E147" s="152">
        <v>290</v>
      </c>
      <c r="F147" s="152">
        <v>100</v>
      </c>
      <c r="G147" s="152"/>
      <c r="H147" s="152"/>
      <c r="I147" s="152"/>
      <c r="J147" s="152"/>
      <c r="K147" s="152"/>
      <c r="L147" s="152"/>
      <c r="M147" s="152"/>
      <c r="N147" s="152"/>
      <c r="O147" s="152"/>
      <c r="P147" s="152"/>
      <c r="Q147" s="151">
        <f t="shared" si="4"/>
        <v>0.71</v>
      </c>
      <c r="S147" s="44" t="s">
        <v>2082</v>
      </c>
      <c r="U147" s="44" t="str">
        <f t="shared" si="5"/>
        <v>ОК</v>
      </c>
    </row>
    <row r="148" spans="1:21" x14ac:dyDescent="0.2">
      <c r="A148" s="154" t="s">
        <v>2083</v>
      </c>
      <c r="B148" s="42">
        <v>146</v>
      </c>
      <c r="C148" s="120">
        <v>40</v>
      </c>
      <c r="D148" s="120">
        <v>80</v>
      </c>
      <c r="E148" s="120">
        <v>50</v>
      </c>
      <c r="F148" s="120">
        <v>155</v>
      </c>
      <c r="G148" s="120">
        <v>115</v>
      </c>
      <c r="H148" s="120">
        <v>30</v>
      </c>
      <c r="I148" s="120">
        <v>140</v>
      </c>
      <c r="J148" s="120">
        <v>40</v>
      </c>
      <c r="K148" s="120">
        <v>110</v>
      </c>
      <c r="L148" s="120">
        <v>30</v>
      </c>
      <c r="M148" s="120"/>
      <c r="N148" s="120"/>
      <c r="O148" s="120"/>
      <c r="P148" s="120"/>
      <c r="Q148" s="149">
        <f t="shared" si="4"/>
        <v>0.79</v>
      </c>
      <c r="S148" s="44" t="s">
        <v>2083</v>
      </c>
      <c r="U148" s="44" t="str">
        <f t="shared" si="5"/>
        <v>ОК</v>
      </c>
    </row>
    <row r="149" spans="1:21" x14ac:dyDescent="0.2">
      <c r="A149" s="155" t="s">
        <v>2004</v>
      </c>
      <c r="B149" s="42">
        <v>147</v>
      </c>
      <c r="C149" s="152">
        <v>80</v>
      </c>
      <c r="D149" s="152">
        <v>20</v>
      </c>
      <c r="E149" s="152">
        <v>40</v>
      </c>
      <c r="F149" s="152">
        <v>60</v>
      </c>
      <c r="G149" s="152">
        <v>80</v>
      </c>
      <c r="H149" s="152">
        <v>120</v>
      </c>
      <c r="I149" s="152"/>
      <c r="J149" s="152"/>
      <c r="K149" s="152"/>
      <c r="L149" s="152"/>
      <c r="M149" s="152"/>
      <c r="N149" s="152"/>
      <c r="O149" s="152"/>
      <c r="P149" s="152"/>
      <c r="Q149" s="151">
        <f t="shared" si="4"/>
        <v>0.4</v>
      </c>
      <c r="S149" s="44" t="s">
        <v>2004</v>
      </c>
      <c r="U149" s="44" t="str">
        <f t="shared" si="5"/>
        <v>ОК</v>
      </c>
    </row>
    <row r="150" spans="1:21" x14ac:dyDescent="0.2">
      <c r="A150" s="156" t="s">
        <v>2084</v>
      </c>
      <c r="B150" s="42">
        <v>148</v>
      </c>
      <c r="C150" s="120">
        <v>70</v>
      </c>
      <c r="D150" s="120">
        <v>120</v>
      </c>
      <c r="E150" s="120">
        <v>65</v>
      </c>
      <c r="F150" s="120">
        <v>90</v>
      </c>
      <c r="G150" s="120">
        <v>70</v>
      </c>
      <c r="H150" s="120">
        <v>40</v>
      </c>
      <c r="I150" s="120"/>
      <c r="J150" s="120"/>
      <c r="K150" s="120"/>
      <c r="L150" s="120"/>
      <c r="M150" s="120"/>
      <c r="N150" s="120"/>
      <c r="O150" s="120"/>
      <c r="P150" s="120"/>
      <c r="Q150" s="149">
        <f t="shared" si="4"/>
        <v>0.46</v>
      </c>
      <c r="S150" s="44" t="s">
        <v>2084</v>
      </c>
      <c r="U150" s="44" t="str">
        <f t="shared" si="5"/>
        <v>ОК</v>
      </c>
    </row>
    <row r="151" spans="1:21" x14ac:dyDescent="0.2">
      <c r="A151" s="156" t="s">
        <v>2010</v>
      </c>
      <c r="B151" s="42">
        <v>149</v>
      </c>
      <c r="C151" s="120">
        <v>350</v>
      </c>
      <c r="D151" s="120">
        <v>100</v>
      </c>
      <c r="E151" s="120">
        <v>350</v>
      </c>
      <c r="F151" s="120">
        <v>100</v>
      </c>
      <c r="G151" s="120"/>
      <c r="H151" s="120"/>
      <c r="I151" s="120"/>
      <c r="J151" s="120"/>
      <c r="K151" s="120"/>
      <c r="L151" s="120"/>
      <c r="M151" s="120"/>
      <c r="N151" s="120"/>
      <c r="O151" s="120"/>
      <c r="P151" s="120"/>
      <c r="Q151" s="149">
        <f t="shared" si="4"/>
        <v>0.9</v>
      </c>
      <c r="S151" s="44" t="s">
        <v>2010</v>
      </c>
      <c r="U151" s="44" t="str">
        <f t="shared" si="5"/>
        <v>ОК</v>
      </c>
    </row>
    <row r="152" spans="1:21" x14ac:dyDescent="0.2">
      <c r="A152" s="155" t="s">
        <v>2013</v>
      </c>
      <c r="B152" s="42">
        <v>150</v>
      </c>
      <c r="C152" s="152">
        <v>230</v>
      </c>
      <c r="D152" s="152">
        <v>100</v>
      </c>
      <c r="E152" s="152">
        <v>240</v>
      </c>
      <c r="F152" s="152">
        <v>100</v>
      </c>
      <c r="G152" s="152"/>
      <c r="H152" s="152"/>
      <c r="I152" s="152"/>
      <c r="J152" s="152"/>
      <c r="K152" s="152"/>
      <c r="L152" s="152"/>
      <c r="M152" s="152"/>
      <c r="N152" s="152"/>
      <c r="O152" s="152"/>
      <c r="P152" s="152"/>
      <c r="Q152" s="151">
        <f t="shared" si="4"/>
        <v>0.67</v>
      </c>
      <c r="S152" s="44" t="s">
        <v>2013</v>
      </c>
      <c r="U152" s="44" t="str">
        <f t="shared" si="5"/>
        <v>ОК</v>
      </c>
    </row>
    <row r="153" spans="1:21" x14ac:dyDescent="0.2">
      <c r="A153" s="156" t="s">
        <v>2016</v>
      </c>
      <c r="B153" s="42">
        <v>151</v>
      </c>
      <c r="C153" s="120">
        <v>240</v>
      </c>
      <c r="D153" s="120">
        <v>90</v>
      </c>
      <c r="E153" s="120">
        <v>200</v>
      </c>
      <c r="F153" s="120">
        <v>90</v>
      </c>
      <c r="G153" s="120"/>
      <c r="H153" s="120"/>
      <c r="I153" s="120"/>
      <c r="J153" s="120"/>
      <c r="K153" s="120"/>
      <c r="L153" s="120"/>
      <c r="M153" s="120"/>
      <c r="N153" s="120"/>
      <c r="O153" s="120"/>
      <c r="P153" s="120"/>
      <c r="Q153" s="149">
        <f t="shared" si="4"/>
        <v>0.62</v>
      </c>
      <c r="S153" s="44" t="s">
        <v>2016</v>
      </c>
      <c r="U153" s="44" t="str">
        <f t="shared" si="5"/>
        <v>ОК</v>
      </c>
    </row>
    <row r="154" spans="1:21" x14ac:dyDescent="0.2">
      <c r="A154" s="156" t="s">
        <v>1012</v>
      </c>
      <c r="B154" s="42">
        <v>152</v>
      </c>
      <c r="C154" s="120">
        <v>100</v>
      </c>
      <c r="D154" s="120">
        <v>1000</v>
      </c>
      <c r="E154" s="120">
        <v>100</v>
      </c>
      <c r="F154" s="120">
        <v>1000</v>
      </c>
      <c r="G154" s="120"/>
      <c r="H154" s="120"/>
      <c r="I154" s="120"/>
      <c r="J154" s="120"/>
      <c r="K154" s="120"/>
      <c r="L154" s="120"/>
      <c r="M154" s="120"/>
      <c r="N154" s="120"/>
      <c r="O154" s="120"/>
      <c r="P154" s="120"/>
      <c r="Q154" s="149">
        <f t="shared" si="4"/>
        <v>2.2000000000000002</v>
      </c>
      <c r="S154" s="44" t="s">
        <v>1012</v>
      </c>
      <c r="U154" s="44" t="str">
        <f t="shared" si="5"/>
        <v>ОК</v>
      </c>
    </row>
    <row r="155" spans="1:21" x14ac:dyDescent="0.2">
      <c r="A155" s="155" t="s">
        <v>2085</v>
      </c>
      <c r="B155" s="42">
        <v>153</v>
      </c>
      <c r="C155" s="152">
        <v>1000</v>
      </c>
      <c r="D155" s="152">
        <v>100</v>
      </c>
      <c r="E155" s="152">
        <v>1000</v>
      </c>
      <c r="F155" s="152">
        <v>100</v>
      </c>
      <c r="G155" s="152"/>
      <c r="H155" s="152"/>
      <c r="I155" s="152"/>
      <c r="J155" s="152"/>
      <c r="K155" s="152"/>
      <c r="L155" s="152"/>
      <c r="M155" s="152"/>
      <c r="N155" s="152"/>
      <c r="O155" s="152"/>
      <c r="P155" s="152"/>
      <c r="Q155" s="151">
        <f t="shared" si="4"/>
        <v>2.2000000000000002</v>
      </c>
      <c r="S155" s="44" t="s">
        <v>2085</v>
      </c>
      <c r="U155" s="44" t="str">
        <f t="shared" si="5"/>
        <v>ОК</v>
      </c>
    </row>
    <row r="156" spans="1:21" x14ac:dyDescent="0.2">
      <c r="A156" s="156" t="s">
        <v>2022</v>
      </c>
      <c r="B156" s="42">
        <v>154</v>
      </c>
      <c r="C156" s="120">
        <v>570</v>
      </c>
      <c r="D156" s="120">
        <v>100</v>
      </c>
      <c r="E156" s="120">
        <v>570</v>
      </c>
      <c r="F156" s="120">
        <v>100</v>
      </c>
      <c r="G156" s="120"/>
      <c r="H156" s="120"/>
      <c r="I156" s="120"/>
      <c r="J156" s="120"/>
      <c r="K156" s="120"/>
      <c r="L156" s="120"/>
      <c r="M156" s="120"/>
      <c r="N156" s="120"/>
      <c r="O156" s="120"/>
      <c r="P156" s="120"/>
      <c r="Q156" s="149">
        <f t="shared" si="4"/>
        <v>1.34</v>
      </c>
      <c r="S156" s="44" t="s">
        <v>2022</v>
      </c>
      <c r="U156" s="44" t="str">
        <f t="shared" si="5"/>
        <v>ОК</v>
      </c>
    </row>
    <row r="157" spans="1:21" x14ac:dyDescent="0.2">
      <c r="A157" s="156" t="s">
        <v>2025</v>
      </c>
      <c r="B157" s="42">
        <v>155</v>
      </c>
      <c r="C157" s="120">
        <v>430</v>
      </c>
      <c r="D157" s="120">
        <v>100</v>
      </c>
      <c r="E157" s="120">
        <v>430</v>
      </c>
      <c r="F157" s="120">
        <v>100</v>
      </c>
      <c r="G157" s="120"/>
      <c r="H157" s="120"/>
      <c r="I157" s="120"/>
      <c r="J157" s="120"/>
      <c r="K157" s="120"/>
      <c r="L157" s="120"/>
      <c r="M157" s="120"/>
      <c r="N157" s="120"/>
      <c r="O157" s="120"/>
      <c r="P157" s="120"/>
      <c r="Q157" s="149">
        <f t="shared" si="4"/>
        <v>1.06</v>
      </c>
      <c r="S157" s="44" t="s">
        <v>2025</v>
      </c>
      <c r="U157" s="44" t="str">
        <f t="shared" si="5"/>
        <v>ОК</v>
      </c>
    </row>
    <row r="158" spans="1:21" x14ac:dyDescent="0.2">
      <c r="A158" s="156" t="s">
        <v>2028</v>
      </c>
      <c r="B158" s="42">
        <v>156</v>
      </c>
      <c r="C158" s="120">
        <v>280</v>
      </c>
      <c r="D158" s="120">
        <v>100</v>
      </c>
      <c r="E158" s="120">
        <v>280</v>
      </c>
      <c r="F158" s="120">
        <v>100</v>
      </c>
      <c r="G158" s="120"/>
      <c r="H158" s="120"/>
      <c r="I158" s="120"/>
      <c r="J158" s="120"/>
      <c r="K158" s="120"/>
      <c r="L158" s="120"/>
      <c r="M158" s="120"/>
      <c r="N158" s="120"/>
      <c r="O158" s="120"/>
      <c r="P158" s="120"/>
      <c r="Q158" s="149">
        <f t="shared" si="4"/>
        <v>0.76</v>
      </c>
      <c r="S158" s="44" t="s">
        <v>2028</v>
      </c>
    </row>
    <row r="159" spans="1:21" x14ac:dyDescent="0.2">
      <c r="S159"/>
    </row>
    <row r="160" spans="1:21" x14ac:dyDescent="0.2">
      <c r="S160"/>
    </row>
    <row r="161" spans="19:19" x14ac:dyDescent="0.2">
      <c r="S161"/>
    </row>
    <row r="162" spans="19:19" x14ac:dyDescent="0.2">
      <c r="S162"/>
    </row>
    <row r="163" spans="19:19" x14ac:dyDescent="0.2">
      <c r="S163"/>
    </row>
    <row r="164" spans="19:19" x14ac:dyDescent="0.2">
      <c r="S164"/>
    </row>
    <row r="165" spans="19:19" x14ac:dyDescent="0.2">
      <c r="S165"/>
    </row>
    <row r="166" spans="19:19" x14ac:dyDescent="0.2">
      <c r="S166"/>
    </row>
    <row r="167" spans="19:19" x14ac:dyDescent="0.2">
      <c r="S167"/>
    </row>
    <row r="168" spans="19:19" x14ac:dyDescent="0.2">
      <c r="S168"/>
    </row>
    <row r="169" spans="19:19" x14ac:dyDescent="0.2">
      <c r="S169"/>
    </row>
    <row r="170" spans="19:19" x14ac:dyDescent="0.2">
      <c r="S170"/>
    </row>
    <row r="171" spans="19:19" x14ac:dyDescent="0.2">
      <c r="S171"/>
    </row>
    <row r="172" spans="19:19" x14ac:dyDescent="0.2">
      <c r="S172"/>
    </row>
    <row r="173" spans="19:19" x14ac:dyDescent="0.2">
      <c r="S173"/>
    </row>
    <row r="174" spans="19:19" x14ac:dyDescent="0.2">
      <c r="S174"/>
    </row>
    <row r="175" spans="19:19" x14ac:dyDescent="0.2">
      <c r="S175"/>
    </row>
    <row r="176" spans="19:19" x14ac:dyDescent="0.2">
      <c r="S176"/>
    </row>
    <row r="177" spans="19:19" x14ac:dyDescent="0.2">
      <c r="S177"/>
    </row>
    <row r="178" spans="19:19" x14ac:dyDescent="0.2">
      <c r="S178"/>
    </row>
    <row r="179" spans="19:19" x14ac:dyDescent="0.2">
      <c r="S179"/>
    </row>
    <row r="180" spans="19:19" x14ac:dyDescent="0.2">
      <c r="S180"/>
    </row>
    <row r="181" spans="19:19" x14ac:dyDescent="0.2">
      <c r="S181"/>
    </row>
    <row r="182" spans="19:19" x14ac:dyDescent="0.2">
      <c r="S182"/>
    </row>
    <row r="183" spans="19:19" x14ac:dyDescent="0.2">
      <c r="S183"/>
    </row>
    <row r="184" spans="19:19" x14ac:dyDescent="0.2">
      <c r="S184"/>
    </row>
    <row r="185" spans="19:19" x14ac:dyDescent="0.2">
      <c r="S185"/>
    </row>
    <row r="186" spans="19:19" x14ac:dyDescent="0.2">
      <c r="S186"/>
    </row>
    <row r="187" spans="19:19" x14ac:dyDescent="0.2">
      <c r="S187"/>
    </row>
    <row r="188" spans="19:19" x14ac:dyDescent="0.2">
      <c r="S188"/>
    </row>
    <row r="189" spans="19:19" x14ac:dyDescent="0.2">
      <c r="S189"/>
    </row>
    <row r="190" spans="19:19" x14ac:dyDescent="0.2">
      <c r="S190"/>
    </row>
    <row r="191" spans="19:19" x14ac:dyDescent="0.2">
      <c r="S191"/>
    </row>
    <row r="192" spans="19:19" x14ac:dyDescent="0.2">
      <c r="S192"/>
    </row>
    <row r="193" spans="19:19" x14ac:dyDescent="0.2">
      <c r="S193"/>
    </row>
    <row r="194" spans="19:19" x14ac:dyDescent="0.2">
      <c r="S194"/>
    </row>
    <row r="195" spans="19:19" x14ac:dyDescent="0.2">
      <c r="S195"/>
    </row>
    <row r="196" spans="19:19" x14ac:dyDescent="0.2">
      <c r="S196"/>
    </row>
    <row r="197" spans="19:19" x14ac:dyDescent="0.2">
      <c r="S197"/>
    </row>
    <row r="198" spans="19:19" x14ac:dyDescent="0.2">
      <c r="S198"/>
    </row>
    <row r="199" spans="19:19" x14ac:dyDescent="0.2">
      <c r="S199"/>
    </row>
    <row r="200" spans="19:19" x14ac:dyDescent="0.2">
      <c r="S200"/>
    </row>
    <row r="201" spans="19:19" x14ac:dyDescent="0.2">
      <c r="S201"/>
    </row>
    <row r="202" spans="19:19" x14ac:dyDescent="0.2">
      <c r="S202"/>
    </row>
    <row r="203" spans="19:19" x14ac:dyDescent="0.2">
      <c r="S203"/>
    </row>
    <row r="204" spans="19:19" x14ac:dyDescent="0.2">
      <c r="S204"/>
    </row>
    <row r="205" spans="19:19" x14ac:dyDescent="0.2">
      <c r="S205"/>
    </row>
    <row r="206" spans="19:19" x14ac:dyDescent="0.2">
      <c r="S206"/>
    </row>
    <row r="207" spans="19:19" x14ac:dyDescent="0.2">
      <c r="S207"/>
    </row>
    <row r="208" spans="19:19" x14ac:dyDescent="0.2">
      <c r="S208"/>
    </row>
    <row r="209" spans="19:19" x14ac:dyDescent="0.2">
      <c r="S209"/>
    </row>
    <row r="210" spans="19:19" x14ac:dyDescent="0.2">
      <c r="S210"/>
    </row>
    <row r="211" spans="19:19" x14ac:dyDescent="0.2">
      <c r="S211"/>
    </row>
    <row r="212" spans="19:19" x14ac:dyDescent="0.2">
      <c r="S212"/>
    </row>
    <row r="213" spans="19:19" x14ac:dyDescent="0.2">
      <c r="S213"/>
    </row>
    <row r="214" spans="19:19" x14ac:dyDescent="0.2">
      <c r="S214"/>
    </row>
    <row r="215" spans="19:19" x14ac:dyDescent="0.2">
      <c r="S215"/>
    </row>
    <row r="216" spans="19:19" x14ac:dyDescent="0.2">
      <c r="S216"/>
    </row>
    <row r="217" spans="19:19" x14ac:dyDescent="0.2">
      <c r="S217"/>
    </row>
    <row r="218" spans="19:19" x14ac:dyDescent="0.2">
      <c r="S218"/>
    </row>
    <row r="219" spans="19:19" x14ac:dyDescent="0.2">
      <c r="S219"/>
    </row>
    <row r="220" spans="19:19" x14ac:dyDescent="0.2">
      <c r="S220"/>
    </row>
    <row r="221" spans="19:19" x14ac:dyDescent="0.2">
      <c r="S221"/>
    </row>
    <row r="222" spans="19:19" x14ac:dyDescent="0.2">
      <c r="S222"/>
    </row>
    <row r="223" spans="19:19" x14ac:dyDescent="0.2">
      <c r="S223"/>
    </row>
    <row r="224" spans="19:19" x14ac:dyDescent="0.2">
      <c r="S224"/>
    </row>
    <row r="225" spans="19:19" x14ac:dyDescent="0.2">
      <c r="S225"/>
    </row>
    <row r="226" spans="19:19" x14ac:dyDescent="0.2">
      <c r="S226"/>
    </row>
    <row r="227" spans="19:19" x14ac:dyDescent="0.2">
      <c r="S227"/>
    </row>
    <row r="228" spans="19:19" x14ac:dyDescent="0.2">
      <c r="S228"/>
    </row>
    <row r="229" spans="19:19" x14ac:dyDescent="0.2">
      <c r="S229"/>
    </row>
    <row r="230" spans="19:19" x14ac:dyDescent="0.2">
      <c r="S230"/>
    </row>
    <row r="231" spans="19:19" x14ac:dyDescent="0.2">
      <c r="S231"/>
    </row>
    <row r="232" spans="19:19" x14ac:dyDescent="0.2">
      <c r="S232"/>
    </row>
    <row r="233" spans="19:19" x14ac:dyDescent="0.2">
      <c r="S233"/>
    </row>
    <row r="234" spans="19:19" x14ac:dyDescent="0.2">
      <c r="S234"/>
    </row>
    <row r="235" spans="19:19" x14ac:dyDescent="0.2">
      <c r="S235"/>
    </row>
    <row r="236" spans="19:19" x14ac:dyDescent="0.2">
      <c r="S236"/>
    </row>
    <row r="237" spans="19:19" x14ac:dyDescent="0.2">
      <c r="S237"/>
    </row>
    <row r="238" spans="19:19" x14ac:dyDescent="0.2">
      <c r="S238"/>
    </row>
    <row r="239" spans="19:19" x14ac:dyDescent="0.2">
      <c r="S239"/>
    </row>
    <row r="240" spans="19:19" x14ac:dyDescent="0.2">
      <c r="S240"/>
    </row>
    <row r="241" spans="19:19" x14ac:dyDescent="0.2">
      <c r="S241"/>
    </row>
    <row r="242" spans="19:19" x14ac:dyDescent="0.2">
      <c r="S242"/>
    </row>
    <row r="243" spans="19:19" x14ac:dyDescent="0.2">
      <c r="S243"/>
    </row>
    <row r="244" spans="19:19" x14ac:dyDescent="0.2">
      <c r="S244"/>
    </row>
    <row r="245" spans="19:19" x14ac:dyDescent="0.2">
      <c r="S245"/>
    </row>
    <row r="246" spans="19:19" x14ac:dyDescent="0.2">
      <c r="S246"/>
    </row>
    <row r="247" spans="19:19" x14ac:dyDescent="0.2">
      <c r="S247"/>
    </row>
    <row r="248" spans="19:19" x14ac:dyDescent="0.2">
      <c r="S248"/>
    </row>
    <row r="249" spans="19:19" x14ac:dyDescent="0.2">
      <c r="S249"/>
    </row>
    <row r="250" spans="19:19" x14ac:dyDescent="0.2">
      <c r="S250"/>
    </row>
    <row r="251" spans="19:19" x14ac:dyDescent="0.2">
      <c r="S251"/>
    </row>
    <row r="252" spans="19:19" x14ac:dyDescent="0.2">
      <c r="S252"/>
    </row>
    <row r="253" spans="19:19" x14ac:dyDescent="0.2">
      <c r="S253"/>
    </row>
    <row r="254" spans="19:19" x14ac:dyDescent="0.2">
      <c r="S254"/>
    </row>
    <row r="255" spans="19:19" x14ac:dyDescent="0.2">
      <c r="S255"/>
    </row>
    <row r="256" spans="19:19" x14ac:dyDescent="0.2">
      <c r="S256"/>
    </row>
    <row r="257" spans="19:19" x14ac:dyDescent="0.2">
      <c r="S257"/>
    </row>
    <row r="258" spans="19:19" x14ac:dyDescent="0.2">
      <c r="S258"/>
    </row>
    <row r="259" spans="19:19" x14ac:dyDescent="0.2">
      <c r="S259"/>
    </row>
    <row r="260" spans="19:19" x14ac:dyDescent="0.2">
      <c r="S260"/>
    </row>
    <row r="261" spans="19:19" x14ac:dyDescent="0.2">
      <c r="S261"/>
    </row>
    <row r="262" spans="19:19" x14ac:dyDescent="0.2">
      <c r="S262"/>
    </row>
    <row r="263" spans="19:19" x14ac:dyDescent="0.2">
      <c r="S263"/>
    </row>
    <row r="264" spans="19:19" x14ac:dyDescent="0.2">
      <c r="S264"/>
    </row>
    <row r="265" spans="19:19" x14ac:dyDescent="0.2">
      <c r="S265"/>
    </row>
    <row r="266" spans="19:19" x14ac:dyDescent="0.2">
      <c r="S266"/>
    </row>
    <row r="267" spans="19:19" x14ac:dyDescent="0.2">
      <c r="S267"/>
    </row>
    <row r="268" spans="19:19" x14ac:dyDescent="0.2">
      <c r="S268"/>
    </row>
    <row r="269" spans="19:19" x14ac:dyDescent="0.2">
      <c r="S269"/>
    </row>
    <row r="270" spans="19:19" x14ac:dyDescent="0.2">
      <c r="S270"/>
    </row>
    <row r="271" spans="19:19" x14ac:dyDescent="0.2">
      <c r="S271"/>
    </row>
    <row r="272" spans="19:19" x14ac:dyDescent="0.2">
      <c r="S272"/>
    </row>
    <row r="273" spans="19:19" x14ac:dyDescent="0.2">
      <c r="S273"/>
    </row>
    <row r="274" spans="19:19" x14ac:dyDescent="0.2">
      <c r="S274"/>
    </row>
    <row r="275" spans="19:19" x14ac:dyDescent="0.2">
      <c r="S275"/>
    </row>
    <row r="276" spans="19:19" x14ac:dyDescent="0.2">
      <c r="S276"/>
    </row>
    <row r="277" spans="19:19" x14ac:dyDescent="0.2">
      <c r="S277"/>
    </row>
    <row r="278" spans="19:19" x14ac:dyDescent="0.2">
      <c r="S278"/>
    </row>
    <row r="279" spans="19:19" x14ac:dyDescent="0.2">
      <c r="S279"/>
    </row>
    <row r="280" spans="19:19" x14ac:dyDescent="0.2">
      <c r="S280"/>
    </row>
    <row r="281" spans="19:19" x14ac:dyDescent="0.2">
      <c r="S281"/>
    </row>
    <row r="282" spans="19:19" x14ac:dyDescent="0.2">
      <c r="S282"/>
    </row>
    <row r="283" spans="19:19" x14ac:dyDescent="0.2">
      <c r="S283"/>
    </row>
    <row r="284" spans="19:19" x14ac:dyDescent="0.2">
      <c r="S284"/>
    </row>
    <row r="285" spans="19:19" x14ac:dyDescent="0.2">
      <c r="S285"/>
    </row>
    <row r="286" spans="19:19" x14ac:dyDescent="0.2">
      <c r="S286"/>
    </row>
    <row r="287" spans="19:19" x14ac:dyDescent="0.2">
      <c r="S287"/>
    </row>
    <row r="288" spans="19:19" x14ac:dyDescent="0.2">
      <c r="S288"/>
    </row>
    <row r="289" spans="19:19" x14ac:dyDescent="0.2">
      <c r="S289"/>
    </row>
    <row r="290" spans="19:19" x14ac:dyDescent="0.2">
      <c r="S290"/>
    </row>
    <row r="291" spans="19:19" x14ac:dyDescent="0.2">
      <c r="S291"/>
    </row>
    <row r="292" spans="19:19" x14ac:dyDescent="0.2">
      <c r="S292"/>
    </row>
    <row r="293" spans="19:19" x14ac:dyDescent="0.2">
      <c r="S293"/>
    </row>
    <row r="294" spans="19:19" x14ac:dyDescent="0.2">
      <c r="S294"/>
    </row>
    <row r="295" spans="19:19" x14ac:dyDescent="0.2">
      <c r="S295"/>
    </row>
    <row r="296" spans="19:19" x14ac:dyDescent="0.2">
      <c r="S296"/>
    </row>
    <row r="297" spans="19:19" x14ac:dyDescent="0.2">
      <c r="S297"/>
    </row>
    <row r="298" spans="19:19" x14ac:dyDescent="0.2">
      <c r="S298"/>
    </row>
    <row r="299" spans="19:19" x14ac:dyDescent="0.2">
      <c r="S299"/>
    </row>
    <row r="300" spans="19:19" x14ac:dyDescent="0.2">
      <c r="S300"/>
    </row>
    <row r="301" spans="19:19" x14ac:dyDescent="0.2">
      <c r="S301"/>
    </row>
    <row r="302" spans="19:19" x14ac:dyDescent="0.2">
      <c r="S302"/>
    </row>
    <row r="303" spans="19:19" x14ac:dyDescent="0.2">
      <c r="S303"/>
    </row>
    <row r="304" spans="19:19" x14ac:dyDescent="0.2">
      <c r="S304"/>
    </row>
    <row r="305" spans="19:19" x14ac:dyDescent="0.2">
      <c r="S305"/>
    </row>
    <row r="306" spans="19:19" x14ac:dyDescent="0.2">
      <c r="S306"/>
    </row>
    <row r="307" spans="19:19" x14ac:dyDescent="0.2">
      <c r="S307"/>
    </row>
    <row r="308" spans="19:19" x14ac:dyDescent="0.2">
      <c r="S308"/>
    </row>
    <row r="309" spans="19:19" x14ac:dyDescent="0.2">
      <c r="S309"/>
    </row>
    <row r="310" spans="19:19" x14ac:dyDescent="0.2">
      <c r="S310"/>
    </row>
    <row r="311" spans="19:19" x14ac:dyDescent="0.2">
      <c r="S311"/>
    </row>
    <row r="312" spans="19:19" x14ac:dyDescent="0.2">
      <c r="S312"/>
    </row>
    <row r="313" spans="19:19" x14ac:dyDescent="0.2">
      <c r="S313"/>
    </row>
    <row r="314" spans="19:19" x14ac:dyDescent="0.2">
      <c r="S314"/>
    </row>
    <row r="315" spans="19:19" x14ac:dyDescent="0.2">
      <c r="S315"/>
    </row>
    <row r="316" spans="19:19" x14ac:dyDescent="0.2">
      <c r="S316"/>
    </row>
    <row r="317" spans="19:19" x14ac:dyDescent="0.2">
      <c r="S317"/>
    </row>
    <row r="318" spans="19:19" x14ac:dyDescent="0.2">
      <c r="S318"/>
    </row>
    <row r="319" spans="19:19" x14ac:dyDescent="0.2">
      <c r="S319"/>
    </row>
    <row r="320" spans="19:19" x14ac:dyDescent="0.2">
      <c r="S320"/>
    </row>
    <row r="321" spans="19:19" x14ac:dyDescent="0.2">
      <c r="S321"/>
    </row>
    <row r="322" spans="19:19" x14ac:dyDescent="0.2">
      <c r="S322"/>
    </row>
    <row r="323" spans="19:19" x14ac:dyDescent="0.2">
      <c r="S323"/>
    </row>
    <row r="324" spans="19:19" x14ac:dyDescent="0.2">
      <c r="S324"/>
    </row>
    <row r="325" spans="19:19" x14ac:dyDescent="0.2">
      <c r="S325"/>
    </row>
    <row r="326" spans="19:19" x14ac:dyDescent="0.2">
      <c r="S326"/>
    </row>
    <row r="327" spans="19:19" x14ac:dyDescent="0.2">
      <c r="S327"/>
    </row>
    <row r="328" spans="19:19" x14ac:dyDescent="0.2">
      <c r="S328"/>
    </row>
    <row r="329" spans="19:19" x14ac:dyDescent="0.2">
      <c r="S329"/>
    </row>
    <row r="330" spans="19:19" x14ac:dyDescent="0.2">
      <c r="S330"/>
    </row>
    <row r="331" spans="19:19" x14ac:dyDescent="0.2">
      <c r="S331"/>
    </row>
    <row r="332" spans="19:19" x14ac:dyDescent="0.2">
      <c r="S332"/>
    </row>
    <row r="333" spans="19:19" x14ac:dyDescent="0.2">
      <c r="S333"/>
    </row>
    <row r="334" spans="19:19" x14ac:dyDescent="0.2">
      <c r="S334"/>
    </row>
    <row r="335" spans="19:19" x14ac:dyDescent="0.2">
      <c r="S335"/>
    </row>
    <row r="336" spans="19:19" x14ac:dyDescent="0.2">
      <c r="S336"/>
    </row>
    <row r="337" spans="19:19" x14ac:dyDescent="0.2">
      <c r="S337"/>
    </row>
    <row r="338" spans="19:19" x14ac:dyDescent="0.2">
      <c r="S338"/>
    </row>
    <row r="339" spans="19:19" x14ac:dyDescent="0.2">
      <c r="S339"/>
    </row>
    <row r="340" spans="19:19" x14ac:dyDescent="0.2">
      <c r="S340"/>
    </row>
    <row r="341" spans="19:19" x14ac:dyDescent="0.2">
      <c r="S341"/>
    </row>
    <row r="342" spans="19:19" x14ac:dyDescent="0.2">
      <c r="S342"/>
    </row>
    <row r="343" spans="19:19" x14ac:dyDescent="0.2">
      <c r="S343"/>
    </row>
    <row r="344" spans="19:19" x14ac:dyDescent="0.2">
      <c r="S344"/>
    </row>
    <row r="345" spans="19:19" x14ac:dyDescent="0.2">
      <c r="S345"/>
    </row>
    <row r="346" spans="19:19" x14ac:dyDescent="0.2">
      <c r="S346"/>
    </row>
    <row r="347" spans="19:19" x14ac:dyDescent="0.2">
      <c r="S347"/>
    </row>
    <row r="348" spans="19:19" x14ac:dyDescent="0.2">
      <c r="S348"/>
    </row>
    <row r="349" spans="19:19" x14ac:dyDescent="0.2">
      <c r="S349"/>
    </row>
    <row r="350" spans="19:19" x14ac:dyDescent="0.2">
      <c r="S350"/>
    </row>
    <row r="351" spans="19:19" x14ac:dyDescent="0.2">
      <c r="S351"/>
    </row>
    <row r="352" spans="19:19" x14ac:dyDescent="0.2">
      <c r="S352"/>
    </row>
    <row r="353" spans="19:19" x14ac:dyDescent="0.2">
      <c r="S353"/>
    </row>
    <row r="354" spans="19:19" x14ac:dyDescent="0.2">
      <c r="S354"/>
    </row>
    <row r="355" spans="19:19" x14ac:dyDescent="0.2">
      <c r="S355"/>
    </row>
    <row r="356" spans="19:19" x14ac:dyDescent="0.2">
      <c r="S356"/>
    </row>
    <row r="357" spans="19:19" x14ac:dyDescent="0.2">
      <c r="S357"/>
    </row>
    <row r="358" spans="19:19" x14ac:dyDescent="0.2">
      <c r="S358"/>
    </row>
    <row r="359" spans="19:19" x14ac:dyDescent="0.2">
      <c r="S359"/>
    </row>
    <row r="360" spans="19:19" x14ac:dyDescent="0.2">
      <c r="S360"/>
    </row>
    <row r="361" spans="19:19" x14ac:dyDescent="0.2">
      <c r="S361"/>
    </row>
    <row r="362" spans="19:19" x14ac:dyDescent="0.2">
      <c r="S362"/>
    </row>
    <row r="363" spans="19:19" x14ac:dyDescent="0.2">
      <c r="S363"/>
    </row>
    <row r="364" spans="19:19" x14ac:dyDescent="0.2">
      <c r="S364"/>
    </row>
    <row r="365" spans="19:19" x14ac:dyDescent="0.2">
      <c r="S365"/>
    </row>
    <row r="366" spans="19:19" x14ac:dyDescent="0.2">
      <c r="S366"/>
    </row>
    <row r="367" spans="19:19" x14ac:dyDescent="0.2">
      <c r="S367"/>
    </row>
    <row r="368" spans="19:19" x14ac:dyDescent="0.2">
      <c r="S368"/>
    </row>
    <row r="369" spans="19:19" x14ac:dyDescent="0.2">
      <c r="S369"/>
    </row>
    <row r="370" spans="19:19" x14ac:dyDescent="0.2">
      <c r="S370"/>
    </row>
    <row r="371" spans="19:19" x14ac:dyDescent="0.2">
      <c r="S371"/>
    </row>
    <row r="372" spans="19:19" x14ac:dyDescent="0.2">
      <c r="S372"/>
    </row>
    <row r="373" spans="19:19" x14ac:dyDescent="0.2">
      <c r="S373"/>
    </row>
    <row r="374" spans="19:19" x14ac:dyDescent="0.2">
      <c r="S374"/>
    </row>
    <row r="375" spans="19:19" x14ac:dyDescent="0.2">
      <c r="S375"/>
    </row>
    <row r="376" spans="19:19" x14ac:dyDescent="0.2">
      <c r="S376"/>
    </row>
    <row r="377" spans="19:19" x14ac:dyDescent="0.2">
      <c r="S377"/>
    </row>
    <row r="378" spans="19:19" x14ac:dyDescent="0.2">
      <c r="S378"/>
    </row>
    <row r="379" spans="19:19" x14ac:dyDescent="0.2">
      <c r="S379"/>
    </row>
    <row r="380" spans="19:19" x14ac:dyDescent="0.2">
      <c r="S380"/>
    </row>
    <row r="381" spans="19:19" x14ac:dyDescent="0.2">
      <c r="S381"/>
    </row>
    <row r="382" spans="19:19" x14ac:dyDescent="0.2">
      <c r="S382"/>
    </row>
    <row r="383" spans="19:19" x14ac:dyDescent="0.2">
      <c r="S383"/>
    </row>
    <row r="384" spans="19:19" x14ac:dyDescent="0.2">
      <c r="S384"/>
    </row>
    <row r="385" spans="19:19" x14ac:dyDescent="0.2">
      <c r="S385"/>
    </row>
    <row r="386" spans="19:19" x14ac:dyDescent="0.2">
      <c r="S386"/>
    </row>
    <row r="387" spans="19:19" x14ac:dyDescent="0.2">
      <c r="S387"/>
    </row>
    <row r="388" spans="19:19" x14ac:dyDescent="0.2">
      <c r="S388"/>
    </row>
    <row r="389" spans="19:19" x14ac:dyDescent="0.2">
      <c r="S389"/>
    </row>
    <row r="390" spans="19:19" x14ac:dyDescent="0.2">
      <c r="S390"/>
    </row>
    <row r="391" spans="19:19" x14ac:dyDescent="0.2">
      <c r="S391"/>
    </row>
    <row r="392" spans="19:19" x14ac:dyDescent="0.2">
      <c r="S392"/>
    </row>
    <row r="393" spans="19:19" x14ac:dyDescent="0.2">
      <c r="S393"/>
    </row>
    <row r="394" spans="19:19" x14ac:dyDescent="0.2">
      <c r="S394"/>
    </row>
    <row r="395" spans="19:19" x14ac:dyDescent="0.2">
      <c r="S395"/>
    </row>
    <row r="396" spans="19:19" x14ac:dyDescent="0.2">
      <c r="S396"/>
    </row>
    <row r="397" spans="19:19" x14ac:dyDescent="0.2">
      <c r="S397"/>
    </row>
    <row r="398" spans="19:19" x14ac:dyDescent="0.2">
      <c r="S398"/>
    </row>
    <row r="399" spans="19:19" x14ac:dyDescent="0.2">
      <c r="S399"/>
    </row>
    <row r="400" spans="19:19" x14ac:dyDescent="0.2">
      <c r="S400"/>
    </row>
    <row r="401" spans="19:19" x14ac:dyDescent="0.2">
      <c r="S401"/>
    </row>
    <row r="402" spans="19:19" x14ac:dyDescent="0.2">
      <c r="S402"/>
    </row>
    <row r="403" spans="19:19" x14ac:dyDescent="0.2">
      <c r="S403"/>
    </row>
    <row r="404" spans="19:19" x14ac:dyDescent="0.2">
      <c r="S404"/>
    </row>
    <row r="405" spans="19:19" x14ac:dyDescent="0.2">
      <c r="S405"/>
    </row>
    <row r="406" spans="19:19" x14ac:dyDescent="0.2">
      <c r="S406"/>
    </row>
    <row r="407" spans="19:19" x14ac:dyDescent="0.2">
      <c r="S407"/>
    </row>
    <row r="408" spans="19:19" x14ac:dyDescent="0.2">
      <c r="S408"/>
    </row>
    <row r="409" spans="19:19" x14ac:dyDescent="0.2">
      <c r="S409"/>
    </row>
    <row r="410" spans="19:19" x14ac:dyDescent="0.2">
      <c r="S410"/>
    </row>
    <row r="411" spans="19:19" x14ac:dyDescent="0.2">
      <c r="S411"/>
    </row>
    <row r="412" spans="19:19" x14ac:dyDescent="0.2">
      <c r="S412"/>
    </row>
    <row r="413" spans="19:19" x14ac:dyDescent="0.2">
      <c r="S413"/>
    </row>
    <row r="414" spans="19:19" x14ac:dyDescent="0.2">
      <c r="S414"/>
    </row>
    <row r="415" spans="19:19" x14ac:dyDescent="0.2">
      <c r="S415"/>
    </row>
    <row r="416" spans="19:19" x14ac:dyDescent="0.2">
      <c r="S416"/>
    </row>
    <row r="417" spans="19:19" x14ac:dyDescent="0.2">
      <c r="S417"/>
    </row>
    <row r="418" spans="19:19" x14ac:dyDescent="0.2">
      <c r="S418"/>
    </row>
    <row r="419" spans="19:19" x14ac:dyDescent="0.2">
      <c r="S419"/>
    </row>
    <row r="420" spans="19:19" x14ac:dyDescent="0.2">
      <c r="S420"/>
    </row>
    <row r="421" spans="19:19" x14ac:dyDescent="0.2">
      <c r="S421"/>
    </row>
    <row r="422" spans="19:19" x14ac:dyDescent="0.2">
      <c r="S422"/>
    </row>
    <row r="423" spans="19:19" x14ac:dyDescent="0.2">
      <c r="S423"/>
    </row>
    <row r="424" spans="19:19" x14ac:dyDescent="0.2">
      <c r="S424"/>
    </row>
    <row r="425" spans="19:19" x14ac:dyDescent="0.2">
      <c r="S425"/>
    </row>
    <row r="426" spans="19:19" x14ac:dyDescent="0.2">
      <c r="S426"/>
    </row>
    <row r="427" spans="19:19" x14ac:dyDescent="0.2">
      <c r="S427"/>
    </row>
    <row r="428" spans="19:19" x14ac:dyDescent="0.2">
      <c r="S428"/>
    </row>
    <row r="429" spans="19:19" x14ac:dyDescent="0.2">
      <c r="S429"/>
    </row>
    <row r="430" spans="19:19" x14ac:dyDescent="0.2">
      <c r="S430"/>
    </row>
    <row r="431" spans="19:19" x14ac:dyDescent="0.2">
      <c r="S431"/>
    </row>
    <row r="432" spans="19:19" x14ac:dyDescent="0.2">
      <c r="S432"/>
    </row>
    <row r="433" spans="19:19" x14ac:dyDescent="0.2">
      <c r="S433"/>
    </row>
    <row r="434" spans="19:19" x14ac:dyDescent="0.2">
      <c r="S434"/>
    </row>
    <row r="435" spans="19:19" x14ac:dyDescent="0.2">
      <c r="S435"/>
    </row>
    <row r="436" spans="19:19" x14ac:dyDescent="0.2">
      <c r="S436"/>
    </row>
    <row r="437" spans="19:19" x14ac:dyDescent="0.2">
      <c r="S437"/>
    </row>
    <row r="438" spans="19:19" x14ac:dyDescent="0.2">
      <c r="S438"/>
    </row>
    <row r="439" spans="19:19" x14ac:dyDescent="0.2">
      <c r="S439"/>
    </row>
    <row r="440" spans="19:19" x14ac:dyDescent="0.2">
      <c r="S440"/>
    </row>
    <row r="441" spans="19:19" x14ac:dyDescent="0.2">
      <c r="S441"/>
    </row>
    <row r="442" spans="19:19" x14ac:dyDescent="0.2">
      <c r="S442"/>
    </row>
    <row r="443" spans="19:19" x14ac:dyDescent="0.2">
      <c r="S443"/>
    </row>
    <row r="444" spans="19:19" x14ac:dyDescent="0.2">
      <c r="S444"/>
    </row>
    <row r="445" spans="19:19" x14ac:dyDescent="0.2">
      <c r="S445"/>
    </row>
    <row r="446" spans="19:19" x14ac:dyDescent="0.2">
      <c r="S446"/>
    </row>
    <row r="447" spans="19:19" x14ac:dyDescent="0.2">
      <c r="S447"/>
    </row>
    <row r="448" spans="19:19" x14ac:dyDescent="0.2">
      <c r="S448"/>
    </row>
    <row r="449" spans="19:19" x14ac:dyDescent="0.2">
      <c r="S449"/>
    </row>
    <row r="450" spans="19:19" x14ac:dyDescent="0.2">
      <c r="S450"/>
    </row>
    <row r="451" spans="19:19" x14ac:dyDescent="0.2">
      <c r="S451"/>
    </row>
    <row r="452" spans="19:19" x14ac:dyDescent="0.2">
      <c r="S452"/>
    </row>
    <row r="453" spans="19:19" x14ac:dyDescent="0.2">
      <c r="S453"/>
    </row>
    <row r="454" spans="19:19" x14ac:dyDescent="0.2">
      <c r="S454"/>
    </row>
    <row r="455" spans="19:19" x14ac:dyDescent="0.2">
      <c r="S455"/>
    </row>
    <row r="456" spans="19:19" x14ac:dyDescent="0.2">
      <c r="S456"/>
    </row>
    <row r="457" spans="19:19" x14ac:dyDescent="0.2">
      <c r="S457"/>
    </row>
    <row r="458" spans="19:19" x14ac:dyDescent="0.2">
      <c r="S458"/>
    </row>
    <row r="459" spans="19:19" x14ac:dyDescent="0.2">
      <c r="S459"/>
    </row>
    <row r="460" spans="19:19" x14ac:dyDescent="0.2">
      <c r="S460"/>
    </row>
    <row r="461" spans="19:19" x14ac:dyDescent="0.2">
      <c r="S461"/>
    </row>
    <row r="462" spans="19:19" x14ac:dyDescent="0.2">
      <c r="S462"/>
    </row>
    <row r="463" spans="19:19" x14ac:dyDescent="0.2">
      <c r="S463"/>
    </row>
    <row r="464" spans="19:19" x14ac:dyDescent="0.2">
      <c r="S464"/>
    </row>
    <row r="465" spans="19:19" x14ac:dyDescent="0.2">
      <c r="S465"/>
    </row>
    <row r="466" spans="19:19" x14ac:dyDescent="0.2">
      <c r="S466"/>
    </row>
    <row r="467" spans="19:19" x14ac:dyDescent="0.2">
      <c r="S467"/>
    </row>
    <row r="468" spans="19:19" x14ac:dyDescent="0.2">
      <c r="S468"/>
    </row>
    <row r="469" spans="19:19" x14ac:dyDescent="0.2">
      <c r="S469"/>
    </row>
    <row r="470" spans="19:19" x14ac:dyDescent="0.2">
      <c r="S470"/>
    </row>
    <row r="471" spans="19:19" x14ac:dyDescent="0.2">
      <c r="S471"/>
    </row>
    <row r="472" spans="19:19" x14ac:dyDescent="0.2">
      <c r="S472"/>
    </row>
    <row r="473" spans="19:19" x14ac:dyDescent="0.2">
      <c r="S473"/>
    </row>
    <row r="474" spans="19:19" x14ac:dyDescent="0.2">
      <c r="S474"/>
    </row>
    <row r="475" spans="19:19" x14ac:dyDescent="0.2">
      <c r="S475"/>
    </row>
    <row r="476" spans="19:19" x14ac:dyDescent="0.2">
      <c r="S476"/>
    </row>
    <row r="477" spans="19:19" x14ac:dyDescent="0.2">
      <c r="S477"/>
    </row>
    <row r="478" spans="19:19" x14ac:dyDescent="0.2">
      <c r="S478"/>
    </row>
    <row r="479" spans="19:19" x14ac:dyDescent="0.2">
      <c r="S479"/>
    </row>
    <row r="480" spans="19:19" x14ac:dyDescent="0.2">
      <c r="S480"/>
    </row>
    <row r="481" spans="19:19" x14ac:dyDescent="0.2">
      <c r="S481"/>
    </row>
    <row r="482" spans="19:19" x14ac:dyDescent="0.2">
      <c r="S482"/>
    </row>
    <row r="483" spans="19:19" x14ac:dyDescent="0.2">
      <c r="S483"/>
    </row>
    <row r="484" spans="19:19" x14ac:dyDescent="0.2">
      <c r="S484"/>
    </row>
    <row r="485" spans="19:19" x14ac:dyDescent="0.2">
      <c r="S485"/>
    </row>
    <row r="486" spans="19:19" x14ac:dyDescent="0.2">
      <c r="S486"/>
    </row>
    <row r="487" spans="19:19" x14ac:dyDescent="0.2">
      <c r="S487"/>
    </row>
    <row r="488" spans="19:19" x14ac:dyDescent="0.2">
      <c r="S488"/>
    </row>
    <row r="489" spans="19:19" x14ac:dyDescent="0.2">
      <c r="S489"/>
    </row>
    <row r="490" spans="19:19" x14ac:dyDescent="0.2">
      <c r="S490"/>
    </row>
    <row r="491" spans="19:19" x14ac:dyDescent="0.2">
      <c r="S491"/>
    </row>
    <row r="492" spans="19:19" x14ac:dyDescent="0.2">
      <c r="S492"/>
    </row>
    <row r="493" spans="19:19" x14ac:dyDescent="0.2">
      <c r="S493"/>
    </row>
    <row r="494" spans="19:19" x14ac:dyDescent="0.2">
      <c r="S494"/>
    </row>
    <row r="495" spans="19:19" x14ac:dyDescent="0.2">
      <c r="S495"/>
    </row>
    <row r="496" spans="19:19" x14ac:dyDescent="0.2">
      <c r="S496"/>
    </row>
    <row r="497" spans="19:19" x14ac:dyDescent="0.2">
      <c r="S497"/>
    </row>
    <row r="498" spans="19:19" x14ac:dyDescent="0.2">
      <c r="S498"/>
    </row>
    <row r="499" spans="19:19" x14ac:dyDescent="0.2">
      <c r="S499"/>
    </row>
    <row r="500" spans="19:19" x14ac:dyDescent="0.2">
      <c r="S500"/>
    </row>
    <row r="501" spans="19:19" x14ac:dyDescent="0.2">
      <c r="S501"/>
    </row>
    <row r="502" spans="19:19" x14ac:dyDescent="0.2">
      <c r="S502"/>
    </row>
    <row r="503" spans="19:19" x14ac:dyDescent="0.2">
      <c r="S503"/>
    </row>
    <row r="504" spans="19:19" x14ac:dyDescent="0.2">
      <c r="S504"/>
    </row>
    <row r="505" spans="19:19" x14ac:dyDescent="0.2">
      <c r="S505"/>
    </row>
    <row r="506" spans="19:19" x14ac:dyDescent="0.2">
      <c r="S506"/>
    </row>
    <row r="507" spans="19:19" x14ac:dyDescent="0.2">
      <c r="S507"/>
    </row>
    <row r="508" spans="19:19" x14ac:dyDescent="0.2">
      <c r="S508"/>
    </row>
    <row r="509" spans="19:19" x14ac:dyDescent="0.2">
      <c r="S509"/>
    </row>
    <row r="510" spans="19:19" x14ac:dyDescent="0.2">
      <c r="S510"/>
    </row>
    <row r="511" spans="19:19" x14ac:dyDescent="0.2">
      <c r="S511"/>
    </row>
    <row r="512" spans="19:19" x14ac:dyDescent="0.2">
      <c r="S512"/>
    </row>
    <row r="513" spans="19:19" x14ac:dyDescent="0.2">
      <c r="S513"/>
    </row>
    <row r="514" spans="19:19" x14ac:dyDescent="0.2">
      <c r="S514"/>
    </row>
    <row r="515" spans="19:19" x14ac:dyDescent="0.2">
      <c r="S515"/>
    </row>
    <row r="516" spans="19:19" x14ac:dyDescent="0.2">
      <c r="S516"/>
    </row>
    <row r="517" spans="19:19" x14ac:dyDescent="0.2">
      <c r="S517"/>
    </row>
    <row r="518" spans="19:19" x14ac:dyDescent="0.2">
      <c r="S518"/>
    </row>
    <row r="519" spans="19:19" x14ac:dyDescent="0.2">
      <c r="S519"/>
    </row>
    <row r="520" spans="19:19" x14ac:dyDescent="0.2">
      <c r="S520"/>
    </row>
    <row r="521" spans="19:19" x14ac:dyDescent="0.2">
      <c r="S521"/>
    </row>
    <row r="522" spans="19:19" x14ac:dyDescent="0.2">
      <c r="S522"/>
    </row>
    <row r="523" spans="19:19" x14ac:dyDescent="0.2">
      <c r="S523"/>
    </row>
    <row r="524" spans="19:19" x14ac:dyDescent="0.2">
      <c r="S524"/>
    </row>
    <row r="525" spans="19:19" x14ac:dyDescent="0.2">
      <c r="S525"/>
    </row>
    <row r="526" spans="19:19" x14ac:dyDescent="0.2">
      <c r="S526"/>
    </row>
    <row r="527" spans="19:19" x14ac:dyDescent="0.2">
      <c r="S527"/>
    </row>
    <row r="528" spans="19:19" x14ac:dyDescent="0.2">
      <c r="S528"/>
    </row>
    <row r="529" spans="19:19" x14ac:dyDescent="0.2">
      <c r="S529"/>
    </row>
    <row r="530" spans="19:19" x14ac:dyDescent="0.2">
      <c r="S530"/>
    </row>
    <row r="531" spans="19:19" x14ac:dyDescent="0.2">
      <c r="S531"/>
    </row>
    <row r="532" spans="19:19" x14ac:dyDescent="0.2">
      <c r="S532"/>
    </row>
    <row r="533" spans="19:19" x14ac:dyDescent="0.2">
      <c r="S533"/>
    </row>
    <row r="534" spans="19:19" x14ac:dyDescent="0.2">
      <c r="S534"/>
    </row>
    <row r="535" spans="19:19" x14ac:dyDescent="0.2">
      <c r="S535"/>
    </row>
    <row r="536" spans="19:19" x14ac:dyDescent="0.2">
      <c r="S536"/>
    </row>
    <row r="537" spans="19:19" x14ac:dyDescent="0.2">
      <c r="S537"/>
    </row>
    <row r="538" spans="19:19" x14ac:dyDescent="0.2">
      <c r="S538"/>
    </row>
    <row r="539" spans="19:19" x14ac:dyDescent="0.2">
      <c r="S539"/>
    </row>
    <row r="540" spans="19:19" x14ac:dyDescent="0.2">
      <c r="S540"/>
    </row>
    <row r="541" spans="19:19" x14ac:dyDescent="0.2">
      <c r="S541"/>
    </row>
    <row r="542" spans="19:19" x14ac:dyDescent="0.2">
      <c r="S542"/>
    </row>
    <row r="543" spans="19:19" x14ac:dyDescent="0.2">
      <c r="S543"/>
    </row>
    <row r="544" spans="19:19" x14ac:dyDescent="0.2">
      <c r="S544"/>
    </row>
    <row r="545" spans="19:19" x14ac:dyDescent="0.2">
      <c r="S545"/>
    </row>
    <row r="546" spans="19:19" x14ac:dyDescent="0.2">
      <c r="S546"/>
    </row>
    <row r="547" spans="19:19" x14ac:dyDescent="0.2">
      <c r="S547"/>
    </row>
    <row r="548" spans="19:19" x14ac:dyDescent="0.2">
      <c r="S548"/>
    </row>
    <row r="549" spans="19:19" x14ac:dyDescent="0.2">
      <c r="S549"/>
    </row>
    <row r="550" spans="19:19" x14ac:dyDescent="0.2">
      <c r="S550"/>
    </row>
    <row r="551" spans="19:19" x14ac:dyDescent="0.2">
      <c r="S551"/>
    </row>
    <row r="552" spans="19:19" x14ac:dyDescent="0.2">
      <c r="S552"/>
    </row>
    <row r="553" spans="19:19" x14ac:dyDescent="0.2">
      <c r="S553"/>
    </row>
    <row r="554" spans="19:19" x14ac:dyDescent="0.2">
      <c r="S554"/>
    </row>
    <row r="555" spans="19:19" x14ac:dyDescent="0.2">
      <c r="S555"/>
    </row>
    <row r="556" spans="19:19" x14ac:dyDescent="0.2">
      <c r="S556"/>
    </row>
    <row r="557" spans="19:19" x14ac:dyDescent="0.2">
      <c r="S557"/>
    </row>
    <row r="558" spans="19:19" x14ac:dyDescent="0.2">
      <c r="S558"/>
    </row>
    <row r="559" spans="19:19" x14ac:dyDescent="0.2">
      <c r="S559"/>
    </row>
    <row r="560" spans="19:19" x14ac:dyDescent="0.2">
      <c r="S560"/>
    </row>
    <row r="561" spans="19:19" x14ac:dyDescent="0.2">
      <c r="S561"/>
    </row>
    <row r="562" spans="19:19" x14ac:dyDescent="0.2">
      <c r="S562"/>
    </row>
    <row r="563" spans="19:19" x14ac:dyDescent="0.2">
      <c r="S563"/>
    </row>
    <row r="564" spans="19:19" x14ac:dyDescent="0.2">
      <c r="S564"/>
    </row>
    <row r="565" spans="19:19" x14ac:dyDescent="0.2">
      <c r="S565"/>
    </row>
    <row r="566" spans="19:19" x14ac:dyDescent="0.2">
      <c r="S566"/>
    </row>
    <row r="567" spans="19:19" x14ac:dyDescent="0.2">
      <c r="S567"/>
    </row>
    <row r="568" spans="19:19" x14ac:dyDescent="0.2">
      <c r="S568"/>
    </row>
    <row r="569" spans="19:19" x14ac:dyDescent="0.2">
      <c r="S569"/>
    </row>
    <row r="570" spans="19:19" x14ac:dyDescent="0.2">
      <c r="S570"/>
    </row>
    <row r="571" spans="19:19" x14ac:dyDescent="0.2">
      <c r="S571"/>
    </row>
    <row r="572" spans="19:19" x14ac:dyDescent="0.2">
      <c r="S572"/>
    </row>
    <row r="573" spans="19:19" x14ac:dyDescent="0.2">
      <c r="S573"/>
    </row>
    <row r="574" spans="19:19" x14ac:dyDescent="0.2">
      <c r="S574"/>
    </row>
    <row r="575" spans="19:19" x14ac:dyDescent="0.2">
      <c r="S575"/>
    </row>
    <row r="576" spans="19:19" x14ac:dyDescent="0.2">
      <c r="S576"/>
    </row>
    <row r="577" spans="19:19" x14ac:dyDescent="0.2">
      <c r="S577"/>
    </row>
    <row r="578" spans="19:19" x14ac:dyDescent="0.2">
      <c r="S578"/>
    </row>
    <row r="579" spans="19:19" x14ac:dyDescent="0.2">
      <c r="S579"/>
    </row>
    <row r="580" spans="19:19" x14ac:dyDescent="0.2">
      <c r="S580"/>
    </row>
    <row r="581" spans="19:19" x14ac:dyDescent="0.2">
      <c r="S581"/>
    </row>
    <row r="582" spans="19:19" x14ac:dyDescent="0.2">
      <c r="S582"/>
    </row>
    <row r="583" spans="19:19" x14ac:dyDescent="0.2">
      <c r="S583"/>
    </row>
    <row r="584" spans="19:19" x14ac:dyDescent="0.2">
      <c r="S584"/>
    </row>
    <row r="585" spans="19:19" x14ac:dyDescent="0.2">
      <c r="S585"/>
    </row>
    <row r="586" spans="19:19" x14ac:dyDescent="0.2">
      <c r="S586"/>
    </row>
    <row r="587" spans="19:19" x14ac:dyDescent="0.2">
      <c r="S587"/>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363"/>
  <sheetViews>
    <sheetView view="pageBreakPreview" zoomScale="60" zoomScaleNormal="70" workbookViewId="0">
      <selection activeCell="G195" sqref="G195:O199"/>
    </sheetView>
  </sheetViews>
  <sheetFormatPr defaultRowHeight="24.95" customHeight="1" x14ac:dyDescent="0.25"/>
  <cols>
    <col min="2" max="2" width="9.140625" style="130"/>
    <col min="3" max="3" width="10.140625" style="188" customWidth="1"/>
    <col min="4" max="14" width="9.140625" style="188"/>
    <col min="15" max="15" width="23.140625" style="188" customWidth="1"/>
  </cols>
  <sheetData>
    <row r="1" spans="3:15" ht="15.75" x14ac:dyDescent="0.25"/>
    <row r="2" spans="3:15" ht="15.75" x14ac:dyDescent="0.2">
      <c r="C2" s="367" t="s">
        <v>2088</v>
      </c>
      <c r="D2" s="367"/>
      <c r="E2" s="367"/>
      <c r="F2" s="367"/>
      <c r="G2" s="367"/>
      <c r="H2" s="367"/>
      <c r="I2" s="367"/>
      <c r="J2" s="367"/>
      <c r="K2" s="367"/>
      <c r="L2" s="367"/>
      <c r="M2" s="367"/>
      <c r="N2" s="367"/>
      <c r="O2" s="367"/>
    </row>
    <row r="3" spans="3:15" ht="15.75" x14ac:dyDescent="0.2">
      <c r="C3" s="367" t="s">
        <v>2089</v>
      </c>
      <c r="D3" s="367"/>
      <c r="E3" s="367"/>
      <c r="F3" s="367"/>
      <c r="G3" s="367"/>
      <c r="H3" s="367"/>
      <c r="I3" s="367"/>
      <c r="J3" s="367"/>
      <c r="K3" s="367"/>
      <c r="L3" s="367"/>
      <c r="M3" s="367"/>
      <c r="N3" s="367"/>
      <c r="O3" s="367"/>
    </row>
    <row r="4" spans="3:15" ht="15.75" x14ac:dyDescent="0.2">
      <c r="C4" s="367" t="s">
        <v>2090</v>
      </c>
      <c r="D4" s="367"/>
      <c r="E4" s="367"/>
      <c r="F4" s="367"/>
      <c r="G4" s="367"/>
      <c r="H4" s="367"/>
      <c r="I4" s="367"/>
      <c r="J4" s="367"/>
      <c r="K4" s="367"/>
      <c r="L4" s="367"/>
      <c r="M4" s="367"/>
      <c r="N4" s="367"/>
      <c r="O4" s="367"/>
    </row>
    <row r="5" spans="3:15" ht="15.75" x14ac:dyDescent="0.2">
      <c r="C5" s="367" t="s">
        <v>2091</v>
      </c>
      <c r="D5" s="367"/>
      <c r="E5" s="367"/>
      <c r="F5" s="367"/>
      <c r="G5" s="367"/>
      <c r="H5" s="367"/>
      <c r="I5" s="367"/>
      <c r="J5" s="367"/>
      <c r="K5" s="367"/>
      <c r="L5" s="367"/>
      <c r="M5" s="367"/>
      <c r="N5" s="367"/>
      <c r="O5" s="367"/>
    </row>
    <row r="6" spans="3:15" ht="15.75" x14ac:dyDescent="0.25"/>
    <row r="7" spans="3:15" ht="15.75" x14ac:dyDescent="0.25">
      <c r="C7" s="189" t="s">
        <v>2092</v>
      </c>
      <c r="O7" s="189" t="s">
        <v>2093</v>
      </c>
    </row>
    <row r="8" spans="3:15" ht="15.75" x14ac:dyDescent="0.25">
      <c r="C8" s="190"/>
      <c r="D8" s="191"/>
    </row>
    <row r="9" spans="3:15" ht="12.75" x14ac:dyDescent="0.2">
      <c r="C9" s="368" t="s">
        <v>2094</v>
      </c>
      <c r="D9" s="368"/>
      <c r="E9" s="368"/>
      <c r="F9" s="368"/>
      <c r="G9" s="368"/>
      <c r="H9" s="368"/>
      <c r="I9" s="368"/>
      <c r="J9" s="368"/>
      <c r="K9" s="368"/>
      <c r="L9" s="368"/>
      <c r="M9" s="368"/>
      <c r="N9" s="368"/>
      <c r="O9" s="368"/>
    </row>
    <row r="10" spans="3:15" ht="12.75" x14ac:dyDescent="0.2">
      <c r="C10" s="368"/>
      <c r="D10" s="368"/>
      <c r="E10" s="368"/>
      <c r="F10" s="368"/>
      <c r="G10" s="368"/>
      <c r="H10" s="368"/>
      <c r="I10" s="368"/>
      <c r="J10" s="368"/>
      <c r="K10" s="368"/>
      <c r="L10" s="368"/>
      <c r="M10" s="368"/>
      <c r="N10" s="368"/>
      <c r="O10" s="368"/>
    </row>
    <row r="11" spans="3:15" ht="12.75" x14ac:dyDescent="0.2">
      <c r="C11" s="368"/>
      <c r="D11" s="368"/>
      <c r="E11" s="368"/>
      <c r="F11" s="368"/>
      <c r="G11" s="368"/>
      <c r="H11" s="368"/>
      <c r="I11" s="368"/>
      <c r="J11" s="368"/>
      <c r="K11" s="368"/>
      <c r="L11" s="368"/>
      <c r="M11" s="368"/>
      <c r="N11" s="368"/>
      <c r="O11" s="368"/>
    </row>
    <row r="12" spans="3:15" ht="12.75" x14ac:dyDescent="0.2">
      <c r="C12" s="368"/>
      <c r="D12" s="368"/>
      <c r="E12" s="368"/>
      <c r="F12" s="368"/>
      <c r="G12" s="368"/>
      <c r="H12" s="368"/>
      <c r="I12" s="368"/>
      <c r="J12" s="368"/>
      <c r="K12" s="368"/>
      <c r="L12" s="368"/>
      <c r="M12" s="368"/>
      <c r="N12" s="368"/>
      <c r="O12" s="368"/>
    </row>
    <row r="13" spans="3:15" ht="12.75" x14ac:dyDescent="0.2">
      <c r="C13" s="368"/>
      <c r="D13" s="368"/>
      <c r="E13" s="368"/>
      <c r="F13" s="368"/>
      <c r="G13" s="368"/>
      <c r="H13" s="368"/>
      <c r="I13" s="368"/>
      <c r="J13" s="368"/>
      <c r="K13" s="368"/>
      <c r="L13" s="368"/>
      <c r="M13" s="368"/>
      <c r="N13" s="368"/>
      <c r="O13" s="368"/>
    </row>
    <row r="14" spans="3:15" ht="12.75" x14ac:dyDescent="0.2">
      <c r="C14" s="368"/>
      <c r="D14" s="368"/>
      <c r="E14" s="368"/>
      <c r="F14" s="368"/>
      <c r="G14" s="368"/>
      <c r="H14" s="368"/>
      <c r="I14" s="368"/>
      <c r="J14" s="368"/>
      <c r="K14" s="368"/>
      <c r="L14" s="368"/>
      <c r="M14" s="368"/>
      <c r="N14" s="368"/>
      <c r="O14" s="368"/>
    </row>
    <row r="15" spans="3:15" ht="12.75" x14ac:dyDescent="0.2">
      <c r="C15" s="368"/>
      <c r="D15" s="368"/>
      <c r="E15" s="368"/>
      <c r="F15" s="368"/>
      <c r="G15" s="368"/>
      <c r="H15" s="368"/>
      <c r="I15" s="368"/>
      <c r="J15" s="368"/>
      <c r="K15" s="368"/>
      <c r="L15" s="368"/>
      <c r="M15" s="368"/>
      <c r="N15" s="368"/>
      <c r="O15" s="368"/>
    </row>
    <row r="16" spans="3:15" ht="12.75" x14ac:dyDescent="0.2">
      <c r="C16" s="369" t="s">
        <v>2095</v>
      </c>
      <c r="D16" s="369"/>
      <c r="E16" s="369"/>
      <c r="F16" s="369"/>
      <c r="G16" s="369"/>
      <c r="H16" s="369"/>
      <c r="I16" s="369"/>
      <c r="J16" s="369"/>
      <c r="K16" s="369"/>
      <c r="L16" s="369"/>
      <c r="M16" s="369"/>
      <c r="N16" s="369"/>
      <c r="O16" s="369"/>
    </row>
    <row r="17" spans="2:35" ht="12.75" x14ac:dyDescent="0.2">
      <c r="C17" s="369"/>
      <c r="D17" s="369"/>
      <c r="E17" s="369"/>
      <c r="F17" s="369"/>
      <c r="G17" s="369"/>
      <c r="H17" s="369"/>
      <c r="I17" s="369"/>
      <c r="J17" s="369"/>
      <c r="K17" s="369"/>
      <c r="L17" s="369"/>
      <c r="M17" s="369"/>
      <c r="N17" s="369"/>
      <c r="O17" s="369"/>
    </row>
    <row r="18" spans="2:35" ht="15.75" x14ac:dyDescent="0.2">
      <c r="C18" s="189"/>
      <c r="D18" s="189"/>
      <c r="E18" s="189"/>
      <c r="F18" s="189"/>
      <c r="G18" s="189"/>
      <c r="H18" s="189"/>
      <c r="I18" s="189"/>
      <c r="J18" s="189"/>
      <c r="K18" s="189"/>
      <c r="L18" s="189"/>
      <c r="M18" s="189"/>
      <c r="N18" s="189"/>
      <c r="O18" s="189"/>
    </row>
    <row r="19" spans="2:35" ht="31.5" x14ac:dyDescent="0.2">
      <c r="C19" s="192" t="s">
        <v>464</v>
      </c>
      <c r="D19" s="192" t="s">
        <v>465</v>
      </c>
      <c r="E19" s="193" t="s">
        <v>2096</v>
      </c>
      <c r="F19" s="194" t="s">
        <v>2097</v>
      </c>
      <c r="G19" s="353" t="s">
        <v>2098</v>
      </c>
      <c r="H19" s="354"/>
      <c r="I19" s="354"/>
      <c r="J19" s="354"/>
      <c r="K19" s="354"/>
      <c r="L19" s="354"/>
      <c r="M19" s="354"/>
      <c r="N19" s="354"/>
      <c r="O19" s="355"/>
    </row>
    <row r="20" spans="2:35" ht="24.95" customHeight="1" x14ac:dyDescent="0.2">
      <c r="B20" s="130">
        <v>1</v>
      </c>
      <c r="C20" s="353" t="str">
        <f>CONCATENATE(INDEX(Коэффициенты!$B$4:$S$158,MATCH(B20,Коэффициенты!$B$4:$B$158,0),2)," ","участковое лесничество")</f>
        <v>Вишнево-Полянское участковое лесничество</v>
      </c>
      <c r="D20" s="354"/>
      <c r="E20" s="354"/>
      <c r="F20" s="354"/>
      <c r="G20" s="354"/>
      <c r="H20" s="354"/>
      <c r="I20" s="354"/>
      <c r="J20" s="354"/>
      <c r="K20" s="354"/>
      <c r="L20" s="354"/>
      <c r="M20" s="354"/>
      <c r="N20" s="354"/>
      <c r="O20" s="355"/>
    </row>
    <row r="21" spans="2:35" ht="24.95" customHeight="1" x14ac:dyDescent="0.2">
      <c r="C21" s="356">
        <f>INDEX(Коэффициенты!$B$4:$S$59,MATCH(B20,Коэффициенты!$B$4:$B$59,0),3)</f>
        <v>8</v>
      </c>
      <c r="D21" s="356">
        <f>INDEX(Коэффициенты!$B$4:$S$59,MATCH(B20,Коэффициенты!$B$4:$B$59,0),4)</f>
        <v>15</v>
      </c>
      <c r="E21" s="357" t="s">
        <v>434</v>
      </c>
      <c r="F21" s="356">
        <f>INDEX(Коэффициенты!$B$4:$S$59,MATCH(B20,Коэффициенты!$B$4:$B$59,0),6)</f>
        <v>10</v>
      </c>
      <c r="G21" s="358" t="str">
        <f>CONCATENATE("Участок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 ",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",INDEX(Коэффициенты!$B$4:$S$158,MATCH(B20,Коэффициенты!$B$4:$B$158,0),17)," ", "км.
По мере роста культур необходимо своевременное проведение проведения рубок ухода в молодняках - Осветление и Прочистка.")</f>
        <v>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2,22 км.
По мере роста культур необходимо своевременное проведение проведения рубок ухода в молодняках - Осветление и Прочистка.</v>
      </c>
      <c r="H21" s="359"/>
      <c r="I21" s="359"/>
      <c r="J21" s="359"/>
      <c r="K21" s="359"/>
      <c r="L21" s="359"/>
      <c r="M21" s="359"/>
      <c r="N21" s="359"/>
      <c r="O21" s="360"/>
      <c r="AI21" s="229"/>
    </row>
    <row r="22" spans="2:35" ht="24.95" customHeight="1" x14ac:dyDescent="0.2">
      <c r="C22" s="356"/>
      <c r="D22" s="356"/>
      <c r="E22" s="357"/>
      <c r="F22" s="356"/>
      <c r="G22" s="361"/>
      <c r="H22" s="362"/>
      <c r="I22" s="362"/>
      <c r="J22" s="362"/>
      <c r="K22" s="362"/>
      <c r="L22" s="362"/>
      <c r="M22" s="362"/>
      <c r="N22" s="362"/>
      <c r="O22" s="363"/>
    </row>
    <row r="23" spans="2:35" ht="24.95" customHeight="1" x14ac:dyDescent="0.2">
      <c r="C23" s="356"/>
      <c r="D23" s="356"/>
      <c r="E23" s="357"/>
      <c r="F23" s="356"/>
      <c r="G23" s="361"/>
      <c r="H23" s="362"/>
      <c r="I23" s="362"/>
      <c r="J23" s="362"/>
      <c r="K23" s="362"/>
      <c r="L23" s="362"/>
      <c r="M23" s="362"/>
      <c r="N23" s="362"/>
      <c r="O23" s="363"/>
    </row>
    <row r="24" spans="2:35" ht="24.95" customHeight="1" x14ac:dyDescent="0.2">
      <c r="C24" s="356"/>
      <c r="D24" s="356"/>
      <c r="E24" s="357"/>
      <c r="F24" s="356"/>
      <c r="G24" s="361"/>
      <c r="H24" s="362"/>
      <c r="I24" s="362"/>
      <c r="J24" s="362"/>
      <c r="K24" s="362"/>
      <c r="L24" s="362"/>
      <c r="M24" s="362"/>
      <c r="N24" s="362"/>
      <c r="O24" s="363"/>
    </row>
    <row r="25" spans="2:35" ht="24.95" customHeight="1" x14ac:dyDescent="0.2">
      <c r="C25" s="356"/>
      <c r="D25" s="356"/>
      <c r="E25" s="357"/>
      <c r="F25" s="356"/>
      <c r="G25" s="364"/>
      <c r="H25" s="365"/>
      <c r="I25" s="365"/>
      <c r="J25" s="365"/>
      <c r="K25" s="365"/>
      <c r="L25" s="365"/>
      <c r="M25" s="365"/>
      <c r="N25" s="365"/>
      <c r="O25" s="366"/>
    </row>
    <row r="26" spans="2:35" ht="24.95" customHeight="1" x14ac:dyDescent="0.2">
      <c r="B26" s="130">
        <f>B20+1</f>
        <v>2</v>
      </c>
      <c r="C26" s="353" t="str">
        <f>CONCATENATE(INDEX(Коэффициенты!$B$4:$S$158,MATCH(B26,Коэффициенты!$B$4:$B$158,0),2)," ","участковое лесничество")</f>
        <v>Вишнево-Полянское участковое лесничество</v>
      </c>
      <c r="D26" s="354"/>
      <c r="E26" s="354"/>
      <c r="F26" s="354"/>
      <c r="G26" s="354"/>
      <c r="H26" s="354"/>
      <c r="I26" s="354"/>
      <c r="J26" s="354"/>
      <c r="K26" s="354"/>
      <c r="L26" s="354"/>
      <c r="M26" s="354"/>
      <c r="N26" s="354"/>
      <c r="O26" s="355"/>
    </row>
    <row r="27" spans="2:35" ht="24.95" customHeight="1" x14ac:dyDescent="0.2">
      <c r="C27" s="356">
        <f>INDEX(Коэффициенты!$B$4:$S$59,MATCH(B26,Коэффициенты!$B$4:$B$59,0),3)</f>
        <v>8</v>
      </c>
      <c r="D27" s="356">
        <f>INDEX(Коэффициенты!$B$4:$S$59,MATCH(B26,Коэффициенты!$B$4:$B$59,0),4)</f>
        <v>15</v>
      </c>
      <c r="E27" s="357" t="s">
        <v>434</v>
      </c>
      <c r="F27" s="356">
        <f>INDEX(Коэффициенты!$B$4:$S$59,MATCH(B26,Коэффициенты!$B$4:$B$59,0),6)</f>
        <v>7.4</v>
      </c>
      <c r="G27" s="358" t="str">
        <f>CONCATENATE("Участок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 ",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",INDEX(Коэффициенты!$B$4:$S$158,MATCH(B26,Коэффициенты!$B$4:$B$158,0),17)," ", "км.
По мере роста культур необходимо своевременное проведение проведения рубок ухода в молодняках - Осветление и Прочистка.")</f>
        <v>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1,67 км.
По мере роста культур необходимо своевременное проведение проведения рубок ухода в молодняках - Осветление и Прочистка.</v>
      </c>
      <c r="H27" s="359"/>
      <c r="I27" s="359"/>
      <c r="J27" s="359"/>
      <c r="K27" s="359"/>
      <c r="L27" s="359"/>
      <c r="M27" s="359"/>
      <c r="N27" s="359"/>
      <c r="O27" s="360"/>
    </row>
    <row r="28" spans="2:35" ht="24.95" customHeight="1" x14ac:dyDescent="0.2">
      <c r="C28" s="356"/>
      <c r="D28" s="356"/>
      <c r="E28" s="357"/>
      <c r="F28" s="356"/>
      <c r="G28" s="361"/>
      <c r="H28" s="362"/>
      <c r="I28" s="362"/>
      <c r="J28" s="362"/>
      <c r="K28" s="362"/>
      <c r="L28" s="362"/>
      <c r="M28" s="362"/>
      <c r="N28" s="362"/>
      <c r="O28" s="363"/>
    </row>
    <row r="29" spans="2:35" ht="24.95" customHeight="1" x14ac:dyDescent="0.2">
      <c r="C29" s="356"/>
      <c r="D29" s="356"/>
      <c r="E29" s="357"/>
      <c r="F29" s="356"/>
      <c r="G29" s="361"/>
      <c r="H29" s="362"/>
      <c r="I29" s="362"/>
      <c r="J29" s="362"/>
      <c r="K29" s="362"/>
      <c r="L29" s="362"/>
      <c r="M29" s="362"/>
      <c r="N29" s="362"/>
      <c r="O29" s="363"/>
    </row>
    <row r="30" spans="2:35" ht="24.95" customHeight="1" x14ac:dyDescent="0.2">
      <c r="C30" s="356"/>
      <c r="D30" s="356"/>
      <c r="E30" s="357"/>
      <c r="F30" s="356"/>
      <c r="G30" s="361"/>
      <c r="H30" s="362"/>
      <c r="I30" s="362"/>
      <c r="J30" s="362"/>
      <c r="K30" s="362"/>
      <c r="L30" s="362"/>
      <c r="M30" s="362"/>
      <c r="N30" s="362"/>
      <c r="O30" s="363"/>
    </row>
    <row r="31" spans="2:35" ht="24.95" customHeight="1" x14ac:dyDescent="0.2">
      <c r="C31" s="356"/>
      <c r="D31" s="356"/>
      <c r="E31" s="357"/>
      <c r="F31" s="356"/>
      <c r="G31" s="364"/>
      <c r="H31" s="365"/>
      <c r="I31" s="365"/>
      <c r="J31" s="365"/>
      <c r="K31" s="365"/>
      <c r="L31" s="365"/>
      <c r="M31" s="365"/>
      <c r="N31" s="365"/>
      <c r="O31" s="366"/>
    </row>
    <row r="32" spans="2:35" ht="24.95" customHeight="1" x14ac:dyDescent="0.2">
      <c r="B32" s="130">
        <f>B26+1</f>
        <v>3</v>
      </c>
      <c r="C32" s="353" t="str">
        <f>CONCATENATE(INDEX(Коэффициенты!$B$4:$S$158,MATCH(B32,Коэффициенты!$B$4:$B$158,0),2)," ","участковое лесничество")</f>
        <v>Вишнево-Полянское участковое лесничество</v>
      </c>
      <c r="D32" s="354"/>
      <c r="E32" s="354"/>
      <c r="F32" s="354"/>
      <c r="G32" s="354"/>
      <c r="H32" s="354"/>
      <c r="I32" s="354"/>
      <c r="J32" s="354"/>
      <c r="K32" s="354"/>
      <c r="L32" s="354"/>
      <c r="M32" s="354"/>
      <c r="N32" s="354"/>
      <c r="O32" s="355"/>
    </row>
    <row r="33" spans="2:15" ht="24.95" customHeight="1" x14ac:dyDescent="0.2">
      <c r="C33" s="356">
        <f>INDEX(Коэффициенты!$B$4:$S$59,MATCH(B32,Коэффициенты!$B$4:$B$59,0),3)</f>
        <v>15</v>
      </c>
      <c r="D33" s="356">
        <f>INDEX(Коэффициенты!$B$4:$S$59,MATCH(B32,Коэффициенты!$B$4:$B$59,0),4)</f>
        <v>22</v>
      </c>
      <c r="E33" s="357" t="s">
        <v>434</v>
      </c>
      <c r="F33" s="356">
        <f>INDEX(Коэффициенты!$B$4:$S$59,MATCH(B32,Коэффициенты!$B$4:$B$59,0),6)</f>
        <v>4</v>
      </c>
      <c r="G33" s="358" t="str">
        <f>CONCATENATE("Участок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 ",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",INDEX(Коэффициенты!$B$4:$S$158,MATCH(B32,Коэффициенты!$B$4:$B$158,0),17)," ", "км.
По мере роста культур необходимо своевременное проведение проведения рубок ухода в молодняках - Осветление и Прочистка.")</f>
        <v>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0,99 км.
По мере роста культур необходимо своевременное проведение проведения рубок ухода в молодняках - Осветление и Прочистка.</v>
      </c>
      <c r="H33" s="359"/>
      <c r="I33" s="359"/>
      <c r="J33" s="359"/>
      <c r="K33" s="359"/>
      <c r="L33" s="359"/>
      <c r="M33" s="359"/>
      <c r="N33" s="359"/>
      <c r="O33" s="360"/>
    </row>
    <row r="34" spans="2:15" ht="24.95" customHeight="1" x14ac:dyDescent="0.2">
      <c r="C34" s="356"/>
      <c r="D34" s="356"/>
      <c r="E34" s="357"/>
      <c r="F34" s="356"/>
      <c r="G34" s="361"/>
      <c r="H34" s="362"/>
      <c r="I34" s="362"/>
      <c r="J34" s="362"/>
      <c r="K34" s="362"/>
      <c r="L34" s="362"/>
      <c r="M34" s="362"/>
      <c r="N34" s="362"/>
      <c r="O34" s="363"/>
    </row>
    <row r="35" spans="2:15" ht="24.95" customHeight="1" x14ac:dyDescent="0.2">
      <c r="C35" s="356"/>
      <c r="D35" s="356"/>
      <c r="E35" s="357"/>
      <c r="F35" s="356"/>
      <c r="G35" s="361"/>
      <c r="H35" s="362"/>
      <c r="I35" s="362"/>
      <c r="J35" s="362"/>
      <c r="K35" s="362"/>
      <c r="L35" s="362"/>
      <c r="M35" s="362"/>
      <c r="N35" s="362"/>
      <c r="O35" s="363"/>
    </row>
    <row r="36" spans="2:15" ht="24.95" customHeight="1" x14ac:dyDescent="0.2">
      <c r="C36" s="356"/>
      <c r="D36" s="356"/>
      <c r="E36" s="357"/>
      <c r="F36" s="356"/>
      <c r="G36" s="361"/>
      <c r="H36" s="362"/>
      <c r="I36" s="362"/>
      <c r="J36" s="362"/>
      <c r="K36" s="362"/>
      <c r="L36" s="362"/>
      <c r="M36" s="362"/>
      <c r="N36" s="362"/>
      <c r="O36" s="363"/>
    </row>
    <row r="37" spans="2:15" ht="24.95" customHeight="1" x14ac:dyDescent="0.2">
      <c r="C37" s="356"/>
      <c r="D37" s="356"/>
      <c r="E37" s="357"/>
      <c r="F37" s="356"/>
      <c r="G37" s="364"/>
      <c r="H37" s="365"/>
      <c r="I37" s="365"/>
      <c r="J37" s="365"/>
      <c r="K37" s="365"/>
      <c r="L37" s="365"/>
      <c r="M37" s="365"/>
      <c r="N37" s="365"/>
      <c r="O37" s="366"/>
    </row>
    <row r="38" spans="2:15" ht="24.95" customHeight="1" x14ac:dyDescent="0.2">
      <c r="B38" s="130">
        <f>B32+1</f>
        <v>4</v>
      </c>
      <c r="C38" s="353" t="str">
        <f>CONCATENATE(INDEX(Коэффициенты!$B$4:$S$158,MATCH(B38,Коэффициенты!$B$4:$B$158,0),2)," ","участковое лесничество")</f>
        <v>Вишнево-Полянское участковое лесничество</v>
      </c>
      <c r="D38" s="354"/>
      <c r="E38" s="354"/>
      <c r="F38" s="354"/>
      <c r="G38" s="354"/>
      <c r="H38" s="354"/>
      <c r="I38" s="354"/>
      <c r="J38" s="354"/>
      <c r="K38" s="354"/>
      <c r="L38" s="354"/>
      <c r="M38" s="354"/>
      <c r="N38" s="354"/>
      <c r="O38" s="355"/>
    </row>
    <row r="39" spans="2:15" ht="24.95" customHeight="1" x14ac:dyDescent="0.2">
      <c r="C39" s="356">
        <f>INDEX(Коэффициенты!$B$4:$S$59,MATCH(B38,Коэффициенты!$B$4:$B$59,0),3)</f>
        <v>19</v>
      </c>
      <c r="D39" s="356">
        <f>INDEX(Коэффициенты!$B$4:$S$59,MATCH(B38,Коэффициенты!$B$4:$B$59,0),4)</f>
        <v>5</v>
      </c>
      <c r="E39" s="357" t="s">
        <v>434</v>
      </c>
      <c r="F39" s="356">
        <f>INDEX(Коэффициенты!$B$4:$S$59,MATCH(B38,Коэффициенты!$B$4:$B$59,0),6)</f>
        <v>6.5</v>
      </c>
      <c r="G39" s="358" t="str">
        <f>CONCATENATE("Участок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 ",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",INDEX(Коэффициенты!$B$4:$S$158,MATCH(B38,Коэффициенты!$B$4:$B$158,0),17)," ", "км.
По мере роста культур необходимо своевременное проведение проведения рубок ухода в молодняках - Осветление и Прочистка.")</f>
        <v>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1,5 км.
По мере роста культур необходимо своевременное проведение проведения рубок ухода в молодняках - Осветление и Прочистка.</v>
      </c>
      <c r="H39" s="359"/>
      <c r="I39" s="359"/>
      <c r="J39" s="359"/>
      <c r="K39" s="359"/>
      <c r="L39" s="359"/>
      <c r="M39" s="359"/>
      <c r="N39" s="359"/>
      <c r="O39" s="360"/>
    </row>
    <row r="40" spans="2:15" ht="24.95" customHeight="1" x14ac:dyDescent="0.2">
      <c r="C40" s="356"/>
      <c r="D40" s="356"/>
      <c r="E40" s="357"/>
      <c r="F40" s="356"/>
      <c r="G40" s="361"/>
      <c r="H40" s="362"/>
      <c r="I40" s="362"/>
      <c r="J40" s="362"/>
      <c r="K40" s="362"/>
      <c r="L40" s="362"/>
      <c r="M40" s="362"/>
      <c r="N40" s="362"/>
      <c r="O40" s="363"/>
    </row>
    <row r="41" spans="2:15" ht="24.95" customHeight="1" x14ac:dyDescent="0.2">
      <c r="C41" s="356"/>
      <c r="D41" s="356"/>
      <c r="E41" s="357"/>
      <c r="F41" s="356"/>
      <c r="G41" s="361"/>
      <c r="H41" s="362"/>
      <c r="I41" s="362"/>
      <c r="J41" s="362"/>
      <c r="K41" s="362"/>
      <c r="L41" s="362"/>
      <c r="M41" s="362"/>
      <c r="N41" s="362"/>
      <c r="O41" s="363"/>
    </row>
    <row r="42" spans="2:15" ht="24.95" customHeight="1" x14ac:dyDescent="0.2">
      <c r="C42" s="356"/>
      <c r="D42" s="356"/>
      <c r="E42" s="357"/>
      <c r="F42" s="356"/>
      <c r="G42" s="361"/>
      <c r="H42" s="362"/>
      <c r="I42" s="362"/>
      <c r="J42" s="362"/>
      <c r="K42" s="362"/>
      <c r="L42" s="362"/>
      <c r="M42" s="362"/>
      <c r="N42" s="362"/>
      <c r="O42" s="363"/>
    </row>
    <row r="43" spans="2:15" ht="24.95" customHeight="1" x14ac:dyDescent="0.2">
      <c r="C43" s="356"/>
      <c r="D43" s="356"/>
      <c r="E43" s="357"/>
      <c r="F43" s="356"/>
      <c r="G43" s="364"/>
      <c r="H43" s="365"/>
      <c r="I43" s="365"/>
      <c r="J43" s="365"/>
      <c r="K43" s="365"/>
      <c r="L43" s="365"/>
      <c r="M43" s="365"/>
      <c r="N43" s="365"/>
      <c r="O43" s="366"/>
    </row>
    <row r="44" spans="2:15" ht="24.95" customHeight="1" x14ac:dyDescent="0.2">
      <c r="B44" s="130">
        <f>B38+1</f>
        <v>5</v>
      </c>
      <c r="C44" s="353" t="str">
        <f>CONCATENATE(INDEX(Коэффициенты!$B$4:$S$158,MATCH(B44,Коэффициенты!$B$4:$B$158,0),2)," ","участковое лесничество")</f>
        <v>Вишнево-Полянское участковое лесничество</v>
      </c>
      <c r="D44" s="354"/>
      <c r="E44" s="354"/>
      <c r="F44" s="354"/>
      <c r="G44" s="354"/>
      <c r="H44" s="354"/>
      <c r="I44" s="354"/>
      <c r="J44" s="354"/>
      <c r="K44" s="354"/>
      <c r="L44" s="354"/>
      <c r="M44" s="354"/>
      <c r="N44" s="354"/>
      <c r="O44" s="355"/>
    </row>
    <row r="45" spans="2:15" ht="24.95" customHeight="1" x14ac:dyDescent="0.2">
      <c r="C45" s="356">
        <f>INDEX(Коэффициенты!$B$4:$S$59,MATCH(B44,Коэффициенты!$B$4:$B$59,0),3)</f>
        <v>32</v>
      </c>
      <c r="D45" s="356">
        <f>INDEX(Коэффициенты!$B$4:$S$59,MATCH(B44,Коэффициенты!$B$4:$B$59,0),4)</f>
        <v>7</v>
      </c>
      <c r="E45" s="357" t="s">
        <v>434</v>
      </c>
      <c r="F45" s="356">
        <f>INDEX(Коэффициенты!$B$4:$S$59,MATCH(B44,Коэффициенты!$B$4:$B$59,0),6)</f>
        <v>2.5</v>
      </c>
      <c r="G45" s="358" t="str">
        <f>CONCATENATE("Участок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 ",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",INDEX(Коэффициенты!$B$4:$S$158,MATCH(B44,Коэффициенты!$B$4:$B$158,0),17)," ", "км.
По мере роста культур необходимо своевременное проведение проведения рубок ухода в молодняках - Осветление и Прочистка.")</f>
        <v>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0,7 км.
По мере роста культур необходимо своевременное проведение проведения рубок ухода в молодняках - Осветление и Прочистка.</v>
      </c>
      <c r="H45" s="359"/>
      <c r="I45" s="359"/>
      <c r="J45" s="359"/>
      <c r="K45" s="359"/>
      <c r="L45" s="359"/>
      <c r="M45" s="359"/>
      <c r="N45" s="359"/>
      <c r="O45" s="360"/>
    </row>
    <row r="46" spans="2:15" ht="24.95" customHeight="1" x14ac:dyDescent="0.2">
      <c r="C46" s="356"/>
      <c r="D46" s="356"/>
      <c r="E46" s="357"/>
      <c r="F46" s="356"/>
      <c r="G46" s="361"/>
      <c r="H46" s="362"/>
      <c r="I46" s="362"/>
      <c r="J46" s="362"/>
      <c r="K46" s="362"/>
      <c r="L46" s="362"/>
      <c r="M46" s="362"/>
      <c r="N46" s="362"/>
      <c r="O46" s="363"/>
    </row>
    <row r="47" spans="2:15" ht="24.95" customHeight="1" x14ac:dyDescent="0.2">
      <c r="C47" s="356"/>
      <c r="D47" s="356"/>
      <c r="E47" s="357"/>
      <c r="F47" s="356"/>
      <c r="G47" s="361"/>
      <c r="H47" s="362"/>
      <c r="I47" s="362"/>
      <c r="J47" s="362"/>
      <c r="K47" s="362"/>
      <c r="L47" s="362"/>
      <c r="M47" s="362"/>
      <c r="N47" s="362"/>
      <c r="O47" s="363"/>
    </row>
    <row r="48" spans="2:15" ht="24.95" customHeight="1" x14ac:dyDescent="0.2">
      <c r="C48" s="356"/>
      <c r="D48" s="356"/>
      <c r="E48" s="357"/>
      <c r="F48" s="356"/>
      <c r="G48" s="361"/>
      <c r="H48" s="362"/>
      <c r="I48" s="362"/>
      <c r="J48" s="362"/>
      <c r="K48" s="362"/>
      <c r="L48" s="362"/>
      <c r="M48" s="362"/>
      <c r="N48" s="362"/>
      <c r="O48" s="363"/>
    </row>
    <row r="49" spans="2:15" ht="24.95" customHeight="1" x14ac:dyDescent="0.2">
      <c r="C49" s="356"/>
      <c r="D49" s="356"/>
      <c r="E49" s="357"/>
      <c r="F49" s="356"/>
      <c r="G49" s="364"/>
      <c r="H49" s="365"/>
      <c r="I49" s="365"/>
      <c r="J49" s="365"/>
      <c r="K49" s="365"/>
      <c r="L49" s="365"/>
      <c r="M49" s="365"/>
      <c r="N49" s="365"/>
      <c r="O49" s="366"/>
    </row>
    <row r="50" spans="2:15" ht="24.95" customHeight="1" x14ac:dyDescent="0.2">
      <c r="B50" s="130">
        <f>B44+1</f>
        <v>6</v>
      </c>
      <c r="C50" s="353" t="str">
        <f>CONCATENATE(INDEX(Коэффициенты!$B$4:$S$158,MATCH(B50,Коэффициенты!$B$4:$B$158,0),2)," ","участковое лесничество")</f>
        <v>Вишнево-Полянское участковое лесничество</v>
      </c>
      <c r="D50" s="354"/>
      <c r="E50" s="354"/>
      <c r="F50" s="354"/>
      <c r="G50" s="354"/>
      <c r="H50" s="354"/>
      <c r="I50" s="354"/>
      <c r="J50" s="354"/>
      <c r="K50" s="354"/>
      <c r="L50" s="354"/>
      <c r="M50" s="354"/>
      <c r="N50" s="354"/>
      <c r="O50" s="355"/>
    </row>
    <row r="51" spans="2:15" ht="24.95" customHeight="1" x14ac:dyDescent="0.2">
      <c r="C51" s="356">
        <f>INDEX(Коэффициенты!$B$4:$S$59,MATCH(B50,Коэффициенты!$B$4:$B$59,0),3)</f>
        <v>32</v>
      </c>
      <c r="D51" s="356">
        <f>INDEX(Коэффициенты!$B$4:$S$59,MATCH(B50,Коэффициенты!$B$4:$B$59,0),4)</f>
        <v>7</v>
      </c>
      <c r="E51" s="357" t="s">
        <v>434</v>
      </c>
      <c r="F51" s="356">
        <f>INDEX(Коэффициенты!$B$4:$S$59,MATCH(B50,Коэффициенты!$B$4:$B$59,0),6)</f>
        <v>2.5</v>
      </c>
      <c r="G51" s="358" t="str">
        <f>CONCATENATE("Участок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 ",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",INDEX(Коэффициенты!$B$4:$S$158,MATCH(B50,Коэффициенты!$B$4:$B$158,0),17)," ", "км.
По мере роста культур необходимо своевременное проведение проведения рубок ухода в молодняках - Осветление и Прочистка.")</f>
        <v>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0,7 км.
По мере роста культур необходимо своевременное проведение проведения рубок ухода в молодняках - Осветление и Прочистка.</v>
      </c>
      <c r="H51" s="359"/>
      <c r="I51" s="359"/>
      <c r="J51" s="359"/>
      <c r="K51" s="359"/>
      <c r="L51" s="359"/>
      <c r="M51" s="359"/>
      <c r="N51" s="359"/>
      <c r="O51" s="360"/>
    </row>
    <row r="52" spans="2:15" ht="24.95" customHeight="1" x14ac:dyDescent="0.2">
      <c r="C52" s="356"/>
      <c r="D52" s="356"/>
      <c r="E52" s="357"/>
      <c r="F52" s="356"/>
      <c r="G52" s="361"/>
      <c r="H52" s="362"/>
      <c r="I52" s="362"/>
      <c r="J52" s="362"/>
      <c r="K52" s="362"/>
      <c r="L52" s="362"/>
      <c r="M52" s="362"/>
      <c r="N52" s="362"/>
      <c r="O52" s="363"/>
    </row>
    <row r="53" spans="2:15" ht="24.95" customHeight="1" x14ac:dyDescent="0.2">
      <c r="C53" s="356"/>
      <c r="D53" s="356"/>
      <c r="E53" s="357"/>
      <c r="F53" s="356"/>
      <c r="G53" s="361"/>
      <c r="H53" s="362"/>
      <c r="I53" s="362"/>
      <c r="J53" s="362"/>
      <c r="K53" s="362"/>
      <c r="L53" s="362"/>
      <c r="M53" s="362"/>
      <c r="N53" s="362"/>
      <c r="O53" s="363"/>
    </row>
    <row r="54" spans="2:15" ht="24.95" customHeight="1" x14ac:dyDescent="0.2">
      <c r="C54" s="356"/>
      <c r="D54" s="356"/>
      <c r="E54" s="357"/>
      <c r="F54" s="356"/>
      <c r="G54" s="361"/>
      <c r="H54" s="362"/>
      <c r="I54" s="362"/>
      <c r="J54" s="362"/>
      <c r="K54" s="362"/>
      <c r="L54" s="362"/>
      <c r="M54" s="362"/>
      <c r="N54" s="362"/>
      <c r="O54" s="363"/>
    </row>
    <row r="55" spans="2:15" ht="24.95" customHeight="1" x14ac:dyDescent="0.2">
      <c r="C55" s="356"/>
      <c r="D55" s="356"/>
      <c r="E55" s="357"/>
      <c r="F55" s="356"/>
      <c r="G55" s="364"/>
      <c r="H55" s="365"/>
      <c r="I55" s="365"/>
      <c r="J55" s="365"/>
      <c r="K55" s="365"/>
      <c r="L55" s="365"/>
      <c r="M55" s="365"/>
      <c r="N55" s="365"/>
      <c r="O55" s="366"/>
    </row>
    <row r="56" spans="2:15" ht="24.95" customHeight="1" x14ac:dyDescent="0.2">
      <c r="B56" s="130">
        <f>B50+1</f>
        <v>7</v>
      </c>
      <c r="C56" s="353" t="str">
        <f>CONCATENATE(INDEX(Коэффициенты!$B$4:$S$158,MATCH(B56,Коэффициенты!$B$4:$B$158,0),2)," ","участковое лесничество")</f>
        <v>Вишнево-Полянское участковое лесничество</v>
      </c>
      <c r="D56" s="354"/>
      <c r="E56" s="354"/>
      <c r="F56" s="354"/>
      <c r="G56" s="354"/>
      <c r="H56" s="354"/>
      <c r="I56" s="354"/>
      <c r="J56" s="354"/>
      <c r="K56" s="354"/>
      <c r="L56" s="354"/>
      <c r="M56" s="354"/>
      <c r="N56" s="354"/>
      <c r="O56" s="355"/>
    </row>
    <row r="57" spans="2:15" ht="24.95" customHeight="1" x14ac:dyDescent="0.2">
      <c r="C57" s="356">
        <f>INDEX(Коэффициенты!$B$4:$S$59,MATCH(B56,Коэффициенты!$B$4:$B$59,0),3)</f>
        <v>32</v>
      </c>
      <c r="D57" s="356">
        <f>INDEX(Коэффициенты!$B$4:$S$59,MATCH(B56,Коэффициенты!$B$4:$B$59,0),4)</f>
        <v>7</v>
      </c>
      <c r="E57" s="357" t="s">
        <v>434</v>
      </c>
      <c r="F57" s="356">
        <f>INDEX(Коэффициенты!$B$4:$S$59,MATCH(B56,Коэффициенты!$B$4:$B$59,0),6)</f>
        <v>4.4000000000000004</v>
      </c>
      <c r="G57" s="358" t="str">
        <f>CONCATENATE("Участок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 ",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",INDEX(Коэффициенты!$B$4:$S$158,MATCH(B56,Коэффициенты!$B$4:$B$158,0),17)," ", "км.
По мере роста культур необходимо своевременное проведение проведения рубок ухода в молодняках - Осветление и Прочистка.")</f>
        <v>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1,1 км.
По мере роста культур необходимо своевременное проведение проведения рубок ухода в молодняках - Осветление и Прочистка.</v>
      </c>
      <c r="H57" s="359"/>
      <c r="I57" s="359"/>
      <c r="J57" s="359"/>
      <c r="K57" s="359"/>
      <c r="L57" s="359"/>
      <c r="M57" s="359"/>
      <c r="N57" s="359"/>
      <c r="O57" s="360"/>
    </row>
    <row r="58" spans="2:15" ht="24.95" customHeight="1" x14ac:dyDescent="0.2">
      <c r="C58" s="356"/>
      <c r="D58" s="356"/>
      <c r="E58" s="357"/>
      <c r="F58" s="356"/>
      <c r="G58" s="361"/>
      <c r="H58" s="362"/>
      <c r="I58" s="362"/>
      <c r="J58" s="362"/>
      <c r="K58" s="362"/>
      <c r="L58" s="362"/>
      <c r="M58" s="362"/>
      <c r="N58" s="362"/>
      <c r="O58" s="363"/>
    </row>
    <row r="59" spans="2:15" ht="24.95" customHeight="1" x14ac:dyDescent="0.2">
      <c r="C59" s="356"/>
      <c r="D59" s="356"/>
      <c r="E59" s="357"/>
      <c r="F59" s="356"/>
      <c r="G59" s="361"/>
      <c r="H59" s="362"/>
      <c r="I59" s="362"/>
      <c r="J59" s="362"/>
      <c r="K59" s="362"/>
      <c r="L59" s="362"/>
      <c r="M59" s="362"/>
      <c r="N59" s="362"/>
      <c r="O59" s="363"/>
    </row>
    <row r="60" spans="2:15" ht="24.95" customHeight="1" x14ac:dyDescent="0.2">
      <c r="C60" s="356"/>
      <c r="D60" s="356"/>
      <c r="E60" s="357"/>
      <c r="F60" s="356"/>
      <c r="G60" s="361"/>
      <c r="H60" s="362"/>
      <c r="I60" s="362"/>
      <c r="J60" s="362"/>
      <c r="K60" s="362"/>
      <c r="L60" s="362"/>
      <c r="M60" s="362"/>
      <c r="N60" s="362"/>
      <c r="O60" s="363"/>
    </row>
    <row r="61" spans="2:15" ht="24.95" customHeight="1" x14ac:dyDescent="0.2">
      <c r="C61" s="356"/>
      <c r="D61" s="356"/>
      <c r="E61" s="357"/>
      <c r="F61" s="356"/>
      <c r="G61" s="364"/>
      <c r="H61" s="365"/>
      <c r="I61" s="365"/>
      <c r="J61" s="365"/>
      <c r="K61" s="365"/>
      <c r="L61" s="365"/>
      <c r="M61" s="365"/>
      <c r="N61" s="365"/>
      <c r="O61" s="366"/>
    </row>
    <row r="62" spans="2:15" ht="24.95" customHeight="1" x14ac:dyDescent="0.2">
      <c r="B62" s="130">
        <f>B56+1</f>
        <v>8</v>
      </c>
      <c r="C62" s="353" t="str">
        <f>CONCATENATE(INDEX(Коэффициенты!$B$4:$S$158,MATCH(B62,Коэффициенты!$B$4:$B$158,0),2)," ","участковое лесничество")</f>
        <v>Вишнево-Полянское участковое лесничество</v>
      </c>
      <c r="D62" s="354"/>
      <c r="E62" s="354"/>
      <c r="F62" s="354"/>
      <c r="G62" s="354"/>
      <c r="H62" s="354"/>
      <c r="I62" s="354"/>
      <c r="J62" s="354"/>
      <c r="K62" s="354"/>
      <c r="L62" s="354"/>
      <c r="M62" s="354"/>
      <c r="N62" s="354"/>
      <c r="O62" s="355"/>
    </row>
    <row r="63" spans="2:15" ht="24.95" customHeight="1" x14ac:dyDescent="0.2">
      <c r="C63" s="356">
        <f>INDEX(Коэффициенты!$B$4:$S$59,MATCH(B62,Коэффициенты!$B$4:$B$59,0),3)</f>
        <v>33</v>
      </c>
      <c r="D63" s="356">
        <f>INDEX(Коэффициенты!$B$4:$S$59,MATCH(B62,Коэффициенты!$B$4:$B$59,0),4)</f>
        <v>4</v>
      </c>
      <c r="E63" s="357" t="s">
        <v>434</v>
      </c>
      <c r="F63" s="356">
        <f>INDEX(Коэффициенты!$B$4:$S$59,MATCH(B62,Коэффициенты!$B$4:$B$59,0),6)</f>
        <v>6</v>
      </c>
      <c r="G63" s="358" t="str">
        <f>CONCATENATE("Участок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 ",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",INDEX(Коэффициенты!$B$4:$S$158,MATCH(B62,Коэффициенты!$B$4:$B$158,0),17)," ", "км.
По мере роста культур необходимо своевременное проведение проведения рубок ухода в молодняках - Осветление и Прочистка.")</f>
        <v>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1,45 км.
По мере роста культур необходимо своевременное проведение проведения рубок ухода в молодняках - Осветление и Прочистка.</v>
      </c>
      <c r="H63" s="359"/>
      <c r="I63" s="359"/>
      <c r="J63" s="359"/>
      <c r="K63" s="359"/>
      <c r="L63" s="359"/>
      <c r="M63" s="359"/>
      <c r="N63" s="359"/>
      <c r="O63" s="360"/>
    </row>
    <row r="64" spans="2:15" ht="24.95" customHeight="1" x14ac:dyDescent="0.2">
      <c r="C64" s="356"/>
      <c r="D64" s="356"/>
      <c r="E64" s="357"/>
      <c r="F64" s="356"/>
      <c r="G64" s="361"/>
      <c r="H64" s="362"/>
      <c r="I64" s="362"/>
      <c r="J64" s="362"/>
      <c r="K64" s="362"/>
      <c r="L64" s="362"/>
      <c r="M64" s="362"/>
      <c r="N64" s="362"/>
      <c r="O64" s="363"/>
    </row>
    <row r="65" spans="2:15" ht="24.95" customHeight="1" x14ac:dyDescent="0.2">
      <c r="C65" s="356"/>
      <c r="D65" s="356"/>
      <c r="E65" s="357"/>
      <c r="F65" s="356"/>
      <c r="G65" s="361"/>
      <c r="H65" s="362"/>
      <c r="I65" s="362"/>
      <c r="J65" s="362"/>
      <c r="K65" s="362"/>
      <c r="L65" s="362"/>
      <c r="M65" s="362"/>
      <c r="N65" s="362"/>
      <c r="O65" s="363"/>
    </row>
    <row r="66" spans="2:15" ht="24.95" customHeight="1" x14ac:dyDescent="0.2">
      <c r="C66" s="356"/>
      <c r="D66" s="356"/>
      <c r="E66" s="357"/>
      <c r="F66" s="356"/>
      <c r="G66" s="361"/>
      <c r="H66" s="362"/>
      <c r="I66" s="362"/>
      <c r="J66" s="362"/>
      <c r="K66" s="362"/>
      <c r="L66" s="362"/>
      <c r="M66" s="362"/>
      <c r="N66" s="362"/>
      <c r="O66" s="363"/>
    </row>
    <row r="67" spans="2:15" ht="24.95" customHeight="1" x14ac:dyDescent="0.2">
      <c r="C67" s="356"/>
      <c r="D67" s="356"/>
      <c r="E67" s="357"/>
      <c r="F67" s="356"/>
      <c r="G67" s="364"/>
      <c r="H67" s="365"/>
      <c r="I67" s="365"/>
      <c r="J67" s="365"/>
      <c r="K67" s="365"/>
      <c r="L67" s="365"/>
      <c r="M67" s="365"/>
      <c r="N67" s="365"/>
      <c r="O67" s="366"/>
    </row>
    <row r="68" spans="2:15" ht="24.95" customHeight="1" x14ac:dyDescent="0.2">
      <c r="B68" s="130">
        <f>B62+1</f>
        <v>9</v>
      </c>
      <c r="C68" s="353" t="str">
        <f>CONCATENATE(INDEX(Коэффициенты!$B$4:$S$158,MATCH(B68,Коэффициенты!$B$4:$B$158,0),2)," ","участковое лесничество")</f>
        <v>Вишнево-Полянское участковое лесничество</v>
      </c>
      <c r="D68" s="354"/>
      <c r="E68" s="354"/>
      <c r="F68" s="354"/>
      <c r="G68" s="354"/>
      <c r="H68" s="354"/>
      <c r="I68" s="354"/>
      <c r="J68" s="354"/>
      <c r="K68" s="354"/>
      <c r="L68" s="354"/>
      <c r="M68" s="354"/>
      <c r="N68" s="354"/>
      <c r="O68" s="355"/>
    </row>
    <row r="69" spans="2:15" ht="24.95" customHeight="1" x14ac:dyDescent="0.2">
      <c r="C69" s="356">
        <f>INDEX(Коэффициенты!$B$4:$S$59,MATCH(B68,Коэффициенты!$B$4:$B$59,0),3)</f>
        <v>90</v>
      </c>
      <c r="D69" s="356">
        <f>INDEX(Коэффициенты!$B$4:$S$59,MATCH(B68,Коэффициенты!$B$4:$B$59,0),4)</f>
        <v>1</v>
      </c>
      <c r="E69" s="357" t="s">
        <v>434</v>
      </c>
      <c r="F69" s="356">
        <f>INDEX(Коэффициенты!$B$4:$S$59,MATCH(B68,Коэффициенты!$B$4:$B$59,0),6)</f>
        <v>9.5</v>
      </c>
      <c r="G69" s="358" t="str">
        <f>CONCATENATE("Участок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 ",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",INDEX(Коэффициенты!$B$4:$S$158,MATCH(B68,Коэффициенты!$B$4:$B$158,0),17)," ", "км.
По мере роста культур необходимо своевременное проведение проведения рубок ухода в молодняках - Осветление и Прочистка.")</f>
        <v>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2,03 км.
По мере роста культур необходимо своевременное проведение проведения рубок ухода в молодняках - Осветление и Прочистка.</v>
      </c>
      <c r="H69" s="359"/>
      <c r="I69" s="359"/>
      <c r="J69" s="359"/>
      <c r="K69" s="359"/>
      <c r="L69" s="359"/>
      <c r="M69" s="359"/>
      <c r="N69" s="359"/>
      <c r="O69" s="360"/>
    </row>
    <row r="70" spans="2:15" ht="24.95" customHeight="1" x14ac:dyDescent="0.2">
      <c r="C70" s="356"/>
      <c r="D70" s="356"/>
      <c r="E70" s="357"/>
      <c r="F70" s="356"/>
      <c r="G70" s="361"/>
      <c r="H70" s="362"/>
      <c r="I70" s="362"/>
      <c r="J70" s="362"/>
      <c r="K70" s="362"/>
      <c r="L70" s="362"/>
      <c r="M70" s="362"/>
      <c r="N70" s="362"/>
      <c r="O70" s="363"/>
    </row>
    <row r="71" spans="2:15" ht="24.95" customHeight="1" x14ac:dyDescent="0.2">
      <c r="C71" s="356"/>
      <c r="D71" s="356"/>
      <c r="E71" s="357"/>
      <c r="F71" s="356"/>
      <c r="G71" s="361"/>
      <c r="H71" s="362"/>
      <c r="I71" s="362"/>
      <c r="J71" s="362"/>
      <c r="K71" s="362"/>
      <c r="L71" s="362"/>
      <c r="M71" s="362"/>
      <c r="N71" s="362"/>
      <c r="O71" s="363"/>
    </row>
    <row r="72" spans="2:15" ht="24.95" customHeight="1" x14ac:dyDescent="0.2">
      <c r="C72" s="356"/>
      <c r="D72" s="356"/>
      <c r="E72" s="357"/>
      <c r="F72" s="356"/>
      <c r="G72" s="361"/>
      <c r="H72" s="362"/>
      <c r="I72" s="362"/>
      <c r="J72" s="362"/>
      <c r="K72" s="362"/>
      <c r="L72" s="362"/>
      <c r="M72" s="362"/>
      <c r="N72" s="362"/>
      <c r="O72" s="363"/>
    </row>
    <row r="73" spans="2:15" ht="24.95" customHeight="1" x14ac:dyDescent="0.2">
      <c r="C73" s="356"/>
      <c r="D73" s="356"/>
      <c r="E73" s="357"/>
      <c r="F73" s="356"/>
      <c r="G73" s="364"/>
      <c r="H73" s="365"/>
      <c r="I73" s="365"/>
      <c r="J73" s="365"/>
      <c r="K73" s="365"/>
      <c r="L73" s="365"/>
      <c r="M73" s="365"/>
      <c r="N73" s="365"/>
      <c r="O73" s="366"/>
    </row>
    <row r="74" spans="2:15" ht="24.95" customHeight="1" x14ac:dyDescent="0.2">
      <c r="B74" s="130">
        <f>B68+1</f>
        <v>10</v>
      </c>
      <c r="C74" s="353" t="str">
        <f>CONCATENATE(INDEX(Коэффициенты!$B$4:$S$158,MATCH(B74,Коэффициенты!$B$4:$B$158,0),2)," ","участковое лесничество")</f>
        <v>Вишнево-Полянское участковое лесничество</v>
      </c>
      <c r="D74" s="354"/>
      <c r="E74" s="354"/>
      <c r="F74" s="354"/>
      <c r="G74" s="354"/>
      <c r="H74" s="354"/>
      <c r="I74" s="354"/>
      <c r="J74" s="354"/>
      <c r="K74" s="354"/>
      <c r="L74" s="354"/>
      <c r="M74" s="354"/>
      <c r="N74" s="354"/>
      <c r="O74" s="355"/>
    </row>
    <row r="75" spans="2:15" ht="24.95" customHeight="1" x14ac:dyDescent="0.2">
      <c r="C75" s="356">
        <f>INDEX(Коэффициенты!$B$4:$S$59,MATCH(B74,Коэффициенты!$B$4:$B$59,0),3)</f>
        <v>90</v>
      </c>
      <c r="D75" s="356">
        <f>INDEX(Коэффициенты!$B$4:$S$59,MATCH(B74,Коэффициенты!$B$4:$B$59,0),4)</f>
        <v>18</v>
      </c>
      <c r="E75" s="357" t="s">
        <v>434</v>
      </c>
      <c r="F75" s="356">
        <f>INDEX(Коэффициенты!$B$4:$S$59,MATCH(B74,Коэффициенты!$B$4:$B$59,0),6)</f>
        <v>4.9000000000000004</v>
      </c>
      <c r="G75" s="358" t="str">
        <f>CONCATENATE("Участок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 ",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",INDEX(Коэффициенты!$B$4:$S$158,MATCH(B74,Коэффициенты!$B$4:$B$158,0),17)," ", "км.
По мере роста культур необходимо своевременное проведение проведения рубок ухода в молодняках - Осветление и Прочистка.")</f>
        <v>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1,11 км.
По мере роста культур необходимо своевременное проведение проведения рубок ухода в молодняках - Осветление и Прочистка.</v>
      </c>
      <c r="H75" s="359"/>
      <c r="I75" s="359"/>
      <c r="J75" s="359"/>
      <c r="K75" s="359"/>
      <c r="L75" s="359"/>
      <c r="M75" s="359"/>
      <c r="N75" s="359"/>
      <c r="O75" s="360"/>
    </row>
    <row r="76" spans="2:15" ht="24.95" customHeight="1" x14ac:dyDescent="0.2">
      <c r="C76" s="356"/>
      <c r="D76" s="356"/>
      <c r="E76" s="357"/>
      <c r="F76" s="356"/>
      <c r="G76" s="361"/>
      <c r="H76" s="362"/>
      <c r="I76" s="362"/>
      <c r="J76" s="362"/>
      <c r="K76" s="362"/>
      <c r="L76" s="362"/>
      <c r="M76" s="362"/>
      <c r="N76" s="362"/>
      <c r="O76" s="363"/>
    </row>
    <row r="77" spans="2:15" ht="24.95" customHeight="1" x14ac:dyDescent="0.2">
      <c r="C77" s="356"/>
      <c r="D77" s="356"/>
      <c r="E77" s="357"/>
      <c r="F77" s="356"/>
      <c r="G77" s="361"/>
      <c r="H77" s="362"/>
      <c r="I77" s="362"/>
      <c r="J77" s="362"/>
      <c r="K77" s="362"/>
      <c r="L77" s="362"/>
      <c r="M77" s="362"/>
      <c r="N77" s="362"/>
      <c r="O77" s="363"/>
    </row>
    <row r="78" spans="2:15" ht="24.95" customHeight="1" x14ac:dyDescent="0.2">
      <c r="C78" s="356"/>
      <c r="D78" s="356"/>
      <c r="E78" s="357"/>
      <c r="F78" s="356"/>
      <c r="G78" s="361"/>
      <c r="H78" s="362"/>
      <c r="I78" s="362"/>
      <c r="J78" s="362"/>
      <c r="K78" s="362"/>
      <c r="L78" s="362"/>
      <c r="M78" s="362"/>
      <c r="N78" s="362"/>
      <c r="O78" s="363"/>
    </row>
    <row r="79" spans="2:15" ht="24.95" customHeight="1" x14ac:dyDescent="0.2">
      <c r="C79" s="356"/>
      <c r="D79" s="356"/>
      <c r="E79" s="357"/>
      <c r="F79" s="356"/>
      <c r="G79" s="364"/>
      <c r="H79" s="365"/>
      <c r="I79" s="365"/>
      <c r="J79" s="365"/>
      <c r="K79" s="365"/>
      <c r="L79" s="365"/>
      <c r="M79" s="365"/>
      <c r="N79" s="365"/>
      <c r="O79" s="366"/>
    </row>
    <row r="80" spans="2:15" ht="24.95" customHeight="1" x14ac:dyDescent="0.2">
      <c r="B80" s="130">
        <f>B74+1</f>
        <v>11</v>
      </c>
      <c r="C80" s="353" t="str">
        <f>CONCATENATE(INDEX(Коэффициенты!$B$4:$S$158,MATCH(B80,Коэффициенты!$B$4:$B$158,0),2)," ","участковое лесничество")</f>
        <v>Восходское участковое лесничество</v>
      </c>
      <c r="D80" s="354"/>
      <c r="E80" s="354"/>
      <c r="F80" s="354"/>
      <c r="G80" s="354"/>
      <c r="H80" s="354"/>
      <c r="I80" s="354"/>
      <c r="J80" s="354"/>
      <c r="K80" s="354"/>
      <c r="L80" s="354"/>
      <c r="M80" s="354"/>
      <c r="N80" s="354"/>
      <c r="O80" s="355"/>
    </row>
    <row r="81" spans="2:15" ht="24.95" customHeight="1" x14ac:dyDescent="0.2">
      <c r="C81" s="356">
        <f>INDEX(Коэффициенты!$B$4:$S$59,MATCH(B80,Коэффициенты!$B$4:$B$59,0),3)</f>
        <v>9</v>
      </c>
      <c r="D81" s="356">
        <f>INDEX(Коэффициенты!$B$4:$S$59,MATCH(B80,Коэффициенты!$B$4:$B$59,0),4)</f>
        <v>19</v>
      </c>
      <c r="E81" s="357" t="s">
        <v>434</v>
      </c>
      <c r="F81" s="356">
        <f>INDEX(Коэффициенты!$B$4:$S$59,MATCH(B80,Коэффициенты!$B$4:$B$59,0),6)</f>
        <v>4.8</v>
      </c>
      <c r="G81" s="358" t="str">
        <f>CONCATENATE("Участок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 ",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",INDEX(Коэффициенты!$B$4:$S$158,MATCH(B80,Коэффициенты!$B$4:$B$158,0),17)," ", "км.
По мере роста культур необходимо своевременное проведение проведения рубок ухода в молодняках - Осветление и Прочистка.")</f>
        <v>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1,16 км.
По мере роста культур необходимо своевременное проведение проведения рубок ухода в молодняках - Осветление и Прочистка.</v>
      </c>
      <c r="H81" s="359"/>
      <c r="I81" s="359"/>
      <c r="J81" s="359"/>
      <c r="K81" s="359"/>
      <c r="L81" s="359"/>
      <c r="M81" s="359"/>
      <c r="N81" s="359"/>
      <c r="O81" s="360"/>
    </row>
    <row r="82" spans="2:15" ht="24.95" customHeight="1" x14ac:dyDescent="0.2">
      <c r="C82" s="356"/>
      <c r="D82" s="356"/>
      <c r="E82" s="357"/>
      <c r="F82" s="356"/>
      <c r="G82" s="361"/>
      <c r="H82" s="362"/>
      <c r="I82" s="362"/>
      <c r="J82" s="362"/>
      <c r="K82" s="362"/>
      <c r="L82" s="362"/>
      <c r="M82" s="362"/>
      <c r="N82" s="362"/>
      <c r="O82" s="363"/>
    </row>
    <row r="83" spans="2:15" ht="24.95" customHeight="1" x14ac:dyDescent="0.2">
      <c r="C83" s="356"/>
      <c r="D83" s="356"/>
      <c r="E83" s="357"/>
      <c r="F83" s="356"/>
      <c r="G83" s="361"/>
      <c r="H83" s="362"/>
      <c r="I83" s="362"/>
      <c r="J83" s="362"/>
      <c r="K83" s="362"/>
      <c r="L83" s="362"/>
      <c r="M83" s="362"/>
      <c r="N83" s="362"/>
      <c r="O83" s="363"/>
    </row>
    <row r="84" spans="2:15" ht="24.95" customHeight="1" x14ac:dyDescent="0.2">
      <c r="C84" s="356"/>
      <c r="D84" s="356"/>
      <c r="E84" s="357"/>
      <c r="F84" s="356"/>
      <c r="G84" s="361"/>
      <c r="H84" s="362"/>
      <c r="I84" s="362"/>
      <c r="J84" s="362"/>
      <c r="K84" s="362"/>
      <c r="L84" s="362"/>
      <c r="M84" s="362"/>
      <c r="N84" s="362"/>
      <c r="O84" s="363"/>
    </row>
    <row r="85" spans="2:15" ht="24.95" customHeight="1" x14ac:dyDescent="0.2">
      <c r="C85" s="356"/>
      <c r="D85" s="356"/>
      <c r="E85" s="357"/>
      <c r="F85" s="356"/>
      <c r="G85" s="364"/>
      <c r="H85" s="365"/>
      <c r="I85" s="365"/>
      <c r="J85" s="365"/>
      <c r="K85" s="365"/>
      <c r="L85" s="365"/>
      <c r="M85" s="365"/>
      <c r="N85" s="365"/>
      <c r="O85" s="366"/>
    </row>
    <row r="86" spans="2:15" ht="24.95" customHeight="1" x14ac:dyDescent="0.2">
      <c r="B86" s="130">
        <f>B80+1</f>
        <v>12</v>
      </c>
      <c r="C86" s="353" t="str">
        <f>CONCATENATE(INDEX(Коэффициенты!$B$4:$S$158,MATCH(B86,Коэффициенты!$B$4:$B$158,0),2)," ","участковое лесничество")</f>
        <v>Восходское участковое лесничество</v>
      </c>
      <c r="D86" s="354"/>
      <c r="E86" s="354"/>
      <c r="F86" s="354"/>
      <c r="G86" s="354"/>
      <c r="H86" s="354"/>
      <c r="I86" s="354"/>
      <c r="J86" s="354"/>
      <c r="K86" s="354"/>
      <c r="L86" s="354"/>
      <c r="M86" s="354"/>
      <c r="N86" s="354"/>
      <c r="O86" s="355"/>
    </row>
    <row r="87" spans="2:15" ht="24.95" customHeight="1" x14ac:dyDescent="0.2">
      <c r="C87" s="356">
        <f>INDEX(Коэффициенты!$B$4:$S$59,MATCH(B86,Коэффициенты!$B$4:$B$59,0),3)</f>
        <v>24</v>
      </c>
      <c r="D87" s="356">
        <f>INDEX(Коэффициенты!$B$4:$S$59,MATCH(B86,Коэффициенты!$B$4:$B$59,0),4)</f>
        <v>1</v>
      </c>
      <c r="E87" s="357" t="s">
        <v>434</v>
      </c>
      <c r="F87" s="356">
        <f>INDEX(Коэффициенты!$B$4:$S$59,MATCH(B86,Коэффициенты!$B$4:$B$59,0),6)</f>
        <v>6</v>
      </c>
      <c r="G87" s="358" t="str">
        <f>CONCATENATE("Участок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 ",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",INDEX(Коэффициенты!$B$4:$S$158,MATCH(B86,Коэффициенты!$B$4:$B$158,0),17)," ", "км.
По мере роста культур необходимо своевременное проведение проведения рубок ухода в молодняках - Осветление и Прочистка.")</f>
        <v>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1,4 км.
По мере роста культур необходимо своевременное проведение проведения рубок ухода в молодняках - Осветление и Прочистка.</v>
      </c>
      <c r="H87" s="359"/>
      <c r="I87" s="359"/>
      <c r="J87" s="359"/>
      <c r="K87" s="359"/>
      <c r="L87" s="359"/>
      <c r="M87" s="359"/>
      <c r="N87" s="359"/>
      <c r="O87" s="360"/>
    </row>
    <row r="88" spans="2:15" ht="24.95" customHeight="1" x14ac:dyDescent="0.2">
      <c r="C88" s="356"/>
      <c r="D88" s="356"/>
      <c r="E88" s="357"/>
      <c r="F88" s="356"/>
      <c r="G88" s="361"/>
      <c r="H88" s="362"/>
      <c r="I88" s="362"/>
      <c r="J88" s="362"/>
      <c r="K88" s="362"/>
      <c r="L88" s="362"/>
      <c r="M88" s="362"/>
      <c r="N88" s="362"/>
      <c r="O88" s="363"/>
    </row>
    <row r="89" spans="2:15" ht="24.95" customHeight="1" x14ac:dyDescent="0.2">
      <c r="C89" s="356"/>
      <c r="D89" s="356"/>
      <c r="E89" s="357"/>
      <c r="F89" s="356"/>
      <c r="G89" s="361"/>
      <c r="H89" s="362"/>
      <c r="I89" s="362"/>
      <c r="J89" s="362"/>
      <c r="K89" s="362"/>
      <c r="L89" s="362"/>
      <c r="M89" s="362"/>
      <c r="N89" s="362"/>
      <c r="O89" s="363"/>
    </row>
    <row r="90" spans="2:15" ht="24.95" customHeight="1" x14ac:dyDescent="0.2">
      <c r="C90" s="356"/>
      <c r="D90" s="356"/>
      <c r="E90" s="357"/>
      <c r="F90" s="356"/>
      <c r="G90" s="361"/>
      <c r="H90" s="362"/>
      <c r="I90" s="362"/>
      <c r="J90" s="362"/>
      <c r="K90" s="362"/>
      <c r="L90" s="362"/>
      <c r="M90" s="362"/>
      <c r="N90" s="362"/>
      <c r="O90" s="363"/>
    </row>
    <row r="91" spans="2:15" ht="24.95" customHeight="1" x14ac:dyDescent="0.2">
      <c r="C91" s="356"/>
      <c r="D91" s="356"/>
      <c r="E91" s="357"/>
      <c r="F91" s="356"/>
      <c r="G91" s="364"/>
      <c r="H91" s="365"/>
      <c r="I91" s="365"/>
      <c r="J91" s="365"/>
      <c r="K91" s="365"/>
      <c r="L91" s="365"/>
      <c r="M91" s="365"/>
      <c r="N91" s="365"/>
      <c r="O91" s="366"/>
    </row>
    <row r="92" spans="2:15" ht="24.95" customHeight="1" x14ac:dyDescent="0.2">
      <c r="B92" s="130">
        <f>B86+1</f>
        <v>13</v>
      </c>
      <c r="C92" s="353" t="str">
        <f>CONCATENATE(INDEX(Коэффициенты!$B$4:$S$158,MATCH(B92,Коэффициенты!$B$4:$B$158,0),2)," ","участковое лесничество")</f>
        <v>Восходское участковое лесничество</v>
      </c>
      <c r="D92" s="354"/>
      <c r="E92" s="354"/>
      <c r="F92" s="354"/>
      <c r="G92" s="354"/>
      <c r="H92" s="354"/>
      <c r="I92" s="354"/>
      <c r="J92" s="354"/>
      <c r="K92" s="354"/>
      <c r="L92" s="354"/>
      <c r="M92" s="354"/>
      <c r="N92" s="354"/>
      <c r="O92" s="355"/>
    </row>
    <row r="93" spans="2:15" ht="24.95" customHeight="1" x14ac:dyDescent="0.2">
      <c r="C93" s="356">
        <f>INDEX(Коэффициенты!$B$4:$S$59,MATCH(B92,Коэффициенты!$B$4:$B$59,0),3)</f>
        <v>36</v>
      </c>
      <c r="D93" s="356">
        <f>INDEX(Коэффициенты!$B$4:$S$59,MATCH(B92,Коэффициенты!$B$4:$B$59,0),4)</f>
        <v>10</v>
      </c>
      <c r="E93" s="357" t="s">
        <v>434</v>
      </c>
      <c r="F93" s="356">
        <f>INDEX(Коэффициенты!$B$4:$S$59,MATCH(B92,Коэффициенты!$B$4:$B$59,0),6)</f>
        <v>8.5</v>
      </c>
      <c r="G93" s="358" t="str">
        <f>CONCATENATE("Участок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 ",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",INDEX(Коэффициенты!$B$4:$S$158,MATCH(B92,Коэффициенты!$B$4:$B$158,0),17)," ", "км.
По мере роста культур необходимо своевременное проведение проведения рубок ухода в молодняках - Осветление и Прочистка.")</f>
        <v>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1,9 км.
По мере роста культур необходимо своевременное проведение проведения рубок ухода в молодняках - Осветление и Прочистка.</v>
      </c>
      <c r="H93" s="359"/>
      <c r="I93" s="359"/>
      <c r="J93" s="359"/>
      <c r="K93" s="359"/>
      <c r="L93" s="359"/>
      <c r="M93" s="359"/>
      <c r="N93" s="359"/>
      <c r="O93" s="360"/>
    </row>
    <row r="94" spans="2:15" ht="24.95" customHeight="1" x14ac:dyDescent="0.2">
      <c r="C94" s="356"/>
      <c r="D94" s="356"/>
      <c r="E94" s="357"/>
      <c r="F94" s="356"/>
      <c r="G94" s="361"/>
      <c r="H94" s="362"/>
      <c r="I94" s="362"/>
      <c r="J94" s="362"/>
      <c r="K94" s="362"/>
      <c r="L94" s="362"/>
      <c r="M94" s="362"/>
      <c r="N94" s="362"/>
      <c r="O94" s="363"/>
    </row>
    <row r="95" spans="2:15" ht="24.95" customHeight="1" x14ac:dyDescent="0.2">
      <c r="C95" s="356"/>
      <c r="D95" s="356"/>
      <c r="E95" s="357"/>
      <c r="F95" s="356"/>
      <c r="G95" s="361"/>
      <c r="H95" s="362"/>
      <c r="I95" s="362"/>
      <c r="J95" s="362"/>
      <c r="K95" s="362"/>
      <c r="L95" s="362"/>
      <c r="M95" s="362"/>
      <c r="N95" s="362"/>
      <c r="O95" s="363"/>
    </row>
    <row r="96" spans="2:15" ht="24.95" customHeight="1" x14ac:dyDescent="0.2">
      <c r="C96" s="356"/>
      <c r="D96" s="356"/>
      <c r="E96" s="357"/>
      <c r="F96" s="356"/>
      <c r="G96" s="361"/>
      <c r="H96" s="362"/>
      <c r="I96" s="362"/>
      <c r="J96" s="362"/>
      <c r="K96" s="362"/>
      <c r="L96" s="362"/>
      <c r="M96" s="362"/>
      <c r="N96" s="362"/>
      <c r="O96" s="363"/>
    </row>
    <row r="97" spans="2:15" ht="24.95" customHeight="1" x14ac:dyDescent="0.2">
      <c r="C97" s="356"/>
      <c r="D97" s="356"/>
      <c r="E97" s="357"/>
      <c r="F97" s="356"/>
      <c r="G97" s="364"/>
      <c r="H97" s="365"/>
      <c r="I97" s="365"/>
      <c r="J97" s="365"/>
      <c r="K97" s="365"/>
      <c r="L97" s="365"/>
      <c r="M97" s="365"/>
      <c r="N97" s="365"/>
      <c r="O97" s="366"/>
    </row>
    <row r="98" spans="2:15" ht="24.95" customHeight="1" x14ac:dyDescent="0.2">
      <c r="B98" s="130">
        <f>B92+1</f>
        <v>14</v>
      </c>
      <c r="C98" s="353" t="str">
        <f>CONCATENATE(INDEX(Коэффициенты!$B$4:$S$158,MATCH(B98,Коэффициенты!$B$4:$B$158,0),2)," ","участковое лесничество")</f>
        <v>Восходское участковое лесничество</v>
      </c>
      <c r="D98" s="354"/>
      <c r="E98" s="354"/>
      <c r="F98" s="354"/>
      <c r="G98" s="354"/>
      <c r="H98" s="354"/>
      <c r="I98" s="354"/>
      <c r="J98" s="354"/>
      <c r="K98" s="354"/>
      <c r="L98" s="354"/>
      <c r="M98" s="354"/>
      <c r="N98" s="354"/>
      <c r="O98" s="355"/>
    </row>
    <row r="99" spans="2:15" ht="24.95" customHeight="1" x14ac:dyDescent="0.2">
      <c r="C99" s="356">
        <f>INDEX(Коэффициенты!$B$4:$S$59,MATCH(B98,Коэффициенты!$B$4:$B$59,0),3)</f>
        <v>36</v>
      </c>
      <c r="D99" s="356">
        <f>INDEX(Коэффициенты!$B$4:$S$59,MATCH(B98,Коэффициенты!$B$4:$B$59,0),4)</f>
        <v>10</v>
      </c>
      <c r="E99" s="357" t="s">
        <v>434</v>
      </c>
      <c r="F99" s="356">
        <f>INDEX(Коэффициенты!$B$4:$S$59,MATCH(B98,Коэффициенты!$B$4:$B$59,0),6)</f>
        <v>10</v>
      </c>
      <c r="G99" s="358" t="str">
        <f>CONCATENATE("Участок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 ",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",INDEX(Коэффициенты!$B$4:$S$158,MATCH(B98,Коэффициенты!$B$4:$B$158,0),17)," ", "км.
По мере роста культур необходимо своевременное проведение проведения рубок ухода в молодняках - Осветление и Прочистка.")</f>
        <v>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2,2 км.
По мере роста культур необходимо своевременное проведение проведения рубок ухода в молодняках - Осветление и Прочистка.</v>
      </c>
      <c r="H99" s="359"/>
      <c r="I99" s="359"/>
      <c r="J99" s="359"/>
      <c r="K99" s="359"/>
      <c r="L99" s="359"/>
      <c r="M99" s="359"/>
      <c r="N99" s="359"/>
      <c r="O99" s="360"/>
    </row>
    <row r="100" spans="2:15" ht="24.95" customHeight="1" x14ac:dyDescent="0.2">
      <c r="C100" s="356"/>
      <c r="D100" s="356"/>
      <c r="E100" s="357"/>
      <c r="F100" s="356"/>
      <c r="G100" s="361"/>
      <c r="H100" s="362"/>
      <c r="I100" s="362"/>
      <c r="J100" s="362"/>
      <c r="K100" s="362"/>
      <c r="L100" s="362"/>
      <c r="M100" s="362"/>
      <c r="N100" s="362"/>
      <c r="O100" s="363"/>
    </row>
    <row r="101" spans="2:15" ht="24.95" customHeight="1" x14ac:dyDescent="0.2">
      <c r="C101" s="356"/>
      <c r="D101" s="356"/>
      <c r="E101" s="357"/>
      <c r="F101" s="356"/>
      <c r="G101" s="361"/>
      <c r="H101" s="362"/>
      <c r="I101" s="362"/>
      <c r="J101" s="362"/>
      <c r="K101" s="362"/>
      <c r="L101" s="362"/>
      <c r="M101" s="362"/>
      <c r="N101" s="362"/>
      <c r="O101" s="363"/>
    </row>
    <row r="102" spans="2:15" ht="24.95" customHeight="1" x14ac:dyDescent="0.2">
      <c r="C102" s="356"/>
      <c r="D102" s="356"/>
      <c r="E102" s="357"/>
      <c r="F102" s="356"/>
      <c r="G102" s="361"/>
      <c r="H102" s="362"/>
      <c r="I102" s="362"/>
      <c r="J102" s="362"/>
      <c r="K102" s="362"/>
      <c r="L102" s="362"/>
      <c r="M102" s="362"/>
      <c r="N102" s="362"/>
      <c r="O102" s="363"/>
    </row>
    <row r="103" spans="2:15" ht="24.95" customHeight="1" x14ac:dyDescent="0.2">
      <c r="C103" s="356"/>
      <c r="D103" s="356"/>
      <c r="E103" s="357"/>
      <c r="F103" s="356"/>
      <c r="G103" s="364"/>
      <c r="H103" s="365"/>
      <c r="I103" s="365"/>
      <c r="J103" s="365"/>
      <c r="K103" s="365"/>
      <c r="L103" s="365"/>
      <c r="M103" s="365"/>
      <c r="N103" s="365"/>
      <c r="O103" s="366"/>
    </row>
    <row r="104" spans="2:15" ht="24.95" customHeight="1" x14ac:dyDescent="0.2">
      <c r="B104" s="130">
        <f>B98+1</f>
        <v>15</v>
      </c>
      <c r="C104" s="353" t="str">
        <f>CONCATENATE(INDEX(Коэффициенты!$B$4:$S$158,MATCH(B104,Коэффициенты!$B$4:$B$158,0),2)," ","участковое лесничество")</f>
        <v>Восходское участковое лесничество</v>
      </c>
      <c r="D104" s="354"/>
      <c r="E104" s="354"/>
      <c r="F104" s="354"/>
      <c r="G104" s="354"/>
      <c r="H104" s="354"/>
      <c r="I104" s="354"/>
      <c r="J104" s="354"/>
      <c r="K104" s="354"/>
      <c r="L104" s="354"/>
      <c r="M104" s="354"/>
      <c r="N104" s="354"/>
      <c r="O104" s="355"/>
    </row>
    <row r="105" spans="2:15" ht="24.95" customHeight="1" x14ac:dyDescent="0.2">
      <c r="C105" s="356">
        <f>INDEX(Коэффициенты!$B$4:$S$59,MATCH(B104,Коэффициенты!$B$4:$B$59,0),3)</f>
        <v>40</v>
      </c>
      <c r="D105" s="356">
        <f>INDEX(Коэффициенты!$B$4:$S$59,MATCH(B104,Коэффициенты!$B$4:$B$59,0),4)</f>
        <v>7</v>
      </c>
      <c r="E105" s="357" t="s">
        <v>434</v>
      </c>
      <c r="F105" s="356">
        <f>INDEX(Коэффициенты!$B$4:$S$59,MATCH(B104,Коэффициенты!$B$4:$B$59,0),6)</f>
        <v>3.8</v>
      </c>
      <c r="G105" s="358" t="str">
        <f>CONCATENATE("Участок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 ",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",INDEX(Коэффициенты!$B$4:$S$158,MATCH(B104,Коэффициенты!$B$4:$B$158,0),17)," ", "км.
По мере роста культур необходимо своевременное проведение проведения рубок ухода в молодняках - Осветление и Прочистка.")</f>
        <v>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0,96 км.
По мере роста культур необходимо своевременное проведение проведения рубок ухода в молодняках - Осветление и Прочистка.</v>
      </c>
      <c r="H105" s="359"/>
      <c r="I105" s="359"/>
      <c r="J105" s="359"/>
      <c r="K105" s="359"/>
      <c r="L105" s="359"/>
      <c r="M105" s="359"/>
      <c r="N105" s="359"/>
      <c r="O105" s="360"/>
    </row>
    <row r="106" spans="2:15" ht="24.95" customHeight="1" x14ac:dyDescent="0.2">
      <c r="C106" s="356"/>
      <c r="D106" s="356"/>
      <c r="E106" s="357"/>
      <c r="F106" s="356"/>
      <c r="G106" s="361"/>
      <c r="H106" s="362"/>
      <c r="I106" s="362"/>
      <c r="J106" s="362"/>
      <c r="K106" s="362"/>
      <c r="L106" s="362"/>
      <c r="M106" s="362"/>
      <c r="N106" s="362"/>
      <c r="O106" s="363"/>
    </row>
    <row r="107" spans="2:15" ht="24.95" customHeight="1" x14ac:dyDescent="0.2">
      <c r="C107" s="356"/>
      <c r="D107" s="356"/>
      <c r="E107" s="357"/>
      <c r="F107" s="356"/>
      <c r="G107" s="361"/>
      <c r="H107" s="362"/>
      <c r="I107" s="362"/>
      <c r="J107" s="362"/>
      <c r="K107" s="362"/>
      <c r="L107" s="362"/>
      <c r="M107" s="362"/>
      <c r="N107" s="362"/>
      <c r="O107" s="363"/>
    </row>
    <row r="108" spans="2:15" ht="24.95" customHeight="1" x14ac:dyDescent="0.2">
      <c r="C108" s="356"/>
      <c r="D108" s="356"/>
      <c r="E108" s="357"/>
      <c r="F108" s="356"/>
      <c r="G108" s="361"/>
      <c r="H108" s="362"/>
      <c r="I108" s="362"/>
      <c r="J108" s="362"/>
      <c r="K108" s="362"/>
      <c r="L108" s="362"/>
      <c r="M108" s="362"/>
      <c r="N108" s="362"/>
      <c r="O108" s="363"/>
    </row>
    <row r="109" spans="2:15" ht="24.95" customHeight="1" x14ac:dyDescent="0.2">
      <c r="C109" s="356"/>
      <c r="D109" s="356"/>
      <c r="E109" s="357"/>
      <c r="F109" s="356"/>
      <c r="G109" s="364"/>
      <c r="H109" s="365"/>
      <c r="I109" s="365"/>
      <c r="J109" s="365"/>
      <c r="K109" s="365"/>
      <c r="L109" s="365"/>
      <c r="M109" s="365"/>
      <c r="N109" s="365"/>
      <c r="O109" s="366"/>
    </row>
    <row r="110" spans="2:15" ht="24.95" customHeight="1" x14ac:dyDescent="0.2">
      <c r="B110" s="130">
        <f>B104+1</f>
        <v>16</v>
      </c>
      <c r="C110" s="353" t="str">
        <f>CONCATENATE(INDEX(Коэффициенты!$B$4:$S$158,MATCH(B110,Коэффициенты!$B$4:$B$158,0),2)," ","участковое лесничество")</f>
        <v>Восходское участковое лесничество</v>
      </c>
      <c r="D110" s="354"/>
      <c r="E110" s="354"/>
      <c r="F110" s="354"/>
      <c r="G110" s="354"/>
      <c r="H110" s="354"/>
      <c r="I110" s="354"/>
      <c r="J110" s="354"/>
      <c r="K110" s="354"/>
      <c r="L110" s="354"/>
      <c r="M110" s="354"/>
      <c r="N110" s="354"/>
      <c r="O110" s="355"/>
    </row>
    <row r="111" spans="2:15" ht="24.95" customHeight="1" x14ac:dyDescent="0.2">
      <c r="C111" s="356">
        <f>INDEX(Коэффициенты!$B$4:$S$59,MATCH(B110,Коэффициенты!$B$4:$B$59,0),3)</f>
        <v>41</v>
      </c>
      <c r="D111" s="356">
        <f>INDEX(Коэффициенты!$B$4:$S$59,MATCH(B110,Коэффициенты!$B$4:$B$59,0),4)</f>
        <v>7</v>
      </c>
      <c r="E111" s="357" t="s">
        <v>434</v>
      </c>
      <c r="F111" s="356">
        <f>INDEX(Коэффициенты!$B$4:$S$59,MATCH(B110,Коэффициенты!$B$4:$B$59,0),6)</f>
        <v>7.2</v>
      </c>
      <c r="G111" s="358" t="str">
        <f>CONCATENATE("Участок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 ",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",INDEX(Коэффициенты!$B$4:$S$158,MATCH(B110,Коэффициенты!$B$4:$B$158,0),17)," ", "км.
По мере роста культур необходимо своевременное проведение проведения рубок ухода в молодняках - Осветление и Прочистка.")</f>
        <v>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1,64 км.
По мере роста культур необходимо своевременное проведение проведения рубок ухода в молодняках - Осветление и Прочистка.</v>
      </c>
      <c r="H111" s="359"/>
      <c r="I111" s="359"/>
      <c r="J111" s="359"/>
      <c r="K111" s="359"/>
      <c r="L111" s="359"/>
      <c r="M111" s="359"/>
      <c r="N111" s="359"/>
      <c r="O111" s="360"/>
    </row>
    <row r="112" spans="2:15" ht="24.95" customHeight="1" x14ac:dyDescent="0.2">
      <c r="C112" s="356"/>
      <c r="D112" s="356"/>
      <c r="E112" s="357"/>
      <c r="F112" s="356"/>
      <c r="G112" s="361"/>
      <c r="H112" s="362"/>
      <c r="I112" s="362"/>
      <c r="J112" s="362"/>
      <c r="K112" s="362"/>
      <c r="L112" s="362"/>
      <c r="M112" s="362"/>
      <c r="N112" s="362"/>
      <c r="O112" s="363"/>
    </row>
    <row r="113" spans="2:15" ht="24.95" customHeight="1" x14ac:dyDescent="0.2">
      <c r="C113" s="356"/>
      <c r="D113" s="356"/>
      <c r="E113" s="357"/>
      <c r="F113" s="356"/>
      <c r="G113" s="361"/>
      <c r="H113" s="362"/>
      <c r="I113" s="362"/>
      <c r="J113" s="362"/>
      <c r="K113" s="362"/>
      <c r="L113" s="362"/>
      <c r="M113" s="362"/>
      <c r="N113" s="362"/>
      <c r="O113" s="363"/>
    </row>
    <row r="114" spans="2:15" ht="24.95" customHeight="1" x14ac:dyDescent="0.2">
      <c r="C114" s="356"/>
      <c r="D114" s="356"/>
      <c r="E114" s="357"/>
      <c r="F114" s="356"/>
      <c r="G114" s="361"/>
      <c r="H114" s="362"/>
      <c r="I114" s="362"/>
      <c r="J114" s="362"/>
      <c r="K114" s="362"/>
      <c r="L114" s="362"/>
      <c r="M114" s="362"/>
      <c r="N114" s="362"/>
      <c r="O114" s="363"/>
    </row>
    <row r="115" spans="2:15" ht="24.95" customHeight="1" x14ac:dyDescent="0.2">
      <c r="C115" s="356"/>
      <c r="D115" s="356"/>
      <c r="E115" s="357"/>
      <c r="F115" s="356"/>
      <c r="G115" s="364"/>
      <c r="H115" s="365"/>
      <c r="I115" s="365"/>
      <c r="J115" s="365"/>
      <c r="K115" s="365"/>
      <c r="L115" s="365"/>
      <c r="M115" s="365"/>
      <c r="N115" s="365"/>
      <c r="O115" s="366"/>
    </row>
    <row r="116" spans="2:15" ht="24.95" customHeight="1" x14ac:dyDescent="0.2">
      <c r="B116" s="130">
        <f>B110+1</f>
        <v>17</v>
      </c>
      <c r="C116" s="353" t="str">
        <f>CONCATENATE(INDEX(Коэффициенты!$B$4:$S$158,MATCH(B116,Коэффициенты!$B$4:$B$158,0),2)," ","участковое лесничество")</f>
        <v>Восходское участковое лесничество</v>
      </c>
      <c r="D116" s="354"/>
      <c r="E116" s="354"/>
      <c r="F116" s="354"/>
      <c r="G116" s="354"/>
      <c r="H116" s="354"/>
      <c r="I116" s="354"/>
      <c r="J116" s="354"/>
      <c r="K116" s="354"/>
      <c r="L116" s="354"/>
      <c r="M116" s="354"/>
      <c r="N116" s="354"/>
      <c r="O116" s="355"/>
    </row>
    <row r="117" spans="2:15" ht="24.95" customHeight="1" x14ac:dyDescent="0.2">
      <c r="C117" s="356">
        <f>INDEX(Коэффициенты!$B$4:$S$59,MATCH(B116,Коэффициенты!$B$4:$B$59,0),3)</f>
        <v>42</v>
      </c>
      <c r="D117" s="356">
        <f>INDEX(Коэффициенты!$B$4:$S$59,MATCH(B116,Коэффициенты!$B$4:$B$59,0),4)</f>
        <v>10</v>
      </c>
      <c r="E117" s="357" t="s">
        <v>434</v>
      </c>
      <c r="F117" s="356">
        <f>INDEX(Коэффициенты!$B$4:$S$59,MATCH(B116,Коэффициенты!$B$4:$B$59,0),6)</f>
        <v>4.2</v>
      </c>
      <c r="G117" s="358" t="str">
        <f>CONCATENATE("Участок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 ",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",INDEX(Коэффициенты!$B$4:$S$158,MATCH(B116,Коэффициенты!$B$4:$B$158,0),17)," ", "км.
По мере роста культур необходимо своевременное проведение проведения рубок ухода в молодняках - Осветление и Прочистка.")</f>
        <v>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1,04 км.
По мере роста культур необходимо своевременное проведение проведения рубок ухода в молодняках - Осветление и Прочистка.</v>
      </c>
      <c r="H117" s="359"/>
      <c r="I117" s="359"/>
      <c r="J117" s="359"/>
      <c r="K117" s="359"/>
      <c r="L117" s="359"/>
      <c r="M117" s="359"/>
      <c r="N117" s="359"/>
      <c r="O117" s="360"/>
    </row>
    <row r="118" spans="2:15" ht="24.95" customHeight="1" x14ac:dyDescent="0.2">
      <c r="C118" s="356"/>
      <c r="D118" s="356"/>
      <c r="E118" s="357"/>
      <c r="F118" s="356"/>
      <c r="G118" s="361"/>
      <c r="H118" s="362"/>
      <c r="I118" s="362"/>
      <c r="J118" s="362"/>
      <c r="K118" s="362"/>
      <c r="L118" s="362"/>
      <c r="M118" s="362"/>
      <c r="N118" s="362"/>
      <c r="O118" s="363"/>
    </row>
    <row r="119" spans="2:15" ht="24.95" customHeight="1" x14ac:dyDescent="0.2">
      <c r="C119" s="356"/>
      <c r="D119" s="356"/>
      <c r="E119" s="357"/>
      <c r="F119" s="356"/>
      <c r="G119" s="361"/>
      <c r="H119" s="362"/>
      <c r="I119" s="362"/>
      <c r="J119" s="362"/>
      <c r="K119" s="362"/>
      <c r="L119" s="362"/>
      <c r="M119" s="362"/>
      <c r="N119" s="362"/>
      <c r="O119" s="363"/>
    </row>
    <row r="120" spans="2:15" ht="24.95" customHeight="1" x14ac:dyDescent="0.2">
      <c r="C120" s="356"/>
      <c r="D120" s="356"/>
      <c r="E120" s="357"/>
      <c r="F120" s="356"/>
      <c r="G120" s="361"/>
      <c r="H120" s="362"/>
      <c r="I120" s="362"/>
      <c r="J120" s="362"/>
      <c r="K120" s="362"/>
      <c r="L120" s="362"/>
      <c r="M120" s="362"/>
      <c r="N120" s="362"/>
      <c r="O120" s="363"/>
    </row>
    <row r="121" spans="2:15" ht="24.95" customHeight="1" x14ac:dyDescent="0.2">
      <c r="C121" s="356"/>
      <c r="D121" s="356"/>
      <c r="E121" s="357"/>
      <c r="F121" s="356"/>
      <c r="G121" s="364"/>
      <c r="H121" s="365"/>
      <c r="I121" s="365"/>
      <c r="J121" s="365"/>
      <c r="K121" s="365"/>
      <c r="L121" s="365"/>
      <c r="M121" s="365"/>
      <c r="N121" s="365"/>
      <c r="O121" s="366"/>
    </row>
    <row r="122" spans="2:15" ht="24.95" customHeight="1" x14ac:dyDescent="0.2">
      <c r="B122" s="130">
        <f>B116+1</f>
        <v>18</v>
      </c>
      <c r="C122" s="353" t="str">
        <f>CONCATENATE(INDEX(Коэффициенты!$B$4:$S$158,MATCH(B122,Коэффициенты!$B$4:$B$158,0),2)," ","участковое лесничество")</f>
        <v>Восходское участковое лесничество</v>
      </c>
      <c r="D122" s="354"/>
      <c r="E122" s="354"/>
      <c r="F122" s="354"/>
      <c r="G122" s="354"/>
      <c r="H122" s="354"/>
      <c r="I122" s="354"/>
      <c r="J122" s="354"/>
      <c r="K122" s="354"/>
      <c r="L122" s="354"/>
      <c r="M122" s="354"/>
      <c r="N122" s="354"/>
      <c r="O122" s="355"/>
    </row>
    <row r="123" spans="2:15" ht="24.95" customHeight="1" x14ac:dyDescent="0.2">
      <c r="C123" s="356">
        <f>INDEX(Коэффициенты!$B$4:$S$59,MATCH(B122,Коэффициенты!$B$4:$B$59,0),3)</f>
        <v>42</v>
      </c>
      <c r="D123" s="356">
        <f>INDEX(Коэффициенты!$B$4:$S$59,MATCH(B122,Коэффициенты!$B$4:$B$59,0),4)</f>
        <v>12</v>
      </c>
      <c r="E123" s="357" t="s">
        <v>434</v>
      </c>
      <c r="F123" s="356">
        <f>INDEX(Коэффициенты!$B$4:$S$59,MATCH(B122,Коэффициенты!$B$4:$B$59,0),6)</f>
        <v>4</v>
      </c>
      <c r="G123" s="358" t="str">
        <f>CONCATENATE("Участок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 ",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",INDEX(Коэффициенты!$B$4:$S$158,MATCH(B122,Коэффициенты!$B$4:$B$158,0),17)," ", "км.
По мере роста культур необходимо своевременное проведение проведения рубок ухода в молодняках - Осветление и Прочистка.")</f>
        <v>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1 км.
По мере роста культур необходимо своевременное проведение проведения рубок ухода в молодняках - Осветление и Прочистка.</v>
      </c>
      <c r="H123" s="359"/>
      <c r="I123" s="359"/>
      <c r="J123" s="359"/>
      <c r="K123" s="359"/>
      <c r="L123" s="359"/>
      <c r="M123" s="359"/>
      <c r="N123" s="359"/>
      <c r="O123" s="360"/>
    </row>
    <row r="124" spans="2:15" ht="24.95" customHeight="1" x14ac:dyDescent="0.2">
      <c r="C124" s="356"/>
      <c r="D124" s="356"/>
      <c r="E124" s="357"/>
      <c r="F124" s="356"/>
      <c r="G124" s="361"/>
      <c r="H124" s="362"/>
      <c r="I124" s="362"/>
      <c r="J124" s="362"/>
      <c r="K124" s="362"/>
      <c r="L124" s="362"/>
      <c r="M124" s="362"/>
      <c r="N124" s="362"/>
      <c r="O124" s="363"/>
    </row>
    <row r="125" spans="2:15" ht="24.95" customHeight="1" x14ac:dyDescent="0.2">
      <c r="C125" s="356"/>
      <c r="D125" s="356"/>
      <c r="E125" s="357"/>
      <c r="F125" s="356"/>
      <c r="G125" s="361"/>
      <c r="H125" s="362"/>
      <c r="I125" s="362"/>
      <c r="J125" s="362"/>
      <c r="K125" s="362"/>
      <c r="L125" s="362"/>
      <c r="M125" s="362"/>
      <c r="N125" s="362"/>
      <c r="O125" s="363"/>
    </row>
    <row r="126" spans="2:15" ht="24.95" customHeight="1" x14ac:dyDescent="0.2">
      <c r="C126" s="356"/>
      <c r="D126" s="356"/>
      <c r="E126" s="357"/>
      <c r="F126" s="356"/>
      <c r="G126" s="361"/>
      <c r="H126" s="362"/>
      <c r="I126" s="362"/>
      <c r="J126" s="362"/>
      <c r="K126" s="362"/>
      <c r="L126" s="362"/>
      <c r="M126" s="362"/>
      <c r="N126" s="362"/>
      <c r="O126" s="363"/>
    </row>
    <row r="127" spans="2:15" ht="24.95" customHeight="1" x14ac:dyDescent="0.2">
      <c r="C127" s="356"/>
      <c r="D127" s="356"/>
      <c r="E127" s="357"/>
      <c r="F127" s="356"/>
      <c r="G127" s="364"/>
      <c r="H127" s="365"/>
      <c r="I127" s="365"/>
      <c r="J127" s="365"/>
      <c r="K127" s="365"/>
      <c r="L127" s="365"/>
      <c r="M127" s="365"/>
      <c r="N127" s="365"/>
      <c r="O127" s="366"/>
    </row>
    <row r="128" spans="2:15" ht="24.95" customHeight="1" x14ac:dyDescent="0.2">
      <c r="B128" s="130">
        <f>B122+1</f>
        <v>19</v>
      </c>
      <c r="C128" s="353" t="str">
        <f>CONCATENATE(INDEX(Коэффициенты!$B$4:$S$158,MATCH(B128,Коэффициенты!$B$4:$B$158,0),2)," ","участковое лесничество")</f>
        <v>Восходское участковое лесничество</v>
      </c>
      <c r="D128" s="354"/>
      <c r="E128" s="354"/>
      <c r="F128" s="354"/>
      <c r="G128" s="354"/>
      <c r="H128" s="354"/>
      <c r="I128" s="354"/>
      <c r="J128" s="354"/>
      <c r="K128" s="354"/>
      <c r="L128" s="354"/>
      <c r="M128" s="354"/>
      <c r="N128" s="354"/>
      <c r="O128" s="355"/>
    </row>
    <row r="129" spans="2:15" ht="24.95" customHeight="1" x14ac:dyDescent="0.2">
      <c r="C129" s="356">
        <f>INDEX(Коэффициенты!$B$4:$S$59,MATCH(B128,Коэффициенты!$B$4:$B$59,0),3)</f>
        <v>45</v>
      </c>
      <c r="D129" s="356">
        <f>INDEX(Коэффициенты!$B$4:$S$59,MATCH(B128,Коэффициенты!$B$4:$B$59,0),4)</f>
        <v>8</v>
      </c>
      <c r="E129" s="357" t="s">
        <v>434</v>
      </c>
      <c r="F129" s="356">
        <f>INDEX(Коэффициенты!$B$4:$S$59,MATCH(B128,Коэффициенты!$B$4:$B$59,0),6)</f>
        <v>7</v>
      </c>
      <c r="G129" s="358" t="str">
        <f>CONCATENATE("Участок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 ",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",INDEX(Коэффициенты!$B$4:$S$158,MATCH(B128,Коэффициенты!$B$4:$B$158,0),17)," ", "км.
По мере роста культур необходимо своевременное проведение проведения рубок ухода в молодняках - Осветление и Прочистка.")</f>
        <v>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1,6 км.
По мере роста культур необходимо своевременное проведение проведения рубок ухода в молодняках - Осветление и Прочистка.</v>
      </c>
      <c r="H129" s="359"/>
      <c r="I129" s="359"/>
      <c r="J129" s="359"/>
      <c r="K129" s="359"/>
      <c r="L129" s="359"/>
      <c r="M129" s="359"/>
      <c r="N129" s="359"/>
      <c r="O129" s="360"/>
    </row>
    <row r="130" spans="2:15" ht="24.95" customHeight="1" x14ac:dyDescent="0.2">
      <c r="C130" s="356"/>
      <c r="D130" s="356"/>
      <c r="E130" s="357"/>
      <c r="F130" s="356"/>
      <c r="G130" s="361"/>
      <c r="H130" s="362"/>
      <c r="I130" s="362"/>
      <c r="J130" s="362"/>
      <c r="K130" s="362"/>
      <c r="L130" s="362"/>
      <c r="M130" s="362"/>
      <c r="N130" s="362"/>
      <c r="O130" s="363"/>
    </row>
    <row r="131" spans="2:15" ht="24.95" customHeight="1" x14ac:dyDescent="0.2">
      <c r="C131" s="356"/>
      <c r="D131" s="356"/>
      <c r="E131" s="357"/>
      <c r="F131" s="356"/>
      <c r="G131" s="361"/>
      <c r="H131" s="362"/>
      <c r="I131" s="362"/>
      <c r="J131" s="362"/>
      <c r="K131" s="362"/>
      <c r="L131" s="362"/>
      <c r="M131" s="362"/>
      <c r="N131" s="362"/>
      <c r="O131" s="363"/>
    </row>
    <row r="132" spans="2:15" ht="24.95" customHeight="1" x14ac:dyDescent="0.2">
      <c r="C132" s="356"/>
      <c r="D132" s="356"/>
      <c r="E132" s="357"/>
      <c r="F132" s="356"/>
      <c r="G132" s="361"/>
      <c r="H132" s="362"/>
      <c r="I132" s="362"/>
      <c r="J132" s="362"/>
      <c r="K132" s="362"/>
      <c r="L132" s="362"/>
      <c r="M132" s="362"/>
      <c r="N132" s="362"/>
      <c r="O132" s="363"/>
    </row>
    <row r="133" spans="2:15" ht="24.95" customHeight="1" x14ac:dyDescent="0.2">
      <c r="C133" s="356"/>
      <c r="D133" s="356"/>
      <c r="E133" s="357"/>
      <c r="F133" s="356"/>
      <c r="G133" s="364"/>
      <c r="H133" s="365"/>
      <c r="I133" s="365"/>
      <c r="J133" s="365"/>
      <c r="K133" s="365"/>
      <c r="L133" s="365"/>
      <c r="M133" s="365"/>
      <c r="N133" s="365"/>
      <c r="O133" s="366"/>
    </row>
    <row r="134" spans="2:15" ht="24.95" customHeight="1" x14ac:dyDescent="0.2">
      <c r="B134" s="130">
        <f>B128+1</f>
        <v>20</v>
      </c>
      <c r="C134" s="353" t="str">
        <f>CONCATENATE(INDEX(Коэффициенты!$B$4:$S$158,MATCH(B134,Коэффициенты!$B$4:$B$158,0),2)," ","участковое лесничество")</f>
        <v>Мамыковское участковое лесничество</v>
      </c>
      <c r="D134" s="354"/>
      <c r="E134" s="354"/>
      <c r="F134" s="354"/>
      <c r="G134" s="354"/>
      <c r="H134" s="354"/>
      <c r="I134" s="354"/>
      <c r="J134" s="354"/>
      <c r="K134" s="354"/>
      <c r="L134" s="354"/>
      <c r="M134" s="354"/>
      <c r="N134" s="354"/>
      <c r="O134" s="355"/>
    </row>
    <row r="135" spans="2:15" ht="24.95" customHeight="1" x14ac:dyDescent="0.2">
      <c r="C135" s="356">
        <f>INDEX(Коэффициенты!$B$4:$S$59,MATCH(B134,Коэффициенты!$B$4:$B$59,0),3)</f>
        <v>8</v>
      </c>
      <c r="D135" s="356">
        <f>INDEX(Коэффициенты!$B$4:$S$59,MATCH(B134,Коэффициенты!$B$4:$B$59,0),4)</f>
        <v>5</v>
      </c>
      <c r="E135" s="357" t="s">
        <v>434</v>
      </c>
      <c r="F135" s="356">
        <f>INDEX(Коэффициенты!$B$4:$S$59,MATCH(B134,Коэффициенты!$B$4:$B$59,0),6)</f>
        <v>5.6</v>
      </c>
      <c r="G135" s="358" t="str">
        <f>CONCATENATE("Участок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 ",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",INDEX(Коэффициенты!$B$4:$S$158,MATCH(B134,Коэффициенты!$B$4:$B$158,0),17)," ", "км.
По мере роста культур необходимо своевременное проведение проведения рубок ухода в молодняках - Осветление и Прочистка.")</f>
        <v>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1,32 км.
По мере роста культур необходимо своевременное проведение проведения рубок ухода в молодняках - Осветление и Прочистка.</v>
      </c>
      <c r="H135" s="359"/>
      <c r="I135" s="359"/>
      <c r="J135" s="359"/>
      <c r="K135" s="359"/>
      <c r="L135" s="359"/>
      <c r="M135" s="359"/>
      <c r="N135" s="359"/>
      <c r="O135" s="360"/>
    </row>
    <row r="136" spans="2:15" ht="24.95" customHeight="1" x14ac:dyDescent="0.2">
      <c r="C136" s="356"/>
      <c r="D136" s="356"/>
      <c r="E136" s="357"/>
      <c r="F136" s="356"/>
      <c r="G136" s="361"/>
      <c r="H136" s="362"/>
      <c r="I136" s="362"/>
      <c r="J136" s="362"/>
      <c r="K136" s="362"/>
      <c r="L136" s="362"/>
      <c r="M136" s="362"/>
      <c r="N136" s="362"/>
      <c r="O136" s="363"/>
    </row>
    <row r="137" spans="2:15" ht="24.95" customHeight="1" x14ac:dyDescent="0.2">
      <c r="C137" s="356"/>
      <c r="D137" s="356"/>
      <c r="E137" s="357"/>
      <c r="F137" s="356"/>
      <c r="G137" s="361"/>
      <c r="H137" s="362"/>
      <c r="I137" s="362"/>
      <c r="J137" s="362"/>
      <c r="K137" s="362"/>
      <c r="L137" s="362"/>
      <c r="M137" s="362"/>
      <c r="N137" s="362"/>
      <c r="O137" s="363"/>
    </row>
    <row r="138" spans="2:15" ht="24.95" customHeight="1" x14ac:dyDescent="0.2">
      <c r="C138" s="356"/>
      <c r="D138" s="356"/>
      <c r="E138" s="357"/>
      <c r="F138" s="356"/>
      <c r="G138" s="361"/>
      <c r="H138" s="362"/>
      <c r="I138" s="362"/>
      <c r="J138" s="362"/>
      <c r="K138" s="362"/>
      <c r="L138" s="362"/>
      <c r="M138" s="362"/>
      <c r="N138" s="362"/>
      <c r="O138" s="363"/>
    </row>
    <row r="139" spans="2:15" ht="24.95" customHeight="1" x14ac:dyDescent="0.2">
      <c r="C139" s="356"/>
      <c r="D139" s="356"/>
      <c r="E139" s="357"/>
      <c r="F139" s="356"/>
      <c r="G139" s="364"/>
      <c r="H139" s="365"/>
      <c r="I139" s="365"/>
      <c r="J139" s="365"/>
      <c r="K139" s="365"/>
      <c r="L139" s="365"/>
      <c r="M139" s="365"/>
      <c r="N139" s="365"/>
      <c r="O139" s="366"/>
    </row>
    <row r="140" spans="2:15" ht="24.95" customHeight="1" x14ac:dyDescent="0.2">
      <c r="B140" s="130">
        <f>B134+1</f>
        <v>21</v>
      </c>
      <c r="C140" s="353" t="str">
        <f>CONCATENATE(INDEX(Коэффициенты!$B$4:$S$158,MATCH(B140,Коэффициенты!$B$4:$B$158,0),2)," ","участковое лесничество")</f>
        <v>Мамыковское участковое лесничество</v>
      </c>
      <c r="D140" s="354"/>
      <c r="E140" s="354"/>
      <c r="F140" s="354"/>
      <c r="G140" s="354"/>
      <c r="H140" s="354"/>
      <c r="I140" s="354"/>
      <c r="J140" s="354"/>
      <c r="K140" s="354"/>
      <c r="L140" s="354"/>
      <c r="M140" s="354"/>
      <c r="N140" s="354"/>
      <c r="O140" s="355"/>
    </row>
    <row r="141" spans="2:15" ht="24.95" customHeight="1" x14ac:dyDescent="0.2">
      <c r="C141" s="356">
        <f>INDEX(Коэффициенты!$B$4:$S$59,MATCH(B140,Коэффициенты!$B$4:$B$59,0),3)</f>
        <v>25</v>
      </c>
      <c r="D141" s="356">
        <f>INDEX(Коэффициенты!$B$4:$S$59,MATCH(B140,Коэффициенты!$B$4:$B$59,0),4)</f>
        <v>2</v>
      </c>
      <c r="E141" s="357" t="s">
        <v>434</v>
      </c>
      <c r="F141" s="356">
        <f>INDEX(Коэффициенты!$B$4:$S$59,MATCH(B140,Коэффициенты!$B$4:$B$59,0),6)</f>
        <v>3.5</v>
      </c>
      <c r="G141" s="358" t="str">
        <f>CONCATENATE("Участок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 ",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",INDEX(Коэффициенты!$B$4:$S$158,MATCH(B140,Коэффициенты!$B$4:$B$158,0),17)," ", "км.
По мере роста культур необходимо своевременное проведение проведения рубок ухода в молодняках - Осветление и Прочистка.")</f>
        <v>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0,9 км.
По мере роста культур необходимо своевременное проведение проведения рубок ухода в молодняках - Осветление и Прочистка.</v>
      </c>
      <c r="H141" s="359"/>
      <c r="I141" s="359"/>
      <c r="J141" s="359"/>
      <c r="K141" s="359"/>
      <c r="L141" s="359"/>
      <c r="M141" s="359"/>
      <c r="N141" s="359"/>
      <c r="O141" s="360"/>
    </row>
    <row r="142" spans="2:15" ht="24.95" customHeight="1" x14ac:dyDescent="0.2">
      <c r="C142" s="356"/>
      <c r="D142" s="356"/>
      <c r="E142" s="357"/>
      <c r="F142" s="356"/>
      <c r="G142" s="361"/>
      <c r="H142" s="362"/>
      <c r="I142" s="362"/>
      <c r="J142" s="362"/>
      <c r="K142" s="362"/>
      <c r="L142" s="362"/>
      <c r="M142" s="362"/>
      <c r="N142" s="362"/>
      <c r="O142" s="363"/>
    </row>
    <row r="143" spans="2:15" ht="24.95" customHeight="1" x14ac:dyDescent="0.2">
      <c r="C143" s="356"/>
      <c r="D143" s="356"/>
      <c r="E143" s="357"/>
      <c r="F143" s="356"/>
      <c r="G143" s="361"/>
      <c r="H143" s="362"/>
      <c r="I143" s="362"/>
      <c r="J143" s="362"/>
      <c r="K143" s="362"/>
      <c r="L143" s="362"/>
      <c r="M143" s="362"/>
      <c r="N143" s="362"/>
      <c r="O143" s="363"/>
    </row>
    <row r="144" spans="2:15" ht="24.95" customHeight="1" x14ac:dyDescent="0.2">
      <c r="C144" s="356"/>
      <c r="D144" s="356"/>
      <c r="E144" s="357"/>
      <c r="F144" s="356"/>
      <c r="G144" s="361"/>
      <c r="H144" s="362"/>
      <c r="I144" s="362"/>
      <c r="J144" s="362"/>
      <c r="K144" s="362"/>
      <c r="L144" s="362"/>
      <c r="M144" s="362"/>
      <c r="N144" s="362"/>
      <c r="O144" s="363"/>
    </row>
    <row r="145" spans="2:15" ht="24.95" customHeight="1" x14ac:dyDescent="0.2">
      <c r="C145" s="356"/>
      <c r="D145" s="356"/>
      <c r="E145" s="357"/>
      <c r="F145" s="356"/>
      <c r="G145" s="364"/>
      <c r="H145" s="365"/>
      <c r="I145" s="365"/>
      <c r="J145" s="365"/>
      <c r="K145" s="365"/>
      <c r="L145" s="365"/>
      <c r="M145" s="365"/>
      <c r="N145" s="365"/>
      <c r="O145" s="366"/>
    </row>
    <row r="146" spans="2:15" ht="24.95" customHeight="1" x14ac:dyDescent="0.2">
      <c r="B146" s="130">
        <f>B140+1</f>
        <v>22</v>
      </c>
      <c r="C146" s="353" t="str">
        <f>CONCATENATE(INDEX(Коэффициенты!$B$4:$S$158,MATCH(B146,Коэффициенты!$B$4:$B$158,0),2)," ","участковое лесничество")</f>
        <v>Мамыковское участковое лесничество</v>
      </c>
      <c r="D146" s="354"/>
      <c r="E146" s="354"/>
      <c r="F146" s="354"/>
      <c r="G146" s="354"/>
      <c r="H146" s="354"/>
      <c r="I146" s="354"/>
      <c r="J146" s="354"/>
      <c r="K146" s="354"/>
      <c r="L146" s="354"/>
      <c r="M146" s="354"/>
      <c r="N146" s="354"/>
      <c r="O146" s="355"/>
    </row>
    <row r="147" spans="2:15" ht="24.95" customHeight="1" x14ac:dyDescent="0.2">
      <c r="C147" s="356">
        <f>INDEX(Коэффициенты!$B$4:$S$59,MATCH(B146,Коэффициенты!$B$4:$B$59,0),3)</f>
        <v>52</v>
      </c>
      <c r="D147" s="356">
        <f>INDEX(Коэффициенты!$B$4:$S$59,MATCH(B146,Коэффициенты!$B$4:$B$59,0),4)</f>
        <v>4</v>
      </c>
      <c r="E147" s="357" t="s">
        <v>434</v>
      </c>
      <c r="F147" s="356">
        <f>INDEX(Коэффициенты!$B$4:$S$59,MATCH(B146,Коэффициенты!$B$4:$B$59,0),6)</f>
        <v>1.8</v>
      </c>
      <c r="G147" s="358" t="str">
        <f>CONCATENATE("Участок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 ",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",INDEX(Коэффициенты!$B$4:$S$158,MATCH(B146,Коэффициенты!$B$4:$B$158,0),17)," ", "км.
По мере роста культур необходимо своевременное проведение проведения рубок ухода в молодняках - Осветление и Прочистка.")</f>
        <v>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0,57 км.
По мере роста культур необходимо своевременное проведение проведения рубок ухода в молодняках - Осветление и Прочистка.</v>
      </c>
      <c r="H147" s="359"/>
      <c r="I147" s="359"/>
      <c r="J147" s="359"/>
      <c r="K147" s="359"/>
      <c r="L147" s="359"/>
      <c r="M147" s="359"/>
      <c r="N147" s="359"/>
      <c r="O147" s="360"/>
    </row>
    <row r="148" spans="2:15" ht="24.95" customHeight="1" x14ac:dyDescent="0.2">
      <c r="C148" s="356"/>
      <c r="D148" s="356"/>
      <c r="E148" s="357"/>
      <c r="F148" s="356"/>
      <c r="G148" s="361"/>
      <c r="H148" s="362"/>
      <c r="I148" s="362"/>
      <c r="J148" s="362"/>
      <c r="K148" s="362"/>
      <c r="L148" s="362"/>
      <c r="M148" s="362"/>
      <c r="N148" s="362"/>
      <c r="O148" s="363"/>
    </row>
    <row r="149" spans="2:15" ht="24.95" customHeight="1" x14ac:dyDescent="0.2">
      <c r="C149" s="356"/>
      <c r="D149" s="356"/>
      <c r="E149" s="357"/>
      <c r="F149" s="356"/>
      <c r="G149" s="361"/>
      <c r="H149" s="362"/>
      <c r="I149" s="362"/>
      <c r="J149" s="362"/>
      <c r="K149" s="362"/>
      <c r="L149" s="362"/>
      <c r="M149" s="362"/>
      <c r="N149" s="362"/>
      <c r="O149" s="363"/>
    </row>
    <row r="150" spans="2:15" ht="24.95" customHeight="1" x14ac:dyDescent="0.2">
      <c r="C150" s="356"/>
      <c r="D150" s="356"/>
      <c r="E150" s="357"/>
      <c r="F150" s="356"/>
      <c r="G150" s="361"/>
      <c r="H150" s="362"/>
      <c r="I150" s="362"/>
      <c r="J150" s="362"/>
      <c r="K150" s="362"/>
      <c r="L150" s="362"/>
      <c r="M150" s="362"/>
      <c r="N150" s="362"/>
      <c r="O150" s="363"/>
    </row>
    <row r="151" spans="2:15" ht="24.95" customHeight="1" x14ac:dyDescent="0.2">
      <c r="C151" s="356"/>
      <c r="D151" s="356"/>
      <c r="E151" s="357"/>
      <c r="F151" s="356"/>
      <c r="G151" s="364"/>
      <c r="H151" s="365"/>
      <c r="I151" s="365"/>
      <c r="J151" s="365"/>
      <c r="K151" s="365"/>
      <c r="L151" s="365"/>
      <c r="M151" s="365"/>
      <c r="N151" s="365"/>
      <c r="O151" s="366"/>
    </row>
    <row r="152" spans="2:15" ht="24.95" customHeight="1" x14ac:dyDescent="0.2">
      <c r="B152" s="130">
        <f>B146+1</f>
        <v>23</v>
      </c>
      <c r="C152" s="353" t="str">
        <f>CONCATENATE(INDEX(Коэффициенты!$B$4:$S$158,MATCH(B152,Коэффициенты!$B$4:$B$158,0),2)," ","участковое лесничество")</f>
        <v>Мамыковское участковое лесничество</v>
      </c>
      <c r="D152" s="354"/>
      <c r="E152" s="354"/>
      <c r="F152" s="354"/>
      <c r="G152" s="354"/>
      <c r="H152" s="354"/>
      <c r="I152" s="354"/>
      <c r="J152" s="354"/>
      <c r="K152" s="354"/>
      <c r="L152" s="354"/>
      <c r="M152" s="354"/>
      <c r="N152" s="354"/>
      <c r="O152" s="355"/>
    </row>
    <row r="153" spans="2:15" ht="24.95" customHeight="1" x14ac:dyDescent="0.2">
      <c r="C153" s="356">
        <f>INDEX(Коэффициенты!$B$4:$S$59,MATCH(B152,Коэффициенты!$B$4:$B$59,0),3)</f>
        <v>52</v>
      </c>
      <c r="D153" s="356">
        <f>INDEX(Коэффициенты!$B$4:$S$59,MATCH(B152,Коэффициенты!$B$4:$B$59,0),4)</f>
        <v>22</v>
      </c>
      <c r="E153" s="357" t="s">
        <v>434</v>
      </c>
      <c r="F153" s="356">
        <f>INDEX(Коэффициенты!$B$4:$S$59,MATCH(B152,Коэффициенты!$B$4:$B$59,0),6)</f>
        <v>7</v>
      </c>
      <c r="G153" s="358" t="str">
        <f>CONCATENATE("Участок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 ",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",INDEX(Коэффициенты!$B$4:$S$158,MATCH(B152,Коэффициенты!$B$4:$B$158,0),17)," ", "км.
По мере роста культур необходимо своевременное проведение проведения рубок ухода в молодняках - Осветление и Прочистка.")</f>
        <v>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1,6 км.
По мере роста культур необходимо своевременное проведение проведения рубок ухода в молодняках - Осветление и Прочистка.</v>
      </c>
      <c r="H153" s="359"/>
      <c r="I153" s="359"/>
      <c r="J153" s="359"/>
      <c r="K153" s="359"/>
      <c r="L153" s="359"/>
      <c r="M153" s="359"/>
      <c r="N153" s="359"/>
      <c r="O153" s="360"/>
    </row>
    <row r="154" spans="2:15" ht="24.95" customHeight="1" x14ac:dyDescent="0.2">
      <c r="C154" s="356"/>
      <c r="D154" s="356"/>
      <c r="E154" s="357"/>
      <c r="F154" s="356"/>
      <c r="G154" s="361"/>
      <c r="H154" s="362"/>
      <c r="I154" s="362"/>
      <c r="J154" s="362"/>
      <c r="K154" s="362"/>
      <c r="L154" s="362"/>
      <c r="M154" s="362"/>
      <c r="N154" s="362"/>
      <c r="O154" s="363"/>
    </row>
    <row r="155" spans="2:15" ht="24.95" customHeight="1" x14ac:dyDescent="0.2">
      <c r="C155" s="356"/>
      <c r="D155" s="356"/>
      <c r="E155" s="357"/>
      <c r="F155" s="356"/>
      <c r="G155" s="361"/>
      <c r="H155" s="362"/>
      <c r="I155" s="362"/>
      <c r="J155" s="362"/>
      <c r="K155" s="362"/>
      <c r="L155" s="362"/>
      <c r="M155" s="362"/>
      <c r="N155" s="362"/>
      <c r="O155" s="363"/>
    </row>
    <row r="156" spans="2:15" ht="24.95" customHeight="1" x14ac:dyDescent="0.2">
      <c r="C156" s="356"/>
      <c r="D156" s="356"/>
      <c r="E156" s="357"/>
      <c r="F156" s="356"/>
      <c r="G156" s="361"/>
      <c r="H156" s="362"/>
      <c r="I156" s="362"/>
      <c r="J156" s="362"/>
      <c r="K156" s="362"/>
      <c r="L156" s="362"/>
      <c r="M156" s="362"/>
      <c r="N156" s="362"/>
      <c r="O156" s="363"/>
    </row>
    <row r="157" spans="2:15" ht="24.95" customHeight="1" x14ac:dyDescent="0.2">
      <c r="C157" s="356"/>
      <c r="D157" s="356"/>
      <c r="E157" s="357"/>
      <c r="F157" s="356"/>
      <c r="G157" s="364"/>
      <c r="H157" s="365"/>
      <c r="I157" s="365"/>
      <c r="J157" s="365"/>
      <c r="K157" s="365"/>
      <c r="L157" s="365"/>
      <c r="M157" s="365"/>
      <c r="N157" s="365"/>
      <c r="O157" s="366"/>
    </row>
    <row r="158" spans="2:15" ht="24.95" customHeight="1" x14ac:dyDescent="0.2">
      <c r="B158" s="130">
        <f>B152+1</f>
        <v>24</v>
      </c>
      <c r="C158" s="353" t="str">
        <f>CONCATENATE(INDEX(Коэффициенты!$B$4:$S$158,MATCH(B158,Коэффициенты!$B$4:$B$158,0),2)," ","участковое лесничество")</f>
        <v>Мамыковское участковое лесничество</v>
      </c>
      <c r="D158" s="354"/>
      <c r="E158" s="354"/>
      <c r="F158" s="354"/>
      <c r="G158" s="354"/>
      <c r="H158" s="354"/>
      <c r="I158" s="354"/>
      <c r="J158" s="354"/>
      <c r="K158" s="354"/>
      <c r="L158" s="354"/>
      <c r="M158" s="354"/>
      <c r="N158" s="354"/>
      <c r="O158" s="355"/>
    </row>
    <row r="159" spans="2:15" ht="24.95" customHeight="1" x14ac:dyDescent="0.2">
      <c r="C159" s="356">
        <f>INDEX(Коэффициенты!$B$4:$S$59,MATCH(B158,Коэффициенты!$B$4:$B$59,0),3)</f>
        <v>52</v>
      </c>
      <c r="D159" s="356">
        <f>INDEX(Коэффициенты!$B$4:$S$59,MATCH(B158,Коэффициенты!$B$4:$B$59,0),4)</f>
        <v>35</v>
      </c>
      <c r="E159" s="357" t="s">
        <v>434</v>
      </c>
      <c r="F159" s="356">
        <f>INDEX(Коэффициенты!$B$4:$S$59,MATCH(B158,Коэффициенты!$B$4:$B$59,0),6)</f>
        <v>3.6</v>
      </c>
      <c r="G159" s="358" t="str">
        <f>CONCATENATE("Участок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 ",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",INDEX(Коэффициенты!$B$4:$S$158,MATCH(B158,Коэффициенты!$B$4:$B$158,0),17)," ", "км.
По мере роста культур необходимо своевременное проведение проведения рубок ухода в молодняках - Осветление и Прочистка.")</f>
        <v>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0,92 км.
По мере роста культур необходимо своевременное проведение проведения рубок ухода в молодняках - Осветление и Прочистка.</v>
      </c>
      <c r="H159" s="359"/>
      <c r="I159" s="359"/>
      <c r="J159" s="359"/>
      <c r="K159" s="359"/>
      <c r="L159" s="359"/>
      <c r="M159" s="359"/>
      <c r="N159" s="359"/>
      <c r="O159" s="360"/>
    </row>
    <row r="160" spans="2:15" ht="24.95" customHeight="1" x14ac:dyDescent="0.2">
      <c r="C160" s="356"/>
      <c r="D160" s="356"/>
      <c r="E160" s="357"/>
      <c r="F160" s="356"/>
      <c r="G160" s="361"/>
      <c r="H160" s="362"/>
      <c r="I160" s="362"/>
      <c r="J160" s="362"/>
      <c r="K160" s="362"/>
      <c r="L160" s="362"/>
      <c r="M160" s="362"/>
      <c r="N160" s="362"/>
      <c r="O160" s="363"/>
    </row>
    <row r="161" spans="2:15" ht="24.95" customHeight="1" x14ac:dyDescent="0.2">
      <c r="C161" s="356"/>
      <c r="D161" s="356"/>
      <c r="E161" s="357"/>
      <c r="F161" s="356"/>
      <c r="G161" s="361"/>
      <c r="H161" s="362"/>
      <c r="I161" s="362"/>
      <c r="J161" s="362"/>
      <c r="K161" s="362"/>
      <c r="L161" s="362"/>
      <c r="M161" s="362"/>
      <c r="N161" s="362"/>
      <c r="O161" s="363"/>
    </row>
    <row r="162" spans="2:15" ht="24.95" customHeight="1" x14ac:dyDescent="0.2">
      <c r="C162" s="356"/>
      <c r="D162" s="356"/>
      <c r="E162" s="357"/>
      <c r="F162" s="356"/>
      <c r="G162" s="361"/>
      <c r="H162" s="362"/>
      <c r="I162" s="362"/>
      <c r="J162" s="362"/>
      <c r="K162" s="362"/>
      <c r="L162" s="362"/>
      <c r="M162" s="362"/>
      <c r="N162" s="362"/>
      <c r="O162" s="363"/>
    </row>
    <row r="163" spans="2:15" ht="24.95" customHeight="1" x14ac:dyDescent="0.2">
      <c r="C163" s="356"/>
      <c r="D163" s="356"/>
      <c r="E163" s="357"/>
      <c r="F163" s="356"/>
      <c r="G163" s="364"/>
      <c r="H163" s="365"/>
      <c r="I163" s="365"/>
      <c r="J163" s="365"/>
      <c r="K163" s="365"/>
      <c r="L163" s="365"/>
      <c r="M163" s="365"/>
      <c r="N163" s="365"/>
      <c r="O163" s="366"/>
    </row>
    <row r="164" spans="2:15" ht="24.95" customHeight="1" x14ac:dyDescent="0.2">
      <c r="B164" s="130">
        <f>B158+1</f>
        <v>25</v>
      </c>
      <c r="C164" s="353" t="str">
        <f>CONCATENATE(INDEX(Коэффициенты!$B$4:$S$158,MATCH(B164,Коэффициенты!$B$4:$B$158,0),2)," ","участковое лесничество")</f>
        <v>Мамыковское участковое лесничество</v>
      </c>
      <c r="D164" s="354"/>
      <c r="E164" s="354"/>
      <c r="F164" s="354"/>
      <c r="G164" s="354"/>
      <c r="H164" s="354"/>
      <c r="I164" s="354"/>
      <c r="J164" s="354"/>
      <c r="K164" s="354"/>
      <c r="L164" s="354"/>
      <c r="M164" s="354"/>
      <c r="N164" s="354"/>
      <c r="O164" s="355"/>
    </row>
    <row r="165" spans="2:15" ht="24.95" customHeight="1" x14ac:dyDescent="0.2">
      <c r="C165" s="356">
        <f>INDEX(Коэффициенты!$B$4:$S$59,MATCH(B164,Коэффициенты!$B$4:$B$59,0),3)</f>
        <v>53</v>
      </c>
      <c r="D165" s="356">
        <f>INDEX(Коэффициенты!$B$4:$S$59,MATCH(B164,Коэффициенты!$B$4:$B$59,0),4)</f>
        <v>10</v>
      </c>
      <c r="E165" s="357" t="s">
        <v>434</v>
      </c>
      <c r="F165" s="356">
        <f>INDEX(Коэффициенты!$B$4:$S$59,MATCH(B164,Коэффициенты!$B$4:$B$59,0),6)</f>
        <v>4.0999999999999996</v>
      </c>
      <c r="G165" s="358" t="str">
        <f>CONCATENATE("Участок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 ",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",INDEX(Коэффициенты!$B$4:$S$158,MATCH(B164,Коэффициенты!$B$4:$B$158,0),17)," ", "км.
По мере роста культур необходимо своевременное проведение проведения рубок ухода в молодняках - Осветление и Прочистка.")</f>
        <v>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1,02 км.
По мере роста культур необходимо своевременное проведение проведения рубок ухода в молодняках - Осветление и Прочистка.</v>
      </c>
      <c r="H165" s="359"/>
      <c r="I165" s="359"/>
      <c r="J165" s="359"/>
      <c r="K165" s="359"/>
      <c r="L165" s="359"/>
      <c r="M165" s="359"/>
      <c r="N165" s="359"/>
      <c r="O165" s="360"/>
    </row>
    <row r="166" spans="2:15" ht="24.95" customHeight="1" x14ac:dyDescent="0.2">
      <c r="C166" s="356"/>
      <c r="D166" s="356"/>
      <c r="E166" s="357"/>
      <c r="F166" s="356"/>
      <c r="G166" s="361"/>
      <c r="H166" s="362"/>
      <c r="I166" s="362"/>
      <c r="J166" s="362"/>
      <c r="K166" s="362"/>
      <c r="L166" s="362"/>
      <c r="M166" s="362"/>
      <c r="N166" s="362"/>
      <c r="O166" s="363"/>
    </row>
    <row r="167" spans="2:15" ht="24.95" customHeight="1" x14ac:dyDescent="0.2">
      <c r="C167" s="356"/>
      <c r="D167" s="356"/>
      <c r="E167" s="357"/>
      <c r="F167" s="356"/>
      <c r="G167" s="361"/>
      <c r="H167" s="362"/>
      <c r="I167" s="362"/>
      <c r="J167" s="362"/>
      <c r="K167" s="362"/>
      <c r="L167" s="362"/>
      <c r="M167" s="362"/>
      <c r="N167" s="362"/>
      <c r="O167" s="363"/>
    </row>
    <row r="168" spans="2:15" ht="24.95" customHeight="1" x14ac:dyDescent="0.2">
      <c r="C168" s="356"/>
      <c r="D168" s="356"/>
      <c r="E168" s="357"/>
      <c r="F168" s="356"/>
      <c r="G168" s="361"/>
      <c r="H168" s="362"/>
      <c r="I168" s="362"/>
      <c r="J168" s="362"/>
      <c r="K168" s="362"/>
      <c r="L168" s="362"/>
      <c r="M168" s="362"/>
      <c r="N168" s="362"/>
      <c r="O168" s="363"/>
    </row>
    <row r="169" spans="2:15" ht="24.95" customHeight="1" x14ac:dyDescent="0.2">
      <c r="C169" s="356"/>
      <c r="D169" s="356"/>
      <c r="E169" s="357"/>
      <c r="F169" s="356"/>
      <c r="G169" s="364"/>
      <c r="H169" s="365"/>
      <c r="I169" s="365"/>
      <c r="J169" s="365"/>
      <c r="K169" s="365"/>
      <c r="L169" s="365"/>
      <c r="M169" s="365"/>
      <c r="N169" s="365"/>
      <c r="O169" s="366"/>
    </row>
    <row r="170" spans="2:15" ht="24.95" customHeight="1" x14ac:dyDescent="0.2">
      <c r="B170" s="130">
        <f>B164+1</f>
        <v>26</v>
      </c>
      <c r="C170" s="353" t="str">
        <f>CONCATENATE(INDEX(Коэффициенты!$B$4:$S$158,MATCH(B170,Коэффициенты!$B$4:$B$158,0),2)," ","участковое лесничество")</f>
        <v>Мамыковское участковое лесничество</v>
      </c>
      <c r="D170" s="354"/>
      <c r="E170" s="354"/>
      <c r="F170" s="354"/>
      <c r="G170" s="354"/>
      <c r="H170" s="354"/>
      <c r="I170" s="354"/>
      <c r="J170" s="354"/>
      <c r="K170" s="354"/>
      <c r="L170" s="354"/>
      <c r="M170" s="354"/>
      <c r="N170" s="354"/>
      <c r="O170" s="355"/>
    </row>
    <row r="171" spans="2:15" ht="24.95" customHeight="1" x14ac:dyDescent="0.2">
      <c r="C171" s="356">
        <f>INDEX(Коэффициенты!$B$4:$S$59,MATCH(B170,Коэффициенты!$B$4:$B$59,0),3)</f>
        <v>90</v>
      </c>
      <c r="D171" s="356">
        <f>INDEX(Коэффициенты!$B$4:$S$59,MATCH(B170,Коэффициенты!$B$4:$B$59,0),4)</f>
        <v>5</v>
      </c>
      <c r="E171" s="357" t="s">
        <v>434</v>
      </c>
      <c r="F171" s="356">
        <f>INDEX(Коэффициенты!$B$4:$S$59,MATCH(B170,Коэффициенты!$B$4:$B$59,0),6)</f>
        <v>5.4</v>
      </c>
      <c r="G171" s="358" t="str">
        <f>CONCATENATE("Участок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 ",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",INDEX(Коэффициенты!$B$4:$S$158,MATCH(B170,Коэффициенты!$B$4:$B$158,0),17)," ", "км.
По мере роста культур необходимо своевременное проведение проведения рубок ухода в молодняках - Осветление и Прочистка.")</f>
        <v>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1,28 км.
По мере роста культур необходимо своевременное проведение проведения рубок ухода в молодняках - Осветление и Прочистка.</v>
      </c>
      <c r="H171" s="359"/>
      <c r="I171" s="359"/>
      <c r="J171" s="359"/>
      <c r="K171" s="359"/>
      <c r="L171" s="359"/>
      <c r="M171" s="359"/>
      <c r="N171" s="359"/>
      <c r="O171" s="360"/>
    </row>
    <row r="172" spans="2:15" ht="24.95" customHeight="1" x14ac:dyDescent="0.2">
      <c r="C172" s="356"/>
      <c r="D172" s="356"/>
      <c r="E172" s="357"/>
      <c r="F172" s="356"/>
      <c r="G172" s="361"/>
      <c r="H172" s="362"/>
      <c r="I172" s="362"/>
      <c r="J172" s="362"/>
      <c r="K172" s="362"/>
      <c r="L172" s="362"/>
      <c r="M172" s="362"/>
      <c r="N172" s="362"/>
      <c r="O172" s="363"/>
    </row>
    <row r="173" spans="2:15" ht="24.95" customHeight="1" x14ac:dyDescent="0.2">
      <c r="C173" s="356"/>
      <c r="D173" s="356"/>
      <c r="E173" s="357"/>
      <c r="F173" s="356"/>
      <c r="G173" s="361"/>
      <c r="H173" s="362"/>
      <c r="I173" s="362"/>
      <c r="J173" s="362"/>
      <c r="K173" s="362"/>
      <c r="L173" s="362"/>
      <c r="M173" s="362"/>
      <c r="N173" s="362"/>
      <c r="O173" s="363"/>
    </row>
    <row r="174" spans="2:15" ht="24.95" customHeight="1" x14ac:dyDescent="0.2">
      <c r="C174" s="356"/>
      <c r="D174" s="356"/>
      <c r="E174" s="357"/>
      <c r="F174" s="356"/>
      <c r="G174" s="361"/>
      <c r="H174" s="362"/>
      <c r="I174" s="362"/>
      <c r="J174" s="362"/>
      <c r="K174" s="362"/>
      <c r="L174" s="362"/>
      <c r="M174" s="362"/>
      <c r="N174" s="362"/>
      <c r="O174" s="363"/>
    </row>
    <row r="175" spans="2:15" ht="24.95" customHeight="1" x14ac:dyDescent="0.2">
      <c r="C175" s="356"/>
      <c r="D175" s="356"/>
      <c r="E175" s="357"/>
      <c r="F175" s="356"/>
      <c r="G175" s="364"/>
      <c r="H175" s="365"/>
      <c r="I175" s="365"/>
      <c r="J175" s="365"/>
      <c r="K175" s="365"/>
      <c r="L175" s="365"/>
      <c r="M175" s="365"/>
      <c r="N175" s="365"/>
      <c r="O175" s="366"/>
    </row>
    <row r="176" spans="2:15" ht="24.95" customHeight="1" x14ac:dyDescent="0.2">
      <c r="B176" s="130">
        <f>B170+1</f>
        <v>27</v>
      </c>
      <c r="C176" s="353" t="str">
        <f>CONCATENATE(INDEX(Коэффициенты!$B$4:$S$158,MATCH(B176,Коэффициенты!$B$4:$B$158,0),2)," ","участковое лесничество")</f>
        <v>Мамыковское участковое лесничество</v>
      </c>
      <c r="D176" s="354"/>
      <c r="E176" s="354"/>
      <c r="F176" s="354"/>
      <c r="G176" s="354"/>
      <c r="H176" s="354"/>
      <c r="I176" s="354"/>
      <c r="J176" s="354"/>
      <c r="K176" s="354"/>
      <c r="L176" s="354"/>
      <c r="M176" s="354"/>
      <c r="N176" s="354"/>
      <c r="O176" s="355"/>
    </row>
    <row r="177" spans="2:15" ht="24.95" customHeight="1" x14ac:dyDescent="0.2">
      <c r="C177" s="356">
        <f>INDEX(Коэффициенты!$B$4:$S$59,MATCH(B176,Коэффициенты!$B$4:$B$59,0),3)</f>
        <v>90</v>
      </c>
      <c r="D177" s="356">
        <f>INDEX(Коэффициенты!$B$4:$S$59,MATCH(B176,Коэффициенты!$B$4:$B$59,0),4)</f>
        <v>8</v>
      </c>
      <c r="E177" s="357" t="s">
        <v>434</v>
      </c>
      <c r="F177" s="356">
        <f>INDEX(Коэффициенты!$B$4:$S$59,MATCH(B176,Коэффициенты!$B$4:$B$59,0),6)</f>
        <v>2.8</v>
      </c>
      <c r="G177" s="358" t="str">
        <f>CONCATENATE("Участок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 ",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",INDEX(Коэффициенты!$B$4:$S$158,MATCH(B176,Коэффициенты!$B$4:$B$158,0),17)," ", "км.
По мере роста культур необходимо своевременное проведение проведения рубок ухода в молодняках - Осветление и Прочистка.")</f>
        <v>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0,76 км.
По мере роста культур необходимо своевременное проведение проведения рубок ухода в молодняках - Осветление и Прочистка.</v>
      </c>
      <c r="H177" s="359"/>
      <c r="I177" s="359"/>
      <c r="J177" s="359"/>
      <c r="K177" s="359"/>
      <c r="L177" s="359"/>
      <c r="M177" s="359"/>
      <c r="N177" s="359"/>
      <c r="O177" s="360"/>
    </row>
    <row r="178" spans="2:15" ht="24.95" customHeight="1" x14ac:dyDescent="0.2">
      <c r="C178" s="356"/>
      <c r="D178" s="356"/>
      <c r="E178" s="357"/>
      <c r="F178" s="356"/>
      <c r="G178" s="361"/>
      <c r="H178" s="362"/>
      <c r="I178" s="362"/>
      <c r="J178" s="362"/>
      <c r="K178" s="362"/>
      <c r="L178" s="362"/>
      <c r="M178" s="362"/>
      <c r="N178" s="362"/>
      <c r="O178" s="363"/>
    </row>
    <row r="179" spans="2:15" ht="24.95" customHeight="1" x14ac:dyDescent="0.2">
      <c r="C179" s="356"/>
      <c r="D179" s="356"/>
      <c r="E179" s="357"/>
      <c r="F179" s="356"/>
      <c r="G179" s="361"/>
      <c r="H179" s="362"/>
      <c r="I179" s="362"/>
      <c r="J179" s="362"/>
      <c r="K179" s="362"/>
      <c r="L179" s="362"/>
      <c r="M179" s="362"/>
      <c r="N179" s="362"/>
      <c r="O179" s="363"/>
    </row>
    <row r="180" spans="2:15" ht="24.95" customHeight="1" x14ac:dyDescent="0.2">
      <c r="C180" s="356"/>
      <c r="D180" s="356"/>
      <c r="E180" s="357"/>
      <c r="F180" s="356"/>
      <c r="G180" s="361"/>
      <c r="H180" s="362"/>
      <c r="I180" s="362"/>
      <c r="J180" s="362"/>
      <c r="K180" s="362"/>
      <c r="L180" s="362"/>
      <c r="M180" s="362"/>
      <c r="N180" s="362"/>
      <c r="O180" s="363"/>
    </row>
    <row r="181" spans="2:15" ht="24.95" customHeight="1" x14ac:dyDescent="0.2">
      <c r="C181" s="356"/>
      <c r="D181" s="356"/>
      <c r="E181" s="357"/>
      <c r="F181" s="356"/>
      <c r="G181" s="364"/>
      <c r="H181" s="365"/>
      <c r="I181" s="365"/>
      <c r="J181" s="365"/>
      <c r="K181" s="365"/>
      <c r="L181" s="365"/>
      <c r="M181" s="365"/>
      <c r="N181" s="365"/>
      <c r="O181" s="366"/>
    </row>
    <row r="182" spans="2:15" ht="24.95" customHeight="1" x14ac:dyDescent="0.2">
      <c r="B182" s="130">
        <f>B176+1</f>
        <v>28</v>
      </c>
      <c r="C182" s="353" t="str">
        <f>CONCATENATE(INDEX(Коэффициенты!$B$4:$S$158,MATCH(B182,Коэффициенты!$B$4:$B$158,0),2)," ","участковое лесничество")</f>
        <v>Мамыковское участковое лесничество</v>
      </c>
      <c r="D182" s="354"/>
      <c r="E182" s="354"/>
      <c r="F182" s="354"/>
      <c r="G182" s="354"/>
      <c r="H182" s="354"/>
      <c r="I182" s="354"/>
      <c r="J182" s="354"/>
      <c r="K182" s="354"/>
      <c r="L182" s="354"/>
      <c r="M182" s="354"/>
      <c r="N182" s="354"/>
      <c r="O182" s="355"/>
    </row>
    <row r="183" spans="2:15" ht="24.95" customHeight="1" x14ac:dyDescent="0.2">
      <c r="C183" s="356">
        <f>INDEX(Коэффициенты!$B$4:$S$59,MATCH(B182,Коэффициенты!$B$4:$B$59,0),3)</f>
        <v>90</v>
      </c>
      <c r="D183" s="356">
        <f>INDEX(Коэффициенты!$B$4:$S$59,MATCH(B182,Коэффициенты!$B$4:$B$59,0),4)</f>
        <v>12</v>
      </c>
      <c r="E183" s="357" t="s">
        <v>434</v>
      </c>
      <c r="F183" s="356">
        <f>INDEX(Коэффициенты!$B$4:$S$59,MATCH(B182,Коэффициенты!$B$4:$B$59,0),6)</f>
        <v>3.7</v>
      </c>
      <c r="G183" s="358" t="str">
        <f>CONCATENATE("Участок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 ",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",INDEX(Коэффициенты!$B$4:$S$158,MATCH(B182,Коэффициенты!$B$4:$B$158,0),17)," ", "км.
По мере роста культур необходимо своевременное проведение проведения рубок ухода в молодняках - Осветление и Прочистка.")</f>
        <v>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0,94 км.
По мере роста культур необходимо своевременное проведение проведения рубок ухода в молодняках - Осветление и Прочистка.</v>
      </c>
      <c r="H183" s="359"/>
      <c r="I183" s="359"/>
      <c r="J183" s="359"/>
      <c r="K183" s="359"/>
      <c r="L183" s="359"/>
      <c r="M183" s="359"/>
      <c r="N183" s="359"/>
      <c r="O183" s="360"/>
    </row>
    <row r="184" spans="2:15" ht="24.95" customHeight="1" x14ac:dyDescent="0.2">
      <c r="C184" s="356"/>
      <c r="D184" s="356"/>
      <c r="E184" s="357"/>
      <c r="F184" s="356"/>
      <c r="G184" s="361"/>
      <c r="H184" s="362"/>
      <c r="I184" s="362"/>
      <c r="J184" s="362"/>
      <c r="K184" s="362"/>
      <c r="L184" s="362"/>
      <c r="M184" s="362"/>
      <c r="N184" s="362"/>
      <c r="O184" s="363"/>
    </row>
    <row r="185" spans="2:15" ht="24.95" customHeight="1" x14ac:dyDescent="0.2">
      <c r="C185" s="356"/>
      <c r="D185" s="356"/>
      <c r="E185" s="357"/>
      <c r="F185" s="356"/>
      <c r="G185" s="361"/>
      <c r="H185" s="362"/>
      <c r="I185" s="362"/>
      <c r="J185" s="362"/>
      <c r="K185" s="362"/>
      <c r="L185" s="362"/>
      <c r="M185" s="362"/>
      <c r="N185" s="362"/>
      <c r="O185" s="363"/>
    </row>
    <row r="186" spans="2:15" ht="24.95" customHeight="1" x14ac:dyDescent="0.2">
      <c r="C186" s="356"/>
      <c r="D186" s="356"/>
      <c r="E186" s="357"/>
      <c r="F186" s="356"/>
      <c r="G186" s="361"/>
      <c r="H186" s="362"/>
      <c r="I186" s="362"/>
      <c r="J186" s="362"/>
      <c r="K186" s="362"/>
      <c r="L186" s="362"/>
      <c r="M186" s="362"/>
      <c r="N186" s="362"/>
      <c r="O186" s="363"/>
    </row>
    <row r="187" spans="2:15" ht="24.95" customHeight="1" x14ac:dyDescent="0.2">
      <c r="C187" s="356"/>
      <c r="D187" s="356"/>
      <c r="E187" s="357"/>
      <c r="F187" s="356"/>
      <c r="G187" s="364"/>
      <c r="H187" s="365"/>
      <c r="I187" s="365"/>
      <c r="J187" s="365"/>
      <c r="K187" s="365"/>
      <c r="L187" s="365"/>
      <c r="M187" s="365"/>
      <c r="N187" s="365"/>
      <c r="O187" s="366"/>
    </row>
    <row r="188" spans="2:15" ht="24.95" customHeight="1" x14ac:dyDescent="0.2">
      <c r="B188" s="130">
        <f>B182+1</f>
        <v>29</v>
      </c>
      <c r="C188" s="353" t="str">
        <f>CONCATENATE(INDEX(Коэффициенты!$B$4:$S$158,MATCH(B188,Коэффициенты!$B$4:$B$158,0),2)," ","участковое лесничество")</f>
        <v>Мамыковское участковое лесничество</v>
      </c>
      <c r="D188" s="354"/>
      <c r="E188" s="354"/>
      <c r="F188" s="354"/>
      <c r="G188" s="354"/>
      <c r="H188" s="354"/>
      <c r="I188" s="354"/>
      <c r="J188" s="354"/>
      <c r="K188" s="354"/>
      <c r="L188" s="354"/>
      <c r="M188" s="354"/>
      <c r="N188" s="354"/>
      <c r="O188" s="355"/>
    </row>
    <row r="189" spans="2:15" ht="24.95" customHeight="1" x14ac:dyDescent="0.2">
      <c r="C189" s="356">
        <f>INDEX(Коэффициенты!$B$4:$S$59,MATCH(B188,Коэффициенты!$B$4:$B$59,0),3)</f>
        <v>91</v>
      </c>
      <c r="D189" s="356">
        <f>INDEX(Коэффициенты!$B$4:$S$59,MATCH(B188,Коэффициенты!$B$4:$B$59,0),4)</f>
        <v>9</v>
      </c>
      <c r="E189" s="357" t="s">
        <v>434</v>
      </c>
      <c r="F189" s="356">
        <f>INDEX(Коэффициенты!$B$4:$S$59,MATCH(B188,Коэффициенты!$B$4:$B$59,0),6)</f>
        <v>6.1</v>
      </c>
      <c r="G189" s="358" t="str">
        <f>CONCATENATE("Участок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 ",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",INDEX(Коэффициенты!$B$4:$S$158,MATCH(B188,Коэффициенты!$B$4:$B$158,0),17)," ", "км.
По мере роста культур необходимо своевременное проведение проведения рубок ухода в молодняках - Осветление и Прочистка.")</f>
        <v>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1,42 км.
По мере роста культур необходимо своевременное проведение проведения рубок ухода в молодняках - Осветление и Прочистка.</v>
      </c>
      <c r="H189" s="359"/>
      <c r="I189" s="359"/>
      <c r="J189" s="359"/>
      <c r="K189" s="359"/>
      <c r="L189" s="359"/>
      <c r="M189" s="359"/>
      <c r="N189" s="359"/>
      <c r="O189" s="360"/>
    </row>
    <row r="190" spans="2:15" ht="24.95" customHeight="1" x14ac:dyDescent="0.2">
      <c r="C190" s="356"/>
      <c r="D190" s="356"/>
      <c r="E190" s="357"/>
      <c r="F190" s="356"/>
      <c r="G190" s="361"/>
      <c r="H190" s="362"/>
      <c r="I190" s="362"/>
      <c r="J190" s="362"/>
      <c r="K190" s="362"/>
      <c r="L190" s="362"/>
      <c r="M190" s="362"/>
      <c r="N190" s="362"/>
      <c r="O190" s="363"/>
    </row>
    <row r="191" spans="2:15" ht="24.95" customHeight="1" x14ac:dyDescent="0.2">
      <c r="C191" s="356"/>
      <c r="D191" s="356"/>
      <c r="E191" s="357"/>
      <c r="F191" s="356"/>
      <c r="G191" s="361"/>
      <c r="H191" s="362"/>
      <c r="I191" s="362"/>
      <c r="J191" s="362"/>
      <c r="K191" s="362"/>
      <c r="L191" s="362"/>
      <c r="M191" s="362"/>
      <c r="N191" s="362"/>
      <c r="O191" s="363"/>
    </row>
    <row r="192" spans="2:15" ht="24.95" customHeight="1" x14ac:dyDescent="0.2">
      <c r="C192" s="356"/>
      <c r="D192" s="356"/>
      <c r="E192" s="357"/>
      <c r="F192" s="356"/>
      <c r="G192" s="361"/>
      <c r="H192" s="362"/>
      <c r="I192" s="362"/>
      <c r="J192" s="362"/>
      <c r="K192" s="362"/>
      <c r="L192" s="362"/>
      <c r="M192" s="362"/>
      <c r="N192" s="362"/>
      <c r="O192" s="363"/>
    </row>
    <row r="193" spans="2:15" ht="24.95" customHeight="1" x14ac:dyDescent="0.2">
      <c r="C193" s="356"/>
      <c r="D193" s="356"/>
      <c r="E193" s="357"/>
      <c r="F193" s="356"/>
      <c r="G193" s="364"/>
      <c r="H193" s="365"/>
      <c r="I193" s="365"/>
      <c r="J193" s="365"/>
      <c r="K193" s="365"/>
      <c r="L193" s="365"/>
      <c r="M193" s="365"/>
      <c r="N193" s="365"/>
      <c r="O193" s="366"/>
    </row>
    <row r="194" spans="2:15" ht="24.95" customHeight="1" x14ac:dyDescent="0.2">
      <c r="B194" s="130">
        <f>B188+1</f>
        <v>30</v>
      </c>
      <c r="C194" s="353" t="str">
        <f>CONCATENATE(INDEX(Коэффициенты!$B$4:$S$158,MATCH(B194,Коэффициенты!$B$4:$B$158,0),2)," ","участковое лесничество")</f>
        <v>Мамыковское участковое лесничество</v>
      </c>
      <c r="D194" s="354"/>
      <c r="E194" s="354"/>
      <c r="F194" s="354"/>
      <c r="G194" s="354"/>
      <c r="H194" s="354"/>
      <c r="I194" s="354"/>
      <c r="J194" s="354"/>
      <c r="K194" s="354"/>
      <c r="L194" s="354"/>
      <c r="M194" s="354"/>
      <c r="N194" s="354"/>
      <c r="O194" s="355"/>
    </row>
    <row r="195" spans="2:15" ht="24.95" customHeight="1" x14ac:dyDescent="0.2">
      <c r="C195" s="356">
        <f>INDEX(Коэффициенты!$B$4:$S$59,MATCH(B194,Коэффициенты!$B$4:$B$59,0),3)</f>
        <v>96</v>
      </c>
      <c r="D195" s="356">
        <f>INDEX(Коэффициенты!$B$4:$S$59,MATCH(B194,Коэффициенты!$B$4:$B$59,0),4)</f>
        <v>5</v>
      </c>
      <c r="E195" s="357" t="s">
        <v>434</v>
      </c>
      <c r="F195" s="356">
        <f>INDEX(Коэффициенты!$B$4:$S$59,MATCH(B194,Коэффициенты!$B$4:$B$59,0),6)</f>
        <v>5.6</v>
      </c>
      <c r="G195" s="358" t="str">
        <f>CONCATENATE("Участок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 ",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",INDEX(Коэффициенты!$B$4:$S$158,MATCH(B194,Коэффициенты!$B$4:$B$158,0),17)," ", "км.
По мере роста культур необходимо своевременное проведение проведения рубок ухода в молодняках - Осветление и Прочистка.")</f>
        <v>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1,32 км.
По мере роста культур необходимо своевременное проведение проведения рубок ухода в молодняках - Осветление и Прочистка.</v>
      </c>
      <c r="H195" s="359"/>
      <c r="I195" s="359"/>
      <c r="J195" s="359"/>
      <c r="K195" s="359"/>
      <c r="L195" s="359"/>
      <c r="M195" s="359"/>
      <c r="N195" s="359"/>
      <c r="O195" s="360"/>
    </row>
    <row r="196" spans="2:15" ht="24.95" customHeight="1" x14ac:dyDescent="0.2">
      <c r="C196" s="356"/>
      <c r="D196" s="356"/>
      <c r="E196" s="357"/>
      <c r="F196" s="356"/>
      <c r="G196" s="361"/>
      <c r="H196" s="362"/>
      <c r="I196" s="362"/>
      <c r="J196" s="362"/>
      <c r="K196" s="362"/>
      <c r="L196" s="362"/>
      <c r="M196" s="362"/>
      <c r="N196" s="362"/>
      <c r="O196" s="363"/>
    </row>
    <row r="197" spans="2:15" ht="24.95" customHeight="1" x14ac:dyDescent="0.2">
      <c r="C197" s="356"/>
      <c r="D197" s="356"/>
      <c r="E197" s="357"/>
      <c r="F197" s="356"/>
      <c r="G197" s="361"/>
      <c r="H197" s="362"/>
      <c r="I197" s="362"/>
      <c r="J197" s="362"/>
      <c r="K197" s="362"/>
      <c r="L197" s="362"/>
      <c r="M197" s="362"/>
      <c r="N197" s="362"/>
      <c r="O197" s="363"/>
    </row>
    <row r="198" spans="2:15" ht="24.95" customHeight="1" x14ac:dyDescent="0.2">
      <c r="C198" s="356"/>
      <c r="D198" s="356"/>
      <c r="E198" s="357"/>
      <c r="F198" s="356"/>
      <c r="G198" s="361"/>
      <c r="H198" s="362"/>
      <c r="I198" s="362"/>
      <c r="J198" s="362"/>
      <c r="K198" s="362"/>
      <c r="L198" s="362"/>
      <c r="M198" s="362"/>
      <c r="N198" s="362"/>
      <c r="O198" s="363"/>
    </row>
    <row r="199" spans="2:15" ht="24.95" customHeight="1" x14ac:dyDescent="0.2">
      <c r="C199" s="356"/>
      <c r="D199" s="356"/>
      <c r="E199" s="357"/>
      <c r="F199" s="356"/>
      <c r="G199" s="364"/>
      <c r="H199" s="365"/>
      <c r="I199" s="365"/>
      <c r="J199" s="365"/>
      <c r="K199" s="365"/>
      <c r="L199" s="365"/>
      <c r="M199" s="365"/>
      <c r="N199" s="365"/>
      <c r="O199" s="366"/>
    </row>
    <row r="200" spans="2:15" ht="24.95" customHeight="1" x14ac:dyDescent="0.2">
      <c r="B200" s="130">
        <f>B194+1</f>
        <v>31</v>
      </c>
      <c r="C200" s="353" t="str">
        <f>CONCATENATE(INDEX(Коэффициенты!$B$4:$S$158,MATCH(B200,Коэффициенты!$B$4:$B$158,0),2)," ","участковое лесничество")</f>
        <v>Тимерликовское участковое лесничество</v>
      </c>
      <c r="D200" s="354"/>
      <c r="E200" s="354"/>
      <c r="F200" s="354"/>
      <c r="G200" s="354"/>
      <c r="H200" s="354"/>
      <c r="I200" s="354"/>
      <c r="J200" s="354"/>
      <c r="K200" s="354"/>
      <c r="L200" s="354"/>
      <c r="M200" s="354"/>
      <c r="N200" s="354"/>
      <c r="O200" s="355"/>
    </row>
    <row r="201" spans="2:15" ht="24.95" customHeight="1" x14ac:dyDescent="0.2">
      <c r="C201" s="356">
        <f>INDEX(Коэффициенты!$B$4:$S$59,MATCH(B200,Коэффициенты!$B$4:$B$59,0),3)</f>
        <v>11</v>
      </c>
      <c r="D201" s="356">
        <f>INDEX(Коэффициенты!$B$4:$S$59,MATCH(B200,Коэффициенты!$B$4:$B$59,0),4)</f>
        <v>3</v>
      </c>
      <c r="E201" s="357" t="s">
        <v>434</v>
      </c>
      <c r="F201" s="356">
        <f>INDEX(Коэффициенты!$B$4:$S$59,MATCH(B200,Коэффициенты!$B$4:$B$59,0),6)</f>
        <v>4.3</v>
      </c>
      <c r="G201" s="358" t="str">
        <f>CONCATENATE("Участок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 ",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",INDEX(Коэффициенты!$B$4:$S$158,MATCH(B200,Коэффициенты!$B$4:$B$158,0),17)," ", "км.
По мере роста культур необходимо своевременное проведение проведения рубок ухода в молодняках - Осветление и Прочистка.")</f>
        <v>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1,06 км.
По мере роста культур необходимо своевременное проведение проведения рубок ухода в молодняках - Осветление и Прочистка.</v>
      </c>
      <c r="H201" s="359"/>
      <c r="I201" s="359"/>
      <c r="J201" s="359"/>
      <c r="K201" s="359"/>
      <c r="L201" s="359"/>
      <c r="M201" s="359"/>
      <c r="N201" s="359"/>
      <c r="O201" s="360"/>
    </row>
    <row r="202" spans="2:15" ht="24.95" customHeight="1" x14ac:dyDescent="0.2">
      <c r="C202" s="356"/>
      <c r="D202" s="356"/>
      <c r="E202" s="357"/>
      <c r="F202" s="356"/>
      <c r="G202" s="361"/>
      <c r="H202" s="362"/>
      <c r="I202" s="362"/>
      <c r="J202" s="362"/>
      <c r="K202" s="362"/>
      <c r="L202" s="362"/>
      <c r="M202" s="362"/>
      <c r="N202" s="362"/>
      <c r="O202" s="363"/>
    </row>
    <row r="203" spans="2:15" ht="24.95" customHeight="1" x14ac:dyDescent="0.2">
      <c r="C203" s="356"/>
      <c r="D203" s="356"/>
      <c r="E203" s="357"/>
      <c r="F203" s="356"/>
      <c r="G203" s="361"/>
      <c r="H203" s="362"/>
      <c r="I203" s="362"/>
      <c r="J203" s="362"/>
      <c r="K203" s="362"/>
      <c r="L203" s="362"/>
      <c r="M203" s="362"/>
      <c r="N203" s="362"/>
      <c r="O203" s="363"/>
    </row>
    <row r="204" spans="2:15" ht="24.95" customHeight="1" x14ac:dyDescent="0.2">
      <c r="C204" s="356"/>
      <c r="D204" s="356"/>
      <c r="E204" s="357"/>
      <c r="F204" s="356"/>
      <c r="G204" s="361"/>
      <c r="H204" s="362"/>
      <c r="I204" s="362"/>
      <c r="J204" s="362"/>
      <c r="K204" s="362"/>
      <c r="L204" s="362"/>
      <c r="M204" s="362"/>
      <c r="N204" s="362"/>
      <c r="O204" s="363"/>
    </row>
    <row r="205" spans="2:15" ht="24.95" customHeight="1" x14ac:dyDescent="0.2">
      <c r="C205" s="356"/>
      <c r="D205" s="356"/>
      <c r="E205" s="357"/>
      <c r="F205" s="356"/>
      <c r="G205" s="364"/>
      <c r="H205" s="365"/>
      <c r="I205" s="365"/>
      <c r="J205" s="365"/>
      <c r="K205" s="365"/>
      <c r="L205" s="365"/>
      <c r="M205" s="365"/>
      <c r="N205" s="365"/>
      <c r="O205" s="366"/>
    </row>
    <row r="206" spans="2:15" ht="24.95" customHeight="1" x14ac:dyDescent="0.2">
      <c r="B206" s="130">
        <f>B200+1</f>
        <v>32</v>
      </c>
      <c r="C206" s="353" t="str">
        <f>CONCATENATE(INDEX(Коэффициенты!$B$4:$S$158,MATCH(B206,Коэффициенты!$B$4:$B$158,0),2)," ","участковое лесничество")</f>
        <v>Тимерликовское участковое лесничество</v>
      </c>
      <c r="D206" s="354"/>
      <c r="E206" s="354"/>
      <c r="F206" s="354"/>
      <c r="G206" s="354"/>
      <c r="H206" s="354"/>
      <c r="I206" s="354"/>
      <c r="J206" s="354"/>
      <c r="K206" s="354"/>
      <c r="L206" s="354"/>
      <c r="M206" s="354"/>
      <c r="N206" s="354"/>
      <c r="O206" s="355"/>
    </row>
    <row r="207" spans="2:15" ht="24.95" customHeight="1" x14ac:dyDescent="0.2">
      <c r="C207" s="356">
        <f>INDEX(Коэффициенты!$B$4:$S$59,MATCH(B206,Коэффициенты!$B$4:$B$59,0),3)</f>
        <v>11</v>
      </c>
      <c r="D207" s="356">
        <f>INDEX(Коэффициенты!$B$4:$S$59,MATCH(B206,Коэффициенты!$B$4:$B$59,0),4)</f>
        <v>5</v>
      </c>
      <c r="E207" s="357" t="s">
        <v>434</v>
      </c>
      <c r="F207" s="356">
        <f>INDEX(Коэффициенты!$B$4:$S$59,MATCH(B206,Коэффициенты!$B$4:$B$59,0),6)</f>
        <v>4.5</v>
      </c>
      <c r="G207" s="358" t="str">
        <f>CONCATENATE("Участок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 ",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",INDEX(Коэффициенты!$B$4:$S$158,MATCH(B206,Коэффициенты!$B$4:$B$158,0),17)," ", "км.
По мере роста культур необходимо своевременное проведение проведения рубок ухода в молодняках - Осветление и Прочистка.")</f>
        <v>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1,1 км.
По мере роста культур необходимо своевременное проведение проведения рубок ухода в молодняках - Осветление и Прочистка.</v>
      </c>
      <c r="H207" s="359"/>
      <c r="I207" s="359"/>
      <c r="J207" s="359"/>
      <c r="K207" s="359"/>
      <c r="L207" s="359"/>
      <c r="M207" s="359"/>
      <c r="N207" s="359"/>
      <c r="O207" s="360"/>
    </row>
    <row r="208" spans="2:15" ht="24.95" customHeight="1" x14ac:dyDescent="0.2">
      <c r="C208" s="356"/>
      <c r="D208" s="356"/>
      <c r="E208" s="357"/>
      <c r="F208" s="356"/>
      <c r="G208" s="361"/>
      <c r="H208" s="362"/>
      <c r="I208" s="362"/>
      <c r="J208" s="362"/>
      <c r="K208" s="362"/>
      <c r="L208" s="362"/>
      <c r="M208" s="362"/>
      <c r="N208" s="362"/>
      <c r="O208" s="363"/>
    </row>
    <row r="209" spans="2:15" ht="24.95" customHeight="1" x14ac:dyDescent="0.2">
      <c r="C209" s="356"/>
      <c r="D209" s="356"/>
      <c r="E209" s="357"/>
      <c r="F209" s="356"/>
      <c r="G209" s="361"/>
      <c r="H209" s="362"/>
      <c r="I209" s="362"/>
      <c r="J209" s="362"/>
      <c r="K209" s="362"/>
      <c r="L209" s="362"/>
      <c r="M209" s="362"/>
      <c r="N209" s="362"/>
      <c r="O209" s="363"/>
    </row>
    <row r="210" spans="2:15" ht="24.95" customHeight="1" x14ac:dyDescent="0.2">
      <c r="C210" s="356"/>
      <c r="D210" s="356"/>
      <c r="E210" s="357"/>
      <c r="F210" s="356"/>
      <c r="G210" s="361"/>
      <c r="H210" s="362"/>
      <c r="I210" s="362"/>
      <c r="J210" s="362"/>
      <c r="K210" s="362"/>
      <c r="L210" s="362"/>
      <c r="M210" s="362"/>
      <c r="N210" s="362"/>
      <c r="O210" s="363"/>
    </row>
    <row r="211" spans="2:15" ht="24.95" customHeight="1" x14ac:dyDescent="0.2">
      <c r="C211" s="356"/>
      <c r="D211" s="356"/>
      <c r="E211" s="357"/>
      <c r="F211" s="356"/>
      <c r="G211" s="364"/>
      <c r="H211" s="365"/>
      <c r="I211" s="365"/>
      <c r="J211" s="365"/>
      <c r="K211" s="365"/>
      <c r="L211" s="365"/>
      <c r="M211" s="365"/>
      <c r="N211" s="365"/>
      <c r="O211" s="366"/>
    </row>
    <row r="212" spans="2:15" ht="24.95" customHeight="1" x14ac:dyDescent="0.2">
      <c r="B212" s="130">
        <f>B206+1</f>
        <v>33</v>
      </c>
      <c r="C212" s="353" t="str">
        <f>CONCATENATE(INDEX(Коэффициенты!$B$4:$S$158,MATCH(B212,Коэффициенты!$B$4:$B$158,0),2)," ","участковое лесничество")</f>
        <v>Тимерликовское участковое лесничество</v>
      </c>
      <c r="D212" s="354"/>
      <c r="E212" s="354"/>
      <c r="F212" s="354"/>
      <c r="G212" s="354"/>
      <c r="H212" s="354"/>
      <c r="I212" s="354"/>
      <c r="J212" s="354"/>
      <c r="K212" s="354"/>
      <c r="L212" s="354"/>
      <c r="M212" s="354"/>
      <c r="N212" s="354"/>
      <c r="O212" s="355"/>
    </row>
    <row r="213" spans="2:15" ht="24.95" customHeight="1" x14ac:dyDescent="0.2">
      <c r="C213" s="356">
        <f>INDEX(Коэффициенты!$B$4:$S$59,MATCH(B212,Коэффициенты!$B$4:$B$59,0),3)</f>
        <v>11</v>
      </c>
      <c r="D213" s="356">
        <f>INDEX(Коэффициенты!$B$4:$S$59,MATCH(B212,Коэффициенты!$B$4:$B$59,0),4)</f>
        <v>8</v>
      </c>
      <c r="E213" s="357" t="s">
        <v>434</v>
      </c>
      <c r="F213" s="356">
        <f>INDEX(Коэффициенты!$B$4:$S$59,MATCH(B212,Коэффициенты!$B$4:$B$59,0),6)</f>
        <v>3.1</v>
      </c>
      <c r="G213" s="358" t="str">
        <f>CONCATENATE("Участок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 ",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",INDEX(Коэффициенты!$B$4:$S$158,MATCH(B212,Коэффициенты!$B$4:$B$158,0),17)," ", "км.
По мере роста культур необходимо своевременное проведение проведения рубок ухода в молодняках - Осветление и Прочистка.")</f>
        <v>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0,82 км.
По мере роста культур необходимо своевременное проведение проведения рубок ухода в молодняках - Осветление и Прочистка.</v>
      </c>
      <c r="H213" s="359"/>
      <c r="I213" s="359"/>
      <c r="J213" s="359"/>
      <c r="K213" s="359"/>
      <c r="L213" s="359"/>
      <c r="M213" s="359"/>
      <c r="N213" s="359"/>
      <c r="O213" s="360"/>
    </row>
    <row r="214" spans="2:15" ht="24.95" customHeight="1" x14ac:dyDescent="0.2">
      <c r="C214" s="356"/>
      <c r="D214" s="356"/>
      <c r="E214" s="357"/>
      <c r="F214" s="356"/>
      <c r="G214" s="361"/>
      <c r="H214" s="362"/>
      <c r="I214" s="362"/>
      <c r="J214" s="362"/>
      <c r="K214" s="362"/>
      <c r="L214" s="362"/>
      <c r="M214" s="362"/>
      <c r="N214" s="362"/>
      <c r="O214" s="363"/>
    </row>
    <row r="215" spans="2:15" ht="24.95" customHeight="1" x14ac:dyDescent="0.2">
      <c r="C215" s="356"/>
      <c r="D215" s="356"/>
      <c r="E215" s="357"/>
      <c r="F215" s="356"/>
      <c r="G215" s="361"/>
      <c r="H215" s="362"/>
      <c r="I215" s="362"/>
      <c r="J215" s="362"/>
      <c r="K215" s="362"/>
      <c r="L215" s="362"/>
      <c r="M215" s="362"/>
      <c r="N215" s="362"/>
      <c r="O215" s="363"/>
    </row>
    <row r="216" spans="2:15" ht="24.95" customHeight="1" x14ac:dyDescent="0.2">
      <c r="C216" s="356"/>
      <c r="D216" s="356"/>
      <c r="E216" s="357"/>
      <c r="F216" s="356"/>
      <c r="G216" s="361"/>
      <c r="H216" s="362"/>
      <c r="I216" s="362"/>
      <c r="J216" s="362"/>
      <c r="K216" s="362"/>
      <c r="L216" s="362"/>
      <c r="M216" s="362"/>
      <c r="N216" s="362"/>
      <c r="O216" s="363"/>
    </row>
    <row r="217" spans="2:15" ht="24.95" customHeight="1" x14ac:dyDescent="0.2">
      <c r="C217" s="356"/>
      <c r="D217" s="356"/>
      <c r="E217" s="357"/>
      <c r="F217" s="356"/>
      <c r="G217" s="364"/>
      <c r="H217" s="365"/>
      <c r="I217" s="365"/>
      <c r="J217" s="365"/>
      <c r="K217" s="365"/>
      <c r="L217" s="365"/>
      <c r="M217" s="365"/>
      <c r="N217" s="365"/>
      <c r="O217" s="366"/>
    </row>
    <row r="218" spans="2:15" ht="24.95" customHeight="1" x14ac:dyDescent="0.2">
      <c r="B218" s="130">
        <f>B212+1</f>
        <v>34</v>
      </c>
      <c r="C218" s="353" t="str">
        <f>CONCATENATE(INDEX(Коэффициенты!$B$4:$S$158,MATCH(B218,Коэффициенты!$B$4:$B$158,0),2)," ","участковое лесничество")</f>
        <v>Тимерликовское участковое лесничество</v>
      </c>
      <c r="D218" s="354"/>
      <c r="E218" s="354"/>
      <c r="F218" s="354"/>
      <c r="G218" s="354"/>
      <c r="H218" s="354"/>
      <c r="I218" s="354"/>
      <c r="J218" s="354"/>
      <c r="K218" s="354"/>
      <c r="L218" s="354"/>
      <c r="M218" s="354"/>
      <c r="N218" s="354"/>
      <c r="O218" s="355"/>
    </row>
    <row r="219" spans="2:15" ht="24.95" customHeight="1" x14ac:dyDescent="0.2">
      <c r="C219" s="356">
        <f>INDEX(Коэффициенты!$B$4:$S$59,MATCH(B218,Коэффициенты!$B$4:$B$59,0),3)</f>
        <v>11</v>
      </c>
      <c r="D219" s="356">
        <f>INDEX(Коэффициенты!$B$4:$S$59,MATCH(B218,Коэффициенты!$B$4:$B$59,0),4)</f>
        <v>17</v>
      </c>
      <c r="E219" s="357" t="s">
        <v>434</v>
      </c>
      <c r="F219" s="356">
        <f>INDEX(Коэффициенты!$B$4:$S$59,MATCH(B218,Коэффициенты!$B$4:$B$59,0),6)</f>
        <v>4.8</v>
      </c>
      <c r="G219" s="358" t="str">
        <f>CONCATENATE("Участок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 ",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",INDEX(Коэффициенты!$B$4:$S$158,MATCH(B218,Коэффициенты!$B$4:$B$158,0),17)," ", "км.
По мере роста культур необходимо своевременное проведение проведения рубок ухода в молодняках - Осветление и Прочистка.")</f>
        <v>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1,16 км.
По мере роста культур необходимо своевременное проведение проведения рубок ухода в молодняках - Осветление и Прочистка.</v>
      </c>
      <c r="H219" s="359"/>
      <c r="I219" s="359"/>
      <c r="J219" s="359"/>
      <c r="K219" s="359"/>
      <c r="L219" s="359"/>
      <c r="M219" s="359"/>
      <c r="N219" s="359"/>
      <c r="O219" s="360"/>
    </row>
    <row r="220" spans="2:15" ht="24.95" customHeight="1" x14ac:dyDescent="0.2">
      <c r="C220" s="356"/>
      <c r="D220" s="356"/>
      <c r="E220" s="357"/>
      <c r="F220" s="356"/>
      <c r="G220" s="361"/>
      <c r="H220" s="362"/>
      <c r="I220" s="362"/>
      <c r="J220" s="362"/>
      <c r="K220" s="362"/>
      <c r="L220" s="362"/>
      <c r="M220" s="362"/>
      <c r="N220" s="362"/>
      <c r="O220" s="363"/>
    </row>
    <row r="221" spans="2:15" ht="24.95" customHeight="1" x14ac:dyDescent="0.2">
      <c r="C221" s="356"/>
      <c r="D221" s="356"/>
      <c r="E221" s="357"/>
      <c r="F221" s="356"/>
      <c r="G221" s="361"/>
      <c r="H221" s="362"/>
      <c r="I221" s="362"/>
      <c r="J221" s="362"/>
      <c r="K221" s="362"/>
      <c r="L221" s="362"/>
      <c r="M221" s="362"/>
      <c r="N221" s="362"/>
      <c r="O221" s="363"/>
    </row>
    <row r="222" spans="2:15" ht="24.95" customHeight="1" x14ac:dyDescent="0.2">
      <c r="C222" s="356"/>
      <c r="D222" s="356"/>
      <c r="E222" s="357"/>
      <c r="F222" s="356"/>
      <c r="G222" s="361"/>
      <c r="H222" s="362"/>
      <c r="I222" s="362"/>
      <c r="J222" s="362"/>
      <c r="K222" s="362"/>
      <c r="L222" s="362"/>
      <c r="M222" s="362"/>
      <c r="N222" s="362"/>
      <c r="O222" s="363"/>
    </row>
    <row r="223" spans="2:15" ht="24.95" customHeight="1" x14ac:dyDescent="0.2">
      <c r="C223" s="356"/>
      <c r="D223" s="356"/>
      <c r="E223" s="357"/>
      <c r="F223" s="356"/>
      <c r="G223" s="364"/>
      <c r="H223" s="365"/>
      <c r="I223" s="365"/>
      <c r="J223" s="365"/>
      <c r="K223" s="365"/>
      <c r="L223" s="365"/>
      <c r="M223" s="365"/>
      <c r="N223" s="365"/>
      <c r="O223" s="366"/>
    </row>
    <row r="224" spans="2:15" ht="24.95" customHeight="1" x14ac:dyDescent="0.2">
      <c r="B224" s="130">
        <f>B218+1</f>
        <v>35</v>
      </c>
      <c r="C224" s="353" t="str">
        <f>CONCATENATE(INDEX(Коэффициенты!$B$4:$S$158,MATCH(B224,Коэффициенты!$B$4:$B$158,0),2)," ","участковое лесничество")</f>
        <v>Тимерликовское участковое лесничество</v>
      </c>
      <c r="D224" s="354"/>
      <c r="E224" s="354"/>
      <c r="F224" s="354"/>
      <c r="G224" s="354"/>
      <c r="H224" s="354"/>
      <c r="I224" s="354"/>
      <c r="J224" s="354"/>
      <c r="K224" s="354"/>
      <c r="L224" s="354"/>
      <c r="M224" s="354"/>
      <c r="N224" s="354"/>
      <c r="O224" s="355"/>
    </row>
    <row r="225" spans="2:15" ht="24.95" customHeight="1" x14ac:dyDescent="0.2">
      <c r="C225" s="356">
        <f>INDEX(Коэффициенты!$B$4:$S$59,MATCH(B224,Коэффициенты!$B$4:$B$59,0),3)</f>
        <v>11</v>
      </c>
      <c r="D225" s="356">
        <f>INDEX(Коэффициенты!$B$4:$S$59,MATCH(B224,Коэффициенты!$B$4:$B$59,0),4)</f>
        <v>27</v>
      </c>
      <c r="E225" s="357" t="s">
        <v>434</v>
      </c>
      <c r="F225" s="356">
        <f>INDEX(Коэффициенты!$B$4:$S$59,MATCH(B224,Коэффициенты!$B$4:$B$59,0),6)</f>
        <v>4.9000000000000004</v>
      </c>
      <c r="G225" s="358" t="str">
        <f>CONCATENATE("Участок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 ",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",INDEX(Коэффициенты!$B$4:$S$158,MATCH(B224,Коэффициенты!$B$4:$B$158,0),17)," ", "км.
По мере роста культур необходимо своевременное проведение проведения рубок ухода в молодняках - Осветление и Прочистка.")</f>
        <v>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1,24 км.
По мере роста культур необходимо своевременное проведение проведения рубок ухода в молодняках - Осветление и Прочистка.</v>
      </c>
      <c r="H225" s="359"/>
      <c r="I225" s="359"/>
      <c r="J225" s="359"/>
      <c r="K225" s="359"/>
      <c r="L225" s="359"/>
      <c r="M225" s="359"/>
      <c r="N225" s="359"/>
      <c r="O225" s="360"/>
    </row>
    <row r="226" spans="2:15" ht="24.95" customHeight="1" x14ac:dyDescent="0.2">
      <c r="C226" s="356"/>
      <c r="D226" s="356"/>
      <c r="E226" s="357"/>
      <c r="F226" s="356"/>
      <c r="G226" s="361"/>
      <c r="H226" s="362"/>
      <c r="I226" s="362"/>
      <c r="J226" s="362"/>
      <c r="K226" s="362"/>
      <c r="L226" s="362"/>
      <c r="M226" s="362"/>
      <c r="N226" s="362"/>
      <c r="O226" s="363"/>
    </row>
    <row r="227" spans="2:15" ht="24.95" customHeight="1" x14ac:dyDescent="0.2">
      <c r="C227" s="356"/>
      <c r="D227" s="356"/>
      <c r="E227" s="357"/>
      <c r="F227" s="356"/>
      <c r="G227" s="361"/>
      <c r="H227" s="362"/>
      <c r="I227" s="362"/>
      <c r="J227" s="362"/>
      <c r="K227" s="362"/>
      <c r="L227" s="362"/>
      <c r="M227" s="362"/>
      <c r="N227" s="362"/>
      <c r="O227" s="363"/>
    </row>
    <row r="228" spans="2:15" ht="24.95" customHeight="1" x14ac:dyDescent="0.2">
      <c r="C228" s="356"/>
      <c r="D228" s="356"/>
      <c r="E228" s="357"/>
      <c r="F228" s="356"/>
      <c r="G228" s="361"/>
      <c r="H228" s="362"/>
      <c r="I228" s="362"/>
      <c r="J228" s="362"/>
      <c r="K228" s="362"/>
      <c r="L228" s="362"/>
      <c r="M228" s="362"/>
      <c r="N228" s="362"/>
      <c r="O228" s="363"/>
    </row>
    <row r="229" spans="2:15" ht="24.95" customHeight="1" x14ac:dyDescent="0.2">
      <c r="C229" s="356"/>
      <c r="D229" s="356"/>
      <c r="E229" s="357"/>
      <c r="F229" s="356"/>
      <c r="G229" s="364"/>
      <c r="H229" s="365"/>
      <c r="I229" s="365"/>
      <c r="J229" s="365"/>
      <c r="K229" s="365"/>
      <c r="L229" s="365"/>
      <c r="M229" s="365"/>
      <c r="N229" s="365"/>
      <c r="O229" s="366"/>
    </row>
    <row r="230" spans="2:15" ht="24.95" customHeight="1" x14ac:dyDescent="0.2">
      <c r="B230" s="130">
        <f>B224+1</f>
        <v>36</v>
      </c>
      <c r="C230" s="353" t="str">
        <f>CONCATENATE(INDEX(Коэффициенты!$B$4:$S$158,MATCH(B230,Коэффициенты!$B$4:$B$158,0),2)," ","участковое лесничество")</f>
        <v>Тимерликовское участковое лесничество</v>
      </c>
      <c r="D230" s="354"/>
      <c r="E230" s="354"/>
      <c r="F230" s="354"/>
      <c r="G230" s="354"/>
      <c r="H230" s="354"/>
      <c r="I230" s="354"/>
      <c r="J230" s="354"/>
      <c r="K230" s="354"/>
      <c r="L230" s="354"/>
      <c r="M230" s="354"/>
      <c r="N230" s="354"/>
      <c r="O230" s="355"/>
    </row>
    <row r="231" spans="2:15" ht="24.95" customHeight="1" x14ac:dyDescent="0.2">
      <c r="C231" s="356">
        <f>INDEX(Коэффициенты!$B$4:$S$59,MATCH(B230,Коэффициенты!$B$4:$B$59,0),3)</f>
        <v>16</v>
      </c>
      <c r="D231" s="356">
        <f>INDEX(Коэффициенты!$B$4:$S$59,MATCH(B230,Коэффициенты!$B$4:$B$59,0),4)</f>
        <v>6</v>
      </c>
      <c r="E231" s="357" t="s">
        <v>434</v>
      </c>
      <c r="F231" s="356">
        <f>INDEX(Коэффициенты!$B$4:$S$59,MATCH(B230,Коэффициенты!$B$4:$B$59,0),6)</f>
        <v>3.2</v>
      </c>
      <c r="G231" s="358" t="str">
        <f>CONCATENATE("Участок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 ",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",INDEX(Коэффициенты!$B$4:$S$158,MATCH(B230,Коэффициенты!$B$4:$B$158,0),17)," ", "км.
По мере роста культур необходимо своевременное проведение проведения рубок ухода в молодняках - Осветление и Прочистка.")</f>
        <v>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0,84 км.
По мере роста культур необходимо своевременное проведение проведения рубок ухода в молодняках - Осветление и Прочистка.</v>
      </c>
      <c r="H231" s="359"/>
      <c r="I231" s="359"/>
      <c r="J231" s="359"/>
      <c r="K231" s="359"/>
      <c r="L231" s="359"/>
      <c r="M231" s="359"/>
      <c r="N231" s="359"/>
      <c r="O231" s="360"/>
    </row>
    <row r="232" spans="2:15" ht="24.95" customHeight="1" x14ac:dyDescent="0.2">
      <c r="C232" s="356"/>
      <c r="D232" s="356"/>
      <c r="E232" s="357"/>
      <c r="F232" s="356"/>
      <c r="G232" s="361"/>
      <c r="H232" s="362"/>
      <c r="I232" s="362"/>
      <c r="J232" s="362"/>
      <c r="K232" s="362"/>
      <c r="L232" s="362"/>
      <c r="M232" s="362"/>
      <c r="N232" s="362"/>
      <c r="O232" s="363"/>
    </row>
    <row r="233" spans="2:15" ht="24.95" customHeight="1" x14ac:dyDescent="0.2">
      <c r="C233" s="356"/>
      <c r="D233" s="356"/>
      <c r="E233" s="357"/>
      <c r="F233" s="356"/>
      <c r="G233" s="361"/>
      <c r="H233" s="362"/>
      <c r="I233" s="362"/>
      <c r="J233" s="362"/>
      <c r="K233" s="362"/>
      <c r="L233" s="362"/>
      <c r="M233" s="362"/>
      <c r="N233" s="362"/>
      <c r="O233" s="363"/>
    </row>
    <row r="234" spans="2:15" ht="24.95" customHeight="1" x14ac:dyDescent="0.2">
      <c r="C234" s="356"/>
      <c r="D234" s="356"/>
      <c r="E234" s="357"/>
      <c r="F234" s="356"/>
      <c r="G234" s="361"/>
      <c r="H234" s="362"/>
      <c r="I234" s="362"/>
      <c r="J234" s="362"/>
      <c r="K234" s="362"/>
      <c r="L234" s="362"/>
      <c r="M234" s="362"/>
      <c r="N234" s="362"/>
      <c r="O234" s="363"/>
    </row>
    <row r="235" spans="2:15" ht="24.95" customHeight="1" x14ac:dyDescent="0.2">
      <c r="C235" s="356"/>
      <c r="D235" s="356"/>
      <c r="E235" s="357"/>
      <c r="F235" s="356"/>
      <c r="G235" s="364"/>
      <c r="H235" s="365"/>
      <c r="I235" s="365"/>
      <c r="J235" s="365"/>
      <c r="K235" s="365"/>
      <c r="L235" s="365"/>
      <c r="M235" s="365"/>
      <c r="N235" s="365"/>
      <c r="O235" s="366"/>
    </row>
    <row r="236" spans="2:15" ht="24.95" customHeight="1" x14ac:dyDescent="0.2">
      <c r="B236" s="130">
        <f>B230+1</f>
        <v>37</v>
      </c>
      <c r="C236" s="353" t="str">
        <f>CONCATENATE(INDEX(Коэффициенты!$B$4:$S$158,MATCH(B236,Коэффициенты!$B$4:$B$158,0),2)," ","участковое лесничество")</f>
        <v>Тимерликовское участковое лесничество</v>
      </c>
      <c r="D236" s="354"/>
      <c r="E236" s="354"/>
      <c r="F236" s="354"/>
      <c r="G236" s="354"/>
      <c r="H236" s="354"/>
      <c r="I236" s="354"/>
      <c r="J236" s="354"/>
      <c r="K236" s="354"/>
      <c r="L236" s="354"/>
      <c r="M236" s="354"/>
      <c r="N236" s="354"/>
      <c r="O236" s="355"/>
    </row>
    <row r="237" spans="2:15" ht="24.95" customHeight="1" x14ac:dyDescent="0.2">
      <c r="C237" s="356">
        <f>INDEX(Коэффициенты!$B$4:$S$59,MATCH(B236,Коэффициенты!$B$4:$B$59,0),3)</f>
        <v>16</v>
      </c>
      <c r="D237" s="356">
        <f>INDEX(Коэффициенты!$B$4:$S$59,MATCH(B236,Коэффициенты!$B$4:$B$59,0),4)</f>
        <v>9</v>
      </c>
      <c r="E237" s="357" t="s">
        <v>434</v>
      </c>
      <c r="F237" s="356">
        <f>INDEX(Коэффициенты!$B$4:$S$59,MATCH(B236,Коэффициенты!$B$4:$B$59,0),6)</f>
        <v>6.7</v>
      </c>
      <c r="G237" s="358" t="str">
        <f>CONCATENATE("Участок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 ",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",INDEX(Коэффициенты!$B$4:$S$158,MATCH(B236,Коэффициенты!$B$4:$B$158,0),17)," ", "км.
По мере роста культур необходимо своевременное проведение проведения рубок ухода в молодняках - Осветление и Прочистка.")</f>
        <v>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1,54 км.
По мере роста культур необходимо своевременное проведение проведения рубок ухода в молодняках - Осветление и Прочистка.</v>
      </c>
      <c r="H237" s="359"/>
      <c r="I237" s="359"/>
      <c r="J237" s="359"/>
      <c r="K237" s="359"/>
      <c r="L237" s="359"/>
      <c r="M237" s="359"/>
      <c r="N237" s="359"/>
      <c r="O237" s="360"/>
    </row>
    <row r="238" spans="2:15" ht="24.95" customHeight="1" x14ac:dyDescent="0.2">
      <c r="C238" s="356"/>
      <c r="D238" s="356"/>
      <c r="E238" s="357"/>
      <c r="F238" s="356"/>
      <c r="G238" s="361"/>
      <c r="H238" s="362"/>
      <c r="I238" s="362"/>
      <c r="J238" s="362"/>
      <c r="K238" s="362"/>
      <c r="L238" s="362"/>
      <c r="M238" s="362"/>
      <c r="N238" s="362"/>
      <c r="O238" s="363"/>
    </row>
    <row r="239" spans="2:15" ht="24.95" customHeight="1" x14ac:dyDescent="0.2">
      <c r="C239" s="356"/>
      <c r="D239" s="356"/>
      <c r="E239" s="357"/>
      <c r="F239" s="356"/>
      <c r="G239" s="361"/>
      <c r="H239" s="362"/>
      <c r="I239" s="362"/>
      <c r="J239" s="362"/>
      <c r="K239" s="362"/>
      <c r="L239" s="362"/>
      <c r="M239" s="362"/>
      <c r="N239" s="362"/>
      <c r="O239" s="363"/>
    </row>
    <row r="240" spans="2:15" ht="24.95" customHeight="1" x14ac:dyDescent="0.2">
      <c r="C240" s="356"/>
      <c r="D240" s="356"/>
      <c r="E240" s="357"/>
      <c r="F240" s="356"/>
      <c r="G240" s="361"/>
      <c r="H240" s="362"/>
      <c r="I240" s="362"/>
      <c r="J240" s="362"/>
      <c r="K240" s="362"/>
      <c r="L240" s="362"/>
      <c r="M240" s="362"/>
      <c r="N240" s="362"/>
      <c r="O240" s="363"/>
    </row>
    <row r="241" spans="2:15" ht="24.95" customHeight="1" x14ac:dyDescent="0.2">
      <c r="C241" s="356"/>
      <c r="D241" s="356"/>
      <c r="E241" s="357"/>
      <c r="F241" s="356"/>
      <c r="G241" s="364"/>
      <c r="H241" s="365"/>
      <c r="I241" s="365"/>
      <c r="J241" s="365"/>
      <c r="K241" s="365"/>
      <c r="L241" s="365"/>
      <c r="M241" s="365"/>
      <c r="N241" s="365"/>
      <c r="O241" s="366"/>
    </row>
    <row r="242" spans="2:15" ht="24.95" customHeight="1" x14ac:dyDescent="0.2">
      <c r="B242" s="130">
        <f>B236+1</f>
        <v>38</v>
      </c>
      <c r="C242" s="353" t="str">
        <f>CONCATENATE(INDEX(Коэффициенты!$B$4:$S$158,MATCH(B242,Коэффициенты!$B$4:$B$158,0),2)," ","участковое лесничество")</f>
        <v>Тимерликовское участковое лесничество</v>
      </c>
      <c r="D242" s="354"/>
      <c r="E242" s="354"/>
      <c r="F242" s="354"/>
      <c r="G242" s="354"/>
      <c r="H242" s="354"/>
      <c r="I242" s="354"/>
      <c r="J242" s="354"/>
      <c r="K242" s="354"/>
      <c r="L242" s="354"/>
      <c r="M242" s="354"/>
      <c r="N242" s="354"/>
      <c r="O242" s="355"/>
    </row>
    <row r="243" spans="2:15" ht="24.95" customHeight="1" x14ac:dyDescent="0.2">
      <c r="C243" s="356">
        <f>INDEX(Коэффициенты!$B$4:$S$59,MATCH(B242,Коэффициенты!$B$4:$B$59,0),3)</f>
        <v>16</v>
      </c>
      <c r="D243" s="356">
        <f>INDEX(Коэффициенты!$B$4:$S$59,MATCH(B242,Коэффициенты!$B$4:$B$59,0),4)</f>
        <v>9</v>
      </c>
      <c r="E243" s="357" t="s">
        <v>434</v>
      </c>
      <c r="F243" s="356">
        <f>INDEX(Коэффициенты!$B$4:$S$59,MATCH(B242,Коэффициенты!$B$4:$B$59,0),6)</f>
        <v>3.3</v>
      </c>
      <c r="G243" s="358" t="str">
        <f>CONCATENATE("Участок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 ",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",INDEX(Коэффициенты!$B$4:$S$158,MATCH(B242,Коэффициенты!$B$4:$B$158,0),17)," ", "км.
По мере роста культур необходимо своевременное проведение проведения рубок ухода в молодняках - Осветление и Прочистка.")</f>
        <v>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0,86 км.
По мере роста культур необходимо своевременное проведение проведения рубок ухода в молодняках - Осветление и Прочистка.</v>
      </c>
      <c r="H243" s="359"/>
      <c r="I243" s="359"/>
      <c r="J243" s="359"/>
      <c r="K243" s="359"/>
      <c r="L243" s="359"/>
      <c r="M243" s="359"/>
      <c r="N243" s="359"/>
      <c r="O243" s="360"/>
    </row>
    <row r="244" spans="2:15" ht="24.95" customHeight="1" x14ac:dyDescent="0.2">
      <c r="C244" s="356"/>
      <c r="D244" s="356"/>
      <c r="E244" s="357"/>
      <c r="F244" s="356"/>
      <c r="G244" s="361"/>
      <c r="H244" s="362"/>
      <c r="I244" s="362"/>
      <c r="J244" s="362"/>
      <c r="K244" s="362"/>
      <c r="L244" s="362"/>
      <c r="M244" s="362"/>
      <c r="N244" s="362"/>
      <c r="O244" s="363"/>
    </row>
    <row r="245" spans="2:15" ht="24.95" customHeight="1" x14ac:dyDescent="0.2">
      <c r="C245" s="356"/>
      <c r="D245" s="356"/>
      <c r="E245" s="357"/>
      <c r="F245" s="356"/>
      <c r="G245" s="361"/>
      <c r="H245" s="362"/>
      <c r="I245" s="362"/>
      <c r="J245" s="362"/>
      <c r="K245" s="362"/>
      <c r="L245" s="362"/>
      <c r="M245" s="362"/>
      <c r="N245" s="362"/>
      <c r="O245" s="363"/>
    </row>
    <row r="246" spans="2:15" ht="24.95" customHeight="1" x14ac:dyDescent="0.2">
      <c r="C246" s="356"/>
      <c r="D246" s="356"/>
      <c r="E246" s="357"/>
      <c r="F246" s="356"/>
      <c r="G246" s="361"/>
      <c r="H246" s="362"/>
      <c r="I246" s="362"/>
      <c r="J246" s="362"/>
      <c r="K246" s="362"/>
      <c r="L246" s="362"/>
      <c r="M246" s="362"/>
      <c r="N246" s="362"/>
      <c r="O246" s="363"/>
    </row>
    <row r="247" spans="2:15" ht="24.95" customHeight="1" x14ac:dyDescent="0.2">
      <c r="C247" s="356"/>
      <c r="D247" s="356"/>
      <c r="E247" s="357"/>
      <c r="F247" s="356"/>
      <c r="G247" s="364"/>
      <c r="H247" s="365"/>
      <c r="I247" s="365"/>
      <c r="J247" s="365"/>
      <c r="K247" s="365"/>
      <c r="L247" s="365"/>
      <c r="M247" s="365"/>
      <c r="N247" s="365"/>
      <c r="O247" s="366"/>
    </row>
    <row r="248" spans="2:15" ht="24.95" customHeight="1" x14ac:dyDescent="0.2">
      <c r="B248" s="130">
        <f>B242+1</f>
        <v>39</v>
      </c>
      <c r="C248" s="353" t="str">
        <f>CONCATENATE(INDEX(Коэффициенты!$B$4:$S$158,MATCH(B248,Коэффициенты!$B$4:$B$158,0),2)," ","участковое лесничество")</f>
        <v>Тимерликовское участковое лесничество</v>
      </c>
      <c r="D248" s="354"/>
      <c r="E248" s="354"/>
      <c r="F248" s="354"/>
      <c r="G248" s="354"/>
      <c r="H248" s="354"/>
      <c r="I248" s="354"/>
      <c r="J248" s="354"/>
      <c r="K248" s="354"/>
      <c r="L248" s="354"/>
      <c r="M248" s="354"/>
      <c r="N248" s="354"/>
      <c r="O248" s="355"/>
    </row>
    <row r="249" spans="2:15" ht="24.95" customHeight="1" x14ac:dyDescent="0.2">
      <c r="C249" s="356">
        <f>INDEX(Коэффициенты!$B$4:$S$59,MATCH(B248,Коэффициенты!$B$4:$B$59,0),3)</f>
        <v>16</v>
      </c>
      <c r="D249" s="356">
        <f>INDEX(Коэффициенты!$B$4:$S$59,MATCH(B248,Коэффициенты!$B$4:$B$59,0),4)</f>
        <v>9</v>
      </c>
      <c r="E249" s="357" t="s">
        <v>434</v>
      </c>
      <c r="F249" s="356">
        <f>INDEX(Коэффициенты!$B$4:$S$59,MATCH(B248,Коэффициенты!$B$4:$B$59,0),6)</f>
        <v>2.8</v>
      </c>
      <c r="G249" s="358" t="str">
        <f>CONCATENATE("Участок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 ",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",INDEX(Коэффициенты!$B$4:$S$158,MATCH(B248,Коэффициенты!$B$4:$B$158,0),17)," ", "км.
По мере роста культур необходимо своевременное проведение проведения рубок ухода в молодняках - Осветление и Прочистка.")</f>
        <v>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0,76 км.
По мере роста культур необходимо своевременное проведение проведения рубок ухода в молодняках - Осветление и Прочистка.</v>
      </c>
      <c r="H249" s="359"/>
      <c r="I249" s="359"/>
      <c r="J249" s="359"/>
      <c r="K249" s="359"/>
      <c r="L249" s="359"/>
      <c r="M249" s="359"/>
      <c r="N249" s="359"/>
      <c r="O249" s="360"/>
    </row>
    <row r="250" spans="2:15" ht="24.95" customHeight="1" x14ac:dyDescent="0.2">
      <c r="C250" s="356"/>
      <c r="D250" s="356"/>
      <c r="E250" s="357"/>
      <c r="F250" s="356"/>
      <c r="G250" s="361"/>
      <c r="H250" s="362"/>
      <c r="I250" s="362"/>
      <c r="J250" s="362"/>
      <c r="K250" s="362"/>
      <c r="L250" s="362"/>
      <c r="M250" s="362"/>
      <c r="N250" s="362"/>
      <c r="O250" s="363"/>
    </row>
    <row r="251" spans="2:15" ht="24.95" customHeight="1" x14ac:dyDescent="0.2">
      <c r="C251" s="356"/>
      <c r="D251" s="356"/>
      <c r="E251" s="357"/>
      <c r="F251" s="356"/>
      <c r="G251" s="361"/>
      <c r="H251" s="362"/>
      <c r="I251" s="362"/>
      <c r="J251" s="362"/>
      <c r="K251" s="362"/>
      <c r="L251" s="362"/>
      <c r="M251" s="362"/>
      <c r="N251" s="362"/>
      <c r="O251" s="363"/>
    </row>
    <row r="252" spans="2:15" ht="24.95" customHeight="1" x14ac:dyDescent="0.2">
      <c r="C252" s="356"/>
      <c r="D252" s="356"/>
      <c r="E252" s="357"/>
      <c r="F252" s="356"/>
      <c r="G252" s="361"/>
      <c r="H252" s="362"/>
      <c r="I252" s="362"/>
      <c r="J252" s="362"/>
      <c r="K252" s="362"/>
      <c r="L252" s="362"/>
      <c r="M252" s="362"/>
      <c r="N252" s="362"/>
      <c r="O252" s="363"/>
    </row>
    <row r="253" spans="2:15" ht="24.95" customHeight="1" x14ac:dyDescent="0.2">
      <c r="C253" s="356"/>
      <c r="D253" s="356"/>
      <c r="E253" s="357"/>
      <c r="F253" s="356"/>
      <c r="G253" s="364"/>
      <c r="H253" s="365"/>
      <c r="I253" s="365"/>
      <c r="J253" s="365"/>
      <c r="K253" s="365"/>
      <c r="L253" s="365"/>
      <c r="M253" s="365"/>
      <c r="N253" s="365"/>
      <c r="O253" s="366"/>
    </row>
    <row r="254" spans="2:15" ht="24.95" customHeight="1" x14ac:dyDescent="0.2">
      <c r="B254" s="130">
        <f>B248+1</f>
        <v>40</v>
      </c>
      <c r="C254" s="353" t="str">
        <f>CONCATENATE(INDEX(Коэффициенты!$B$4:$S$158,MATCH(B254,Коэффициенты!$B$4:$B$158,0),2)," ","участковое лесничество")</f>
        <v>Тимерликовское участковое лесничество</v>
      </c>
      <c r="D254" s="354"/>
      <c r="E254" s="354"/>
      <c r="F254" s="354"/>
      <c r="G254" s="354"/>
      <c r="H254" s="354"/>
      <c r="I254" s="354"/>
      <c r="J254" s="354"/>
      <c r="K254" s="354"/>
      <c r="L254" s="354"/>
      <c r="M254" s="354"/>
      <c r="N254" s="354"/>
      <c r="O254" s="355"/>
    </row>
    <row r="255" spans="2:15" ht="24.95" customHeight="1" x14ac:dyDescent="0.2">
      <c r="C255" s="356">
        <f>INDEX(Коэффициенты!$B$4:$S$59,MATCH(B254,Коэффициенты!$B$4:$B$59,0),3)</f>
        <v>16</v>
      </c>
      <c r="D255" s="356">
        <f>INDEX(Коэффициенты!$B$4:$S$59,MATCH(B254,Коэффициенты!$B$4:$B$59,0),4)</f>
        <v>9</v>
      </c>
      <c r="E255" s="357" t="s">
        <v>434</v>
      </c>
      <c r="F255" s="356">
        <f>INDEX(Коэффициенты!$B$4:$S$59,MATCH(B254,Коэффициенты!$B$4:$B$59,0),6)</f>
        <v>2.8</v>
      </c>
      <c r="G255" s="358" t="str">
        <f>CONCATENATE("Участок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 ",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",INDEX(Коэффициенты!$B$4:$S$158,MATCH(B254,Коэффициенты!$B$4:$B$158,0),17)," ", "км.
По мере роста культур необходимо своевременное проведение проведения рубок ухода в молодняках - Осветление и Прочистка.")</f>
        <v>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0,76 км.
По мере роста культур необходимо своевременное проведение проведения рубок ухода в молодняках - Осветление и Прочистка.</v>
      </c>
      <c r="H255" s="359"/>
      <c r="I255" s="359"/>
      <c r="J255" s="359"/>
      <c r="K255" s="359"/>
      <c r="L255" s="359"/>
      <c r="M255" s="359"/>
      <c r="N255" s="359"/>
      <c r="O255" s="360"/>
    </row>
    <row r="256" spans="2:15" ht="24.95" customHeight="1" x14ac:dyDescent="0.2">
      <c r="C256" s="356"/>
      <c r="D256" s="356"/>
      <c r="E256" s="357"/>
      <c r="F256" s="356"/>
      <c r="G256" s="361"/>
      <c r="H256" s="362"/>
      <c r="I256" s="362"/>
      <c r="J256" s="362"/>
      <c r="K256" s="362"/>
      <c r="L256" s="362"/>
      <c r="M256" s="362"/>
      <c r="N256" s="362"/>
      <c r="O256" s="363"/>
    </row>
    <row r="257" spans="2:15" ht="24.95" customHeight="1" x14ac:dyDescent="0.2">
      <c r="C257" s="356"/>
      <c r="D257" s="356"/>
      <c r="E257" s="357"/>
      <c r="F257" s="356"/>
      <c r="G257" s="361"/>
      <c r="H257" s="362"/>
      <c r="I257" s="362"/>
      <c r="J257" s="362"/>
      <c r="K257" s="362"/>
      <c r="L257" s="362"/>
      <c r="M257" s="362"/>
      <c r="N257" s="362"/>
      <c r="O257" s="363"/>
    </row>
    <row r="258" spans="2:15" ht="24.95" customHeight="1" x14ac:dyDescent="0.2">
      <c r="C258" s="356"/>
      <c r="D258" s="356"/>
      <c r="E258" s="357"/>
      <c r="F258" s="356"/>
      <c r="G258" s="361"/>
      <c r="H258" s="362"/>
      <c r="I258" s="362"/>
      <c r="J258" s="362"/>
      <c r="K258" s="362"/>
      <c r="L258" s="362"/>
      <c r="M258" s="362"/>
      <c r="N258" s="362"/>
      <c r="O258" s="363"/>
    </row>
    <row r="259" spans="2:15" ht="24.95" customHeight="1" x14ac:dyDescent="0.2">
      <c r="C259" s="356"/>
      <c r="D259" s="356"/>
      <c r="E259" s="357"/>
      <c r="F259" s="356"/>
      <c r="G259" s="364"/>
      <c r="H259" s="365"/>
      <c r="I259" s="365"/>
      <c r="J259" s="365"/>
      <c r="K259" s="365"/>
      <c r="L259" s="365"/>
      <c r="M259" s="365"/>
      <c r="N259" s="365"/>
      <c r="O259" s="366"/>
    </row>
    <row r="260" spans="2:15" ht="24.95" customHeight="1" x14ac:dyDescent="0.2">
      <c r="B260" s="130">
        <f>B254+1</f>
        <v>41</v>
      </c>
      <c r="C260" s="353" t="str">
        <f>CONCATENATE(INDEX(Коэффициенты!$B$4:$S$158,MATCH(B260,Коэффициенты!$B$4:$B$158,0),2)," ","участковое лесничество")</f>
        <v>Тимерликовское участковое лесничество</v>
      </c>
      <c r="D260" s="354"/>
      <c r="E260" s="354"/>
      <c r="F260" s="354"/>
      <c r="G260" s="354"/>
      <c r="H260" s="354"/>
      <c r="I260" s="354"/>
      <c r="J260" s="354"/>
      <c r="K260" s="354"/>
      <c r="L260" s="354"/>
      <c r="M260" s="354"/>
      <c r="N260" s="354"/>
      <c r="O260" s="355"/>
    </row>
    <row r="261" spans="2:15" ht="24.95" customHeight="1" x14ac:dyDescent="0.2">
      <c r="C261" s="356">
        <f>INDEX(Коэффициенты!$B$4:$S$59,MATCH(B260,Коэффициенты!$B$4:$B$59,0),3)</f>
        <v>115</v>
      </c>
      <c r="D261" s="356">
        <f>INDEX(Коэффициенты!$B$4:$S$59,MATCH(B260,Коэффициенты!$B$4:$B$59,0),4)</f>
        <v>6</v>
      </c>
      <c r="E261" s="357" t="s">
        <v>434</v>
      </c>
      <c r="F261" s="356">
        <f>INDEX(Коэффициенты!$B$4:$S$59,MATCH(B260,Коэффициенты!$B$4:$B$59,0),6)</f>
        <v>4</v>
      </c>
      <c r="G261" s="358" t="str">
        <f>CONCATENATE("Участок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 ",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",INDEX(Коэффициенты!$B$4:$S$158,MATCH(B260,Коэффициенты!$B$4:$B$158,0),17)," ", "км.
По мере роста культур необходимо своевременное проведение проведения рубок ухода в молодняках - Осветление и Прочистка.")</f>
        <v>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0,99 км.
По мере роста культур необходимо своевременное проведение проведения рубок ухода в молодняках - Осветление и Прочистка.</v>
      </c>
      <c r="H261" s="359"/>
      <c r="I261" s="359"/>
      <c r="J261" s="359"/>
      <c r="K261" s="359"/>
      <c r="L261" s="359"/>
      <c r="M261" s="359"/>
      <c r="N261" s="359"/>
      <c r="O261" s="360"/>
    </row>
    <row r="262" spans="2:15" ht="24.95" customHeight="1" x14ac:dyDescent="0.2">
      <c r="C262" s="356"/>
      <c r="D262" s="356"/>
      <c r="E262" s="357"/>
      <c r="F262" s="356"/>
      <c r="G262" s="361"/>
      <c r="H262" s="362"/>
      <c r="I262" s="362"/>
      <c r="J262" s="362"/>
      <c r="K262" s="362"/>
      <c r="L262" s="362"/>
      <c r="M262" s="362"/>
      <c r="N262" s="362"/>
      <c r="O262" s="363"/>
    </row>
    <row r="263" spans="2:15" ht="24.95" customHeight="1" x14ac:dyDescent="0.2">
      <c r="C263" s="356"/>
      <c r="D263" s="356"/>
      <c r="E263" s="357"/>
      <c r="F263" s="356"/>
      <c r="G263" s="361"/>
      <c r="H263" s="362"/>
      <c r="I263" s="362"/>
      <c r="J263" s="362"/>
      <c r="K263" s="362"/>
      <c r="L263" s="362"/>
      <c r="M263" s="362"/>
      <c r="N263" s="362"/>
      <c r="O263" s="363"/>
    </row>
    <row r="264" spans="2:15" ht="24.95" customHeight="1" x14ac:dyDescent="0.2">
      <c r="C264" s="356"/>
      <c r="D264" s="356"/>
      <c r="E264" s="357"/>
      <c r="F264" s="356"/>
      <c r="G264" s="361"/>
      <c r="H264" s="362"/>
      <c r="I264" s="362"/>
      <c r="J264" s="362"/>
      <c r="K264" s="362"/>
      <c r="L264" s="362"/>
      <c r="M264" s="362"/>
      <c r="N264" s="362"/>
      <c r="O264" s="363"/>
    </row>
    <row r="265" spans="2:15" ht="24.95" customHeight="1" x14ac:dyDescent="0.2">
      <c r="C265" s="356"/>
      <c r="D265" s="356"/>
      <c r="E265" s="357"/>
      <c r="F265" s="356"/>
      <c r="G265" s="364"/>
      <c r="H265" s="365"/>
      <c r="I265" s="365"/>
      <c r="J265" s="365"/>
      <c r="K265" s="365"/>
      <c r="L265" s="365"/>
      <c r="M265" s="365"/>
      <c r="N265" s="365"/>
      <c r="O265" s="366"/>
    </row>
    <row r="266" spans="2:15" ht="24.95" customHeight="1" x14ac:dyDescent="0.2">
      <c r="B266" s="130">
        <f>B260+1</f>
        <v>42</v>
      </c>
      <c r="C266" s="353" t="str">
        <f>CONCATENATE(INDEX(Коэффициенты!$B$4:$S$158,MATCH(B266,Коэффициенты!$B$4:$B$158,0),2)," ","участковое лесничество")</f>
        <v>Тимерликовское участковое лесничество</v>
      </c>
      <c r="D266" s="354"/>
      <c r="E266" s="354"/>
      <c r="F266" s="354"/>
      <c r="G266" s="354"/>
      <c r="H266" s="354"/>
      <c r="I266" s="354"/>
      <c r="J266" s="354"/>
      <c r="K266" s="354"/>
      <c r="L266" s="354"/>
      <c r="M266" s="354"/>
      <c r="N266" s="354"/>
      <c r="O266" s="355"/>
    </row>
    <row r="267" spans="2:15" ht="24.95" customHeight="1" x14ac:dyDescent="0.2">
      <c r="C267" s="356">
        <f>INDEX(Коэффициенты!$B$4:$S$59,MATCH(B266,Коэффициенты!$B$4:$B$59,0),3)</f>
        <v>115</v>
      </c>
      <c r="D267" s="356">
        <f>INDEX(Коэффициенты!$B$4:$S$59,MATCH(B266,Коэффициенты!$B$4:$B$59,0),4)</f>
        <v>6</v>
      </c>
      <c r="E267" s="357" t="s">
        <v>434</v>
      </c>
      <c r="F267" s="356">
        <f>INDEX(Коэффициенты!$B$4:$S$59,MATCH(B266,Коэффициенты!$B$4:$B$59,0),6)</f>
        <v>3.2</v>
      </c>
      <c r="G267" s="358" t="str">
        <f>CONCATENATE("Участок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 ",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",INDEX(Коэффициенты!$B$4:$S$158,MATCH(B266,Коэффициенты!$B$4:$B$158,0),17)," ", "км.
По мере роста культур необходимо своевременное проведение проведения рубок ухода в молодняках - Осветление и Прочистка.")</f>
        <v>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0,9 км.
По мере роста культур необходимо своевременное проведение проведения рубок ухода в молодняках - Осветление и Прочистка.</v>
      </c>
      <c r="H267" s="359"/>
      <c r="I267" s="359"/>
      <c r="J267" s="359"/>
      <c r="K267" s="359"/>
      <c r="L267" s="359"/>
      <c r="M267" s="359"/>
      <c r="N267" s="359"/>
      <c r="O267" s="360"/>
    </row>
    <row r="268" spans="2:15" ht="24.95" customHeight="1" x14ac:dyDescent="0.2">
      <c r="C268" s="356"/>
      <c r="D268" s="356"/>
      <c r="E268" s="357"/>
      <c r="F268" s="356"/>
      <c r="G268" s="361"/>
      <c r="H268" s="362"/>
      <c r="I268" s="362"/>
      <c r="J268" s="362"/>
      <c r="K268" s="362"/>
      <c r="L268" s="362"/>
      <c r="M268" s="362"/>
      <c r="N268" s="362"/>
      <c r="O268" s="363"/>
    </row>
    <row r="269" spans="2:15" ht="24.95" customHeight="1" x14ac:dyDescent="0.2">
      <c r="C269" s="356"/>
      <c r="D269" s="356"/>
      <c r="E269" s="357"/>
      <c r="F269" s="356"/>
      <c r="G269" s="361"/>
      <c r="H269" s="362"/>
      <c r="I269" s="362"/>
      <c r="J269" s="362"/>
      <c r="K269" s="362"/>
      <c r="L269" s="362"/>
      <c r="M269" s="362"/>
      <c r="N269" s="362"/>
      <c r="O269" s="363"/>
    </row>
    <row r="270" spans="2:15" ht="24.95" customHeight="1" x14ac:dyDescent="0.2">
      <c r="C270" s="356"/>
      <c r="D270" s="356"/>
      <c r="E270" s="357"/>
      <c r="F270" s="356"/>
      <c r="G270" s="361"/>
      <c r="H270" s="362"/>
      <c r="I270" s="362"/>
      <c r="J270" s="362"/>
      <c r="K270" s="362"/>
      <c r="L270" s="362"/>
      <c r="M270" s="362"/>
      <c r="N270" s="362"/>
      <c r="O270" s="363"/>
    </row>
    <row r="271" spans="2:15" ht="24.95" customHeight="1" x14ac:dyDescent="0.2">
      <c r="C271" s="356"/>
      <c r="D271" s="356"/>
      <c r="E271" s="357"/>
      <c r="F271" s="356"/>
      <c r="G271" s="364"/>
      <c r="H271" s="365"/>
      <c r="I271" s="365"/>
      <c r="J271" s="365"/>
      <c r="K271" s="365"/>
      <c r="L271" s="365"/>
      <c r="M271" s="365"/>
      <c r="N271" s="365"/>
      <c r="O271" s="366"/>
    </row>
    <row r="272" spans="2:15" ht="24.95" customHeight="1" x14ac:dyDescent="0.2">
      <c r="B272" s="130">
        <f>B266+1</f>
        <v>43</v>
      </c>
      <c r="C272" s="353" t="str">
        <f>CONCATENATE(INDEX(Коэффициенты!$B$4:$S$158,MATCH(B272,Коэффициенты!$B$4:$B$158,0),2)," ","участковое лесничество")</f>
        <v>Тумбинское участковое лесничество</v>
      </c>
      <c r="D272" s="354"/>
      <c r="E272" s="354"/>
      <c r="F272" s="354"/>
      <c r="G272" s="354"/>
      <c r="H272" s="354"/>
      <c r="I272" s="354"/>
      <c r="J272" s="354"/>
      <c r="K272" s="354"/>
      <c r="L272" s="354"/>
      <c r="M272" s="354"/>
      <c r="N272" s="354"/>
      <c r="O272" s="355"/>
    </row>
    <row r="273" spans="2:15" ht="24.95" customHeight="1" x14ac:dyDescent="0.2">
      <c r="C273" s="356">
        <f>INDEX(Коэффициенты!$B$4:$S$59,MATCH(B272,Коэффициенты!$B$4:$B$59,0),3)</f>
        <v>3</v>
      </c>
      <c r="D273" s="356">
        <f>INDEX(Коэффициенты!$B$4:$S$59,MATCH(B272,Коэффициенты!$B$4:$B$59,0),4)</f>
        <v>3</v>
      </c>
      <c r="E273" s="357" t="s">
        <v>434</v>
      </c>
      <c r="F273" s="356">
        <f>INDEX(Коэффициенты!$B$4:$S$59,MATCH(B272,Коэффициенты!$B$4:$B$59,0),6)</f>
        <v>10</v>
      </c>
      <c r="G273" s="358" t="str">
        <f>CONCATENATE("Участок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 ",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",INDEX(Коэффициенты!$B$4:$S$158,MATCH(B272,Коэффициенты!$B$4:$B$158,0),17)," ", "км.
По мере роста культур необходимо своевременное проведение проведения рубок ухода в молодняках - Осветление и Прочистка.")</f>
        <v>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2,2 км.
По мере роста культур необходимо своевременное проведение проведения рубок ухода в молодняках - Осветление и Прочистка.</v>
      </c>
      <c r="H273" s="359"/>
      <c r="I273" s="359"/>
      <c r="J273" s="359"/>
      <c r="K273" s="359"/>
      <c r="L273" s="359"/>
      <c r="M273" s="359"/>
      <c r="N273" s="359"/>
      <c r="O273" s="360"/>
    </row>
    <row r="274" spans="2:15" ht="24.95" customHeight="1" x14ac:dyDescent="0.2">
      <c r="C274" s="356"/>
      <c r="D274" s="356"/>
      <c r="E274" s="357"/>
      <c r="F274" s="356"/>
      <c r="G274" s="361"/>
      <c r="H274" s="362"/>
      <c r="I274" s="362"/>
      <c r="J274" s="362"/>
      <c r="K274" s="362"/>
      <c r="L274" s="362"/>
      <c r="M274" s="362"/>
      <c r="N274" s="362"/>
      <c r="O274" s="363"/>
    </row>
    <row r="275" spans="2:15" ht="24.95" customHeight="1" x14ac:dyDescent="0.2">
      <c r="C275" s="356"/>
      <c r="D275" s="356"/>
      <c r="E275" s="357"/>
      <c r="F275" s="356"/>
      <c r="G275" s="361"/>
      <c r="H275" s="362"/>
      <c r="I275" s="362"/>
      <c r="J275" s="362"/>
      <c r="K275" s="362"/>
      <c r="L275" s="362"/>
      <c r="M275" s="362"/>
      <c r="N275" s="362"/>
      <c r="O275" s="363"/>
    </row>
    <row r="276" spans="2:15" ht="24.95" customHeight="1" x14ac:dyDescent="0.2">
      <c r="C276" s="356"/>
      <c r="D276" s="356"/>
      <c r="E276" s="357"/>
      <c r="F276" s="356"/>
      <c r="G276" s="361"/>
      <c r="H276" s="362"/>
      <c r="I276" s="362"/>
      <c r="J276" s="362"/>
      <c r="K276" s="362"/>
      <c r="L276" s="362"/>
      <c r="M276" s="362"/>
      <c r="N276" s="362"/>
      <c r="O276" s="363"/>
    </row>
    <row r="277" spans="2:15" ht="24.95" customHeight="1" x14ac:dyDescent="0.2">
      <c r="C277" s="356"/>
      <c r="D277" s="356"/>
      <c r="E277" s="357"/>
      <c r="F277" s="356"/>
      <c r="G277" s="364"/>
      <c r="H277" s="365"/>
      <c r="I277" s="365"/>
      <c r="J277" s="365"/>
      <c r="K277" s="365"/>
      <c r="L277" s="365"/>
      <c r="M277" s="365"/>
      <c r="N277" s="365"/>
      <c r="O277" s="366"/>
    </row>
    <row r="278" spans="2:15" ht="24.95" customHeight="1" x14ac:dyDescent="0.2">
      <c r="B278" s="130">
        <f>B272+1</f>
        <v>44</v>
      </c>
      <c r="C278" s="353" t="str">
        <f>CONCATENATE(INDEX(Коэффициенты!$B$4:$S$158,MATCH(B278,Коэффициенты!$B$4:$B$158,0),2)," ","участковое лесничество")</f>
        <v>Тумбинское участковое лесничество</v>
      </c>
      <c r="D278" s="354"/>
      <c r="E278" s="354"/>
      <c r="F278" s="354"/>
      <c r="G278" s="354"/>
      <c r="H278" s="354"/>
      <c r="I278" s="354"/>
      <c r="J278" s="354"/>
      <c r="K278" s="354"/>
      <c r="L278" s="354"/>
      <c r="M278" s="354"/>
      <c r="N278" s="354"/>
      <c r="O278" s="355"/>
    </row>
    <row r="279" spans="2:15" ht="24.95" customHeight="1" x14ac:dyDescent="0.2">
      <c r="C279" s="356">
        <f>INDEX(Коэффициенты!$B$4:$S$59,MATCH(B278,Коэффициенты!$B$4:$B$59,0),3)</f>
        <v>4</v>
      </c>
      <c r="D279" s="356">
        <f>INDEX(Коэффициенты!$B$4:$S$59,MATCH(B278,Коэффициенты!$B$4:$B$59,0),4)</f>
        <v>1</v>
      </c>
      <c r="E279" s="357" t="s">
        <v>434</v>
      </c>
      <c r="F279" s="356">
        <f>INDEX(Коэффициенты!$B$4:$S$59,MATCH(B278,Коэффициенты!$B$4:$B$59,0),6)</f>
        <v>10</v>
      </c>
      <c r="G279" s="358" t="str">
        <f>CONCATENATE("Участок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 ",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",INDEX(Коэффициенты!$B$4:$S$158,MATCH(B278,Коэффициенты!$B$4:$B$158,0),17)," ", "км.
По мере роста культур необходимо своевременное проведение проведения рубок ухода в молодняках - Осветление и Прочистка.")</f>
        <v>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2,2 км.
По мере роста культур необходимо своевременное проведение проведения рубок ухода в молодняках - Осветление и Прочистка.</v>
      </c>
      <c r="H279" s="359"/>
      <c r="I279" s="359"/>
      <c r="J279" s="359"/>
      <c r="K279" s="359"/>
      <c r="L279" s="359"/>
      <c r="M279" s="359"/>
      <c r="N279" s="359"/>
      <c r="O279" s="360"/>
    </row>
    <row r="280" spans="2:15" ht="24.95" customHeight="1" x14ac:dyDescent="0.2">
      <c r="C280" s="356"/>
      <c r="D280" s="356"/>
      <c r="E280" s="357"/>
      <c r="F280" s="356"/>
      <c r="G280" s="361"/>
      <c r="H280" s="362"/>
      <c r="I280" s="362"/>
      <c r="J280" s="362"/>
      <c r="K280" s="362"/>
      <c r="L280" s="362"/>
      <c r="M280" s="362"/>
      <c r="N280" s="362"/>
      <c r="O280" s="363"/>
    </row>
    <row r="281" spans="2:15" ht="24.95" customHeight="1" x14ac:dyDescent="0.2">
      <c r="C281" s="356"/>
      <c r="D281" s="356"/>
      <c r="E281" s="357"/>
      <c r="F281" s="356"/>
      <c r="G281" s="361"/>
      <c r="H281" s="362"/>
      <c r="I281" s="362"/>
      <c r="J281" s="362"/>
      <c r="K281" s="362"/>
      <c r="L281" s="362"/>
      <c r="M281" s="362"/>
      <c r="N281" s="362"/>
      <c r="O281" s="363"/>
    </row>
    <row r="282" spans="2:15" ht="24.95" customHeight="1" x14ac:dyDescent="0.2">
      <c r="C282" s="356"/>
      <c r="D282" s="356"/>
      <c r="E282" s="357"/>
      <c r="F282" s="356"/>
      <c r="G282" s="361"/>
      <c r="H282" s="362"/>
      <c r="I282" s="362"/>
      <c r="J282" s="362"/>
      <c r="K282" s="362"/>
      <c r="L282" s="362"/>
      <c r="M282" s="362"/>
      <c r="N282" s="362"/>
      <c r="O282" s="363"/>
    </row>
    <row r="283" spans="2:15" ht="24.95" customHeight="1" x14ac:dyDescent="0.2">
      <c r="C283" s="356"/>
      <c r="D283" s="356"/>
      <c r="E283" s="357"/>
      <c r="F283" s="356"/>
      <c r="G283" s="364"/>
      <c r="H283" s="365"/>
      <c r="I283" s="365"/>
      <c r="J283" s="365"/>
      <c r="K283" s="365"/>
      <c r="L283" s="365"/>
      <c r="M283" s="365"/>
      <c r="N283" s="365"/>
      <c r="O283" s="366"/>
    </row>
    <row r="284" spans="2:15" ht="24.95" customHeight="1" x14ac:dyDescent="0.2">
      <c r="B284" s="130">
        <f>B278+1</f>
        <v>45</v>
      </c>
      <c r="C284" s="353" t="str">
        <f>CONCATENATE(INDEX(Коэффициенты!$B$4:$S$158,MATCH(B284,Коэффициенты!$B$4:$B$158,0),2)," ","участковое лесничество")</f>
        <v>Тумбинское участковое лесничество</v>
      </c>
      <c r="D284" s="354"/>
      <c r="E284" s="354"/>
      <c r="F284" s="354"/>
      <c r="G284" s="354"/>
      <c r="H284" s="354"/>
      <c r="I284" s="354"/>
      <c r="J284" s="354"/>
      <c r="K284" s="354"/>
      <c r="L284" s="354"/>
      <c r="M284" s="354"/>
      <c r="N284" s="354"/>
      <c r="O284" s="355"/>
    </row>
    <row r="285" spans="2:15" ht="24.95" customHeight="1" x14ac:dyDescent="0.2">
      <c r="C285" s="356">
        <f>INDEX(Коэффициенты!$B$4:$S$59,MATCH(B284,Коэффициенты!$B$4:$B$59,0),3)</f>
        <v>4</v>
      </c>
      <c r="D285" s="356">
        <f>INDEX(Коэффициенты!$B$4:$S$59,MATCH(B284,Коэффициенты!$B$4:$B$59,0),4)</f>
        <v>1</v>
      </c>
      <c r="E285" s="357" t="s">
        <v>434</v>
      </c>
      <c r="F285" s="356">
        <f>INDEX(Коэффициенты!$B$4:$S$59,MATCH(B284,Коэффициенты!$B$4:$B$59,0),6)</f>
        <v>10</v>
      </c>
      <c r="G285" s="358" t="str">
        <f>CONCATENATE("Участок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 ",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",INDEX(Коэффициенты!$B$4:$S$158,MATCH(B284,Коэффициенты!$B$4:$B$158,0),17)," ", "км.
По мере роста культур необходимо своевременное проведение проведения рубок ухода в молодняках - Осветление и Прочистка.")</f>
        <v>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2,2 км.
По мере роста культур необходимо своевременное проведение проведения рубок ухода в молодняках - Осветление и Прочистка.</v>
      </c>
      <c r="H285" s="359"/>
      <c r="I285" s="359"/>
      <c r="J285" s="359"/>
      <c r="K285" s="359"/>
      <c r="L285" s="359"/>
      <c r="M285" s="359"/>
      <c r="N285" s="359"/>
      <c r="O285" s="360"/>
    </row>
    <row r="286" spans="2:15" ht="24.95" customHeight="1" x14ac:dyDescent="0.2">
      <c r="C286" s="356"/>
      <c r="D286" s="356"/>
      <c r="E286" s="357"/>
      <c r="F286" s="356"/>
      <c r="G286" s="361"/>
      <c r="H286" s="362"/>
      <c r="I286" s="362"/>
      <c r="J286" s="362"/>
      <c r="K286" s="362"/>
      <c r="L286" s="362"/>
      <c r="M286" s="362"/>
      <c r="N286" s="362"/>
      <c r="O286" s="363"/>
    </row>
    <row r="287" spans="2:15" ht="24.95" customHeight="1" x14ac:dyDescent="0.2">
      <c r="C287" s="356"/>
      <c r="D287" s="356"/>
      <c r="E287" s="357"/>
      <c r="F287" s="356"/>
      <c r="G287" s="361"/>
      <c r="H287" s="362"/>
      <c r="I287" s="362"/>
      <c r="J287" s="362"/>
      <c r="K287" s="362"/>
      <c r="L287" s="362"/>
      <c r="M287" s="362"/>
      <c r="N287" s="362"/>
      <c r="O287" s="363"/>
    </row>
    <row r="288" spans="2:15" ht="24.95" customHeight="1" x14ac:dyDescent="0.2">
      <c r="C288" s="356"/>
      <c r="D288" s="356"/>
      <c r="E288" s="357"/>
      <c r="F288" s="356"/>
      <c r="G288" s="361"/>
      <c r="H288" s="362"/>
      <c r="I288" s="362"/>
      <c r="J288" s="362"/>
      <c r="K288" s="362"/>
      <c r="L288" s="362"/>
      <c r="M288" s="362"/>
      <c r="N288" s="362"/>
      <c r="O288" s="363"/>
    </row>
    <row r="289" spans="2:15" ht="24.95" customHeight="1" x14ac:dyDescent="0.2">
      <c r="C289" s="356"/>
      <c r="D289" s="356"/>
      <c r="E289" s="357"/>
      <c r="F289" s="356"/>
      <c r="G289" s="364"/>
      <c r="H289" s="365"/>
      <c r="I289" s="365"/>
      <c r="J289" s="365"/>
      <c r="K289" s="365"/>
      <c r="L289" s="365"/>
      <c r="M289" s="365"/>
      <c r="N289" s="365"/>
      <c r="O289" s="366"/>
    </row>
    <row r="290" spans="2:15" ht="24.95" customHeight="1" x14ac:dyDescent="0.2">
      <c r="B290" s="130">
        <f>B284+1</f>
        <v>46</v>
      </c>
      <c r="C290" s="353" t="str">
        <f>CONCATENATE(INDEX(Коэффициенты!$B$4:$S$158,MATCH(B290,Коэффициенты!$B$4:$B$158,0),2)," ","участковое лесничество")</f>
        <v>Тумбинское участковое лесничество</v>
      </c>
      <c r="D290" s="354"/>
      <c r="E290" s="354"/>
      <c r="F290" s="354"/>
      <c r="G290" s="354"/>
      <c r="H290" s="354"/>
      <c r="I290" s="354"/>
      <c r="J290" s="354"/>
      <c r="K290" s="354"/>
      <c r="L290" s="354"/>
      <c r="M290" s="354"/>
      <c r="N290" s="354"/>
      <c r="O290" s="355"/>
    </row>
    <row r="291" spans="2:15" ht="24.95" customHeight="1" x14ac:dyDescent="0.2">
      <c r="C291" s="356">
        <f>INDEX(Коэффициенты!$B$4:$S$59,MATCH(B290,Коэффициенты!$B$4:$B$59,0),3)</f>
        <v>4</v>
      </c>
      <c r="D291" s="356">
        <f>INDEX(Коэффициенты!$B$4:$S$59,MATCH(B290,Коэффициенты!$B$4:$B$59,0),4)</f>
        <v>2</v>
      </c>
      <c r="E291" s="357" t="s">
        <v>434</v>
      </c>
      <c r="F291" s="356">
        <f>INDEX(Коэффициенты!$B$4:$S$59,MATCH(B290,Коэффициенты!$B$4:$B$59,0),6)</f>
        <v>4.3</v>
      </c>
      <c r="G291" s="358" t="str">
        <f>CONCATENATE("Участок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 ",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",INDEX(Коэффициенты!$B$4:$S$158,MATCH(B290,Коэффициенты!$B$4:$B$158,0),17)," ", "км.
По мере роста культур необходимо своевременное проведение проведения рубок ухода в молодняках - Осветление и Прочистка.")</f>
        <v>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0,67 км.
По мере роста культур необходимо своевременное проведение проведения рубок ухода в молодняках - Осветление и Прочистка.</v>
      </c>
      <c r="H291" s="359"/>
      <c r="I291" s="359"/>
      <c r="J291" s="359"/>
      <c r="K291" s="359"/>
      <c r="L291" s="359"/>
      <c r="M291" s="359"/>
      <c r="N291" s="359"/>
      <c r="O291" s="360"/>
    </row>
    <row r="292" spans="2:15" ht="24.95" customHeight="1" x14ac:dyDescent="0.2">
      <c r="C292" s="356"/>
      <c r="D292" s="356"/>
      <c r="E292" s="357"/>
      <c r="F292" s="356"/>
      <c r="G292" s="361"/>
      <c r="H292" s="362"/>
      <c r="I292" s="362"/>
      <c r="J292" s="362"/>
      <c r="K292" s="362"/>
      <c r="L292" s="362"/>
      <c r="M292" s="362"/>
      <c r="N292" s="362"/>
      <c r="O292" s="363"/>
    </row>
    <row r="293" spans="2:15" ht="24.95" customHeight="1" x14ac:dyDescent="0.2">
      <c r="C293" s="356"/>
      <c r="D293" s="356"/>
      <c r="E293" s="357"/>
      <c r="F293" s="356"/>
      <c r="G293" s="361"/>
      <c r="H293" s="362"/>
      <c r="I293" s="362"/>
      <c r="J293" s="362"/>
      <c r="K293" s="362"/>
      <c r="L293" s="362"/>
      <c r="M293" s="362"/>
      <c r="N293" s="362"/>
      <c r="O293" s="363"/>
    </row>
    <row r="294" spans="2:15" ht="24.95" customHeight="1" x14ac:dyDescent="0.2">
      <c r="C294" s="356"/>
      <c r="D294" s="356"/>
      <c r="E294" s="357"/>
      <c r="F294" s="356"/>
      <c r="G294" s="361"/>
      <c r="H294" s="362"/>
      <c r="I294" s="362"/>
      <c r="J294" s="362"/>
      <c r="K294" s="362"/>
      <c r="L294" s="362"/>
      <c r="M294" s="362"/>
      <c r="N294" s="362"/>
      <c r="O294" s="363"/>
    </row>
    <row r="295" spans="2:15" ht="24.95" customHeight="1" x14ac:dyDescent="0.2">
      <c r="C295" s="356"/>
      <c r="D295" s="356"/>
      <c r="E295" s="357"/>
      <c r="F295" s="356"/>
      <c r="G295" s="364"/>
      <c r="H295" s="365"/>
      <c r="I295" s="365"/>
      <c r="J295" s="365"/>
      <c r="K295" s="365"/>
      <c r="L295" s="365"/>
      <c r="M295" s="365"/>
      <c r="N295" s="365"/>
      <c r="O295" s="366"/>
    </row>
    <row r="296" spans="2:15" ht="24.95" customHeight="1" x14ac:dyDescent="0.2">
      <c r="B296" s="130">
        <f>B290+1</f>
        <v>47</v>
      </c>
      <c r="C296" s="353" t="str">
        <f>CONCATENATE(INDEX(Коэффициенты!$B$4:$S$158,MATCH(B296,Коэффициенты!$B$4:$B$158,0),2)," ","участковое лесничество")</f>
        <v>Тумбинское участковое лесничество</v>
      </c>
      <c r="D296" s="354"/>
      <c r="E296" s="354"/>
      <c r="F296" s="354"/>
      <c r="G296" s="354"/>
      <c r="H296" s="354"/>
      <c r="I296" s="354"/>
      <c r="J296" s="354"/>
      <c r="K296" s="354"/>
      <c r="L296" s="354"/>
      <c r="M296" s="354"/>
      <c r="N296" s="354"/>
      <c r="O296" s="355"/>
    </row>
    <row r="297" spans="2:15" ht="24.95" customHeight="1" x14ac:dyDescent="0.2">
      <c r="C297" s="356">
        <f>INDEX(Коэффициенты!$B$4:$S$59,MATCH(B296,Коэффициенты!$B$4:$B$59,0),3)</f>
        <v>54</v>
      </c>
      <c r="D297" s="356">
        <f>INDEX(Коэффициенты!$B$4:$S$59,MATCH(B296,Коэффициенты!$B$4:$B$59,0),4)</f>
        <v>9</v>
      </c>
      <c r="E297" s="357" t="s">
        <v>434</v>
      </c>
      <c r="F297" s="356">
        <f>INDEX(Коэффициенты!$B$4:$S$59,MATCH(B296,Коэффициенты!$B$4:$B$59,0),6)</f>
        <v>7.7</v>
      </c>
      <c r="G297" s="358" t="str">
        <f>CONCATENATE("Участок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 ",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",INDEX(Коэффициенты!$B$4:$S$158,MATCH(B296,Коэффициенты!$B$4:$B$158,0),17)," ", "км.
По мере роста культур необходимо своевременное проведение проведения рубок ухода в молодняках - Осветление и Прочистка.")</f>
        <v>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1,74 км.
По мере роста культур необходимо своевременное проведение проведения рубок ухода в молодняках - Осветление и Прочистка.</v>
      </c>
      <c r="H297" s="359"/>
      <c r="I297" s="359"/>
      <c r="J297" s="359"/>
      <c r="K297" s="359"/>
      <c r="L297" s="359"/>
      <c r="M297" s="359"/>
      <c r="N297" s="359"/>
      <c r="O297" s="360"/>
    </row>
    <row r="298" spans="2:15" ht="24.95" customHeight="1" x14ac:dyDescent="0.2">
      <c r="C298" s="356"/>
      <c r="D298" s="356"/>
      <c r="E298" s="357"/>
      <c r="F298" s="356"/>
      <c r="G298" s="361"/>
      <c r="H298" s="362"/>
      <c r="I298" s="362"/>
      <c r="J298" s="362"/>
      <c r="K298" s="362"/>
      <c r="L298" s="362"/>
      <c r="M298" s="362"/>
      <c r="N298" s="362"/>
      <c r="O298" s="363"/>
    </row>
    <row r="299" spans="2:15" ht="24.95" customHeight="1" x14ac:dyDescent="0.2">
      <c r="C299" s="356"/>
      <c r="D299" s="356"/>
      <c r="E299" s="357"/>
      <c r="F299" s="356"/>
      <c r="G299" s="361"/>
      <c r="H299" s="362"/>
      <c r="I299" s="362"/>
      <c r="J299" s="362"/>
      <c r="K299" s="362"/>
      <c r="L299" s="362"/>
      <c r="M299" s="362"/>
      <c r="N299" s="362"/>
      <c r="O299" s="363"/>
    </row>
    <row r="300" spans="2:15" ht="24.95" customHeight="1" x14ac:dyDescent="0.2">
      <c r="C300" s="356"/>
      <c r="D300" s="356"/>
      <c r="E300" s="357"/>
      <c r="F300" s="356"/>
      <c r="G300" s="361"/>
      <c r="H300" s="362"/>
      <c r="I300" s="362"/>
      <c r="J300" s="362"/>
      <c r="K300" s="362"/>
      <c r="L300" s="362"/>
      <c r="M300" s="362"/>
      <c r="N300" s="362"/>
      <c r="O300" s="363"/>
    </row>
    <row r="301" spans="2:15" ht="24.95" customHeight="1" x14ac:dyDescent="0.2">
      <c r="C301" s="356"/>
      <c r="D301" s="356"/>
      <c r="E301" s="357"/>
      <c r="F301" s="356"/>
      <c r="G301" s="364"/>
      <c r="H301" s="365"/>
      <c r="I301" s="365"/>
      <c r="J301" s="365"/>
      <c r="K301" s="365"/>
      <c r="L301" s="365"/>
      <c r="M301" s="365"/>
      <c r="N301" s="365"/>
      <c r="O301" s="366"/>
    </row>
    <row r="302" spans="2:15" ht="24.95" customHeight="1" x14ac:dyDescent="0.2">
      <c r="B302" s="130">
        <f>B296+1</f>
        <v>48</v>
      </c>
      <c r="C302" s="353" t="str">
        <f>CONCATENATE(INDEX(Коэффициенты!$B$4:$S$158,MATCH(B302,Коэффициенты!$B$4:$B$158,0),2)," ","участковое лесничество")</f>
        <v>Тумбинское участковое лесничество</v>
      </c>
      <c r="D302" s="354"/>
      <c r="E302" s="354"/>
      <c r="F302" s="354"/>
      <c r="G302" s="354"/>
      <c r="H302" s="354"/>
      <c r="I302" s="354"/>
      <c r="J302" s="354"/>
      <c r="K302" s="354"/>
      <c r="L302" s="354"/>
      <c r="M302" s="354"/>
      <c r="N302" s="354"/>
      <c r="O302" s="355"/>
    </row>
    <row r="303" spans="2:15" ht="24.95" customHeight="1" x14ac:dyDescent="0.2">
      <c r="C303" s="356">
        <f>INDEX(Коэффициенты!$B$4:$S$59,MATCH(B302,Коэффициенты!$B$4:$B$59,0),3)</f>
        <v>54</v>
      </c>
      <c r="D303" s="356">
        <f>INDEX(Коэффициенты!$B$4:$S$59,MATCH(B302,Коэффициенты!$B$4:$B$59,0),4)</f>
        <v>9</v>
      </c>
      <c r="E303" s="357" t="s">
        <v>434</v>
      </c>
      <c r="F303" s="356">
        <f>INDEX(Коэффициенты!$B$4:$S$59,MATCH(B302,Коэффициенты!$B$4:$B$59,0),6)</f>
        <v>6.5</v>
      </c>
      <c r="G303" s="358" t="str">
        <f>CONCATENATE("Участок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 ",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",INDEX(Коэффициенты!$B$4:$S$158,MATCH(B302,Коэффициенты!$B$4:$B$158,0),17)," ", "км.
По мере роста культур необходимо своевременное проведение проведения рубок ухода в молодняках - Осветление и Прочистка.")</f>
        <v>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1,5 км.
По мере роста культур необходимо своевременное проведение проведения рубок ухода в молодняках - Осветление и Прочистка.</v>
      </c>
      <c r="H303" s="359"/>
      <c r="I303" s="359"/>
      <c r="J303" s="359"/>
      <c r="K303" s="359"/>
      <c r="L303" s="359"/>
      <c r="M303" s="359"/>
      <c r="N303" s="359"/>
      <c r="O303" s="360"/>
    </row>
    <row r="304" spans="2:15" ht="24.95" customHeight="1" x14ac:dyDescent="0.2">
      <c r="C304" s="356"/>
      <c r="D304" s="356"/>
      <c r="E304" s="357"/>
      <c r="F304" s="356"/>
      <c r="G304" s="361"/>
      <c r="H304" s="362"/>
      <c r="I304" s="362"/>
      <c r="J304" s="362"/>
      <c r="K304" s="362"/>
      <c r="L304" s="362"/>
      <c r="M304" s="362"/>
      <c r="N304" s="362"/>
      <c r="O304" s="363"/>
    </row>
    <row r="305" spans="2:15" ht="24.95" customHeight="1" x14ac:dyDescent="0.2">
      <c r="C305" s="356"/>
      <c r="D305" s="356"/>
      <c r="E305" s="357"/>
      <c r="F305" s="356"/>
      <c r="G305" s="361"/>
      <c r="H305" s="362"/>
      <c r="I305" s="362"/>
      <c r="J305" s="362"/>
      <c r="K305" s="362"/>
      <c r="L305" s="362"/>
      <c r="M305" s="362"/>
      <c r="N305" s="362"/>
      <c r="O305" s="363"/>
    </row>
    <row r="306" spans="2:15" ht="24.95" customHeight="1" x14ac:dyDescent="0.2">
      <c r="C306" s="356"/>
      <c r="D306" s="356"/>
      <c r="E306" s="357"/>
      <c r="F306" s="356"/>
      <c r="G306" s="361"/>
      <c r="H306" s="362"/>
      <c r="I306" s="362"/>
      <c r="J306" s="362"/>
      <c r="K306" s="362"/>
      <c r="L306" s="362"/>
      <c r="M306" s="362"/>
      <c r="N306" s="362"/>
      <c r="O306" s="363"/>
    </row>
    <row r="307" spans="2:15" ht="24.95" customHeight="1" x14ac:dyDescent="0.2">
      <c r="C307" s="356"/>
      <c r="D307" s="356"/>
      <c r="E307" s="357"/>
      <c r="F307" s="356"/>
      <c r="G307" s="364"/>
      <c r="H307" s="365"/>
      <c r="I307" s="365"/>
      <c r="J307" s="365"/>
      <c r="K307" s="365"/>
      <c r="L307" s="365"/>
      <c r="M307" s="365"/>
      <c r="N307" s="365"/>
      <c r="O307" s="366"/>
    </row>
    <row r="308" spans="2:15" ht="24.95" customHeight="1" x14ac:dyDescent="0.2">
      <c r="B308" s="130">
        <f>B302+1</f>
        <v>49</v>
      </c>
      <c r="C308" s="353" t="str">
        <f>CONCATENATE(INDEX(Коэффициенты!$B$4:$S$158,MATCH(B308,Коэффициенты!$B$4:$B$158,0),2)," ","участковое лесничество")</f>
        <v>Тумбинское участковое лесничество</v>
      </c>
      <c r="D308" s="354"/>
      <c r="E308" s="354"/>
      <c r="F308" s="354"/>
      <c r="G308" s="354"/>
      <c r="H308" s="354"/>
      <c r="I308" s="354"/>
      <c r="J308" s="354"/>
      <c r="K308" s="354"/>
      <c r="L308" s="354"/>
      <c r="M308" s="354"/>
      <c r="N308" s="354"/>
      <c r="O308" s="355"/>
    </row>
    <row r="309" spans="2:15" ht="24.95" customHeight="1" x14ac:dyDescent="0.2">
      <c r="C309" s="356">
        <f>INDEX(Коэффициенты!$B$4:$S$59,MATCH(B308,Коэффициенты!$B$4:$B$59,0),3)</f>
        <v>57</v>
      </c>
      <c r="D309" s="356">
        <f>INDEX(Коэффициенты!$B$4:$S$59,MATCH(B308,Коэффициенты!$B$4:$B$59,0),4)</f>
        <v>19</v>
      </c>
      <c r="E309" s="357" t="s">
        <v>434</v>
      </c>
      <c r="F309" s="356">
        <f>INDEX(Коэффициенты!$B$4:$S$59,MATCH(B308,Коэффициенты!$B$4:$B$59,0),6)</f>
        <v>3</v>
      </c>
      <c r="G309" s="358" t="str">
        <f>CONCATENATE("Участок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 ",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",INDEX(Коэффициенты!$B$4:$S$158,MATCH(B308,Коэффициенты!$B$4:$B$158,0),17)," ", "км.
По мере роста культур необходимо своевременное проведение проведения рубок ухода в молодняках - Осветление и Прочистка.")</f>
        <v>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0,8 км.
По мере роста культур необходимо своевременное проведение проведения рубок ухода в молодняках - Осветление и Прочистка.</v>
      </c>
      <c r="H309" s="359"/>
      <c r="I309" s="359"/>
      <c r="J309" s="359"/>
      <c r="K309" s="359"/>
      <c r="L309" s="359"/>
      <c r="M309" s="359"/>
      <c r="N309" s="359"/>
      <c r="O309" s="360"/>
    </row>
    <row r="310" spans="2:15" ht="24.95" customHeight="1" x14ac:dyDescent="0.2">
      <c r="C310" s="356"/>
      <c r="D310" s="356"/>
      <c r="E310" s="357"/>
      <c r="F310" s="356"/>
      <c r="G310" s="361"/>
      <c r="H310" s="362"/>
      <c r="I310" s="362"/>
      <c r="J310" s="362"/>
      <c r="K310" s="362"/>
      <c r="L310" s="362"/>
      <c r="M310" s="362"/>
      <c r="N310" s="362"/>
      <c r="O310" s="363"/>
    </row>
    <row r="311" spans="2:15" ht="24.95" customHeight="1" x14ac:dyDescent="0.2">
      <c r="C311" s="356"/>
      <c r="D311" s="356"/>
      <c r="E311" s="357"/>
      <c r="F311" s="356"/>
      <c r="G311" s="361"/>
      <c r="H311" s="362"/>
      <c r="I311" s="362"/>
      <c r="J311" s="362"/>
      <c r="K311" s="362"/>
      <c r="L311" s="362"/>
      <c r="M311" s="362"/>
      <c r="N311" s="362"/>
      <c r="O311" s="363"/>
    </row>
    <row r="312" spans="2:15" ht="24.95" customHeight="1" x14ac:dyDescent="0.2">
      <c r="C312" s="356"/>
      <c r="D312" s="356"/>
      <c r="E312" s="357"/>
      <c r="F312" s="356"/>
      <c r="G312" s="361"/>
      <c r="H312" s="362"/>
      <c r="I312" s="362"/>
      <c r="J312" s="362"/>
      <c r="K312" s="362"/>
      <c r="L312" s="362"/>
      <c r="M312" s="362"/>
      <c r="N312" s="362"/>
      <c r="O312" s="363"/>
    </row>
    <row r="313" spans="2:15" ht="24.95" customHeight="1" x14ac:dyDescent="0.2">
      <c r="C313" s="356"/>
      <c r="D313" s="356"/>
      <c r="E313" s="357"/>
      <c r="F313" s="356"/>
      <c r="G313" s="364"/>
      <c r="H313" s="365"/>
      <c r="I313" s="365"/>
      <c r="J313" s="365"/>
      <c r="K313" s="365"/>
      <c r="L313" s="365"/>
      <c r="M313" s="365"/>
      <c r="N313" s="365"/>
      <c r="O313" s="366"/>
    </row>
    <row r="314" spans="2:15" ht="24.95" customHeight="1" x14ac:dyDescent="0.2">
      <c r="B314" s="130">
        <f>B308+1</f>
        <v>50</v>
      </c>
      <c r="C314" s="353" t="str">
        <f>CONCATENATE(INDEX(Коэффициенты!$B$4:$S$158,MATCH(B314,Коэффициенты!$B$4:$B$158,0),2)," ","участковое лесничество")</f>
        <v>Тумбинское участковое лесничество</v>
      </c>
      <c r="D314" s="354"/>
      <c r="E314" s="354"/>
      <c r="F314" s="354"/>
      <c r="G314" s="354"/>
      <c r="H314" s="354"/>
      <c r="I314" s="354"/>
      <c r="J314" s="354"/>
      <c r="K314" s="354"/>
      <c r="L314" s="354"/>
      <c r="M314" s="354"/>
      <c r="N314" s="354"/>
      <c r="O314" s="355"/>
    </row>
    <row r="315" spans="2:15" ht="24.95" customHeight="1" x14ac:dyDescent="0.2">
      <c r="C315" s="356">
        <f>INDEX(Коэффициенты!$B$4:$S$59,MATCH(B314,Коэффициенты!$B$4:$B$59,0),3)</f>
        <v>68</v>
      </c>
      <c r="D315" s="356">
        <f>INDEX(Коэффициенты!$B$4:$S$59,MATCH(B314,Коэффициенты!$B$4:$B$59,0),4)</f>
        <v>7</v>
      </c>
      <c r="E315" s="357" t="s">
        <v>434</v>
      </c>
      <c r="F315" s="356">
        <f>INDEX(Коэффициенты!$B$4:$S$59,MATCH(B314,Коэффициенты!$B$4:$B$59,0),6)</f>
        <v>10</v>
      </c>
      <c r="G315" s="358" t="str">
        <f>CONCATENATE("Участок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 ",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",INDEX(Коэффициенты!$B$4:$S$158,MATCH(B314,Коэффициенты!$B$4:$B$158,0),17)," ", "км.
По мере роста культур необходимо своевременное проведение проведения рубок ухода в молодняках - Осветление и Прочистка.")</f>
        <v>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1,84 км.
По мере роста культур необходимо своевременное проведение проведения рубок ухода в молодняках - Осветление и Прочистка.</v>
      </c>
      <c r="H315" s="359"/>
      <c r="I315" s="359"/>
      <c r="J315" s="359"/>
      <c r="K315" s="359"/>
      <c r="L315" s="359"/>
      <c r="M315" s="359"/>
      <c r="N315" s="359"/>
      <c r="O315" s="360"/>
    </row>
    <row r="316" spans="2:15" ht="24.95" customHeight="1" x14ac:dyDescent="0.2">
      <c r="C316" s="356"/>
      <c r="D316" s="356"/>
      <c r="E316" s="357"/>
      <c r="F316" s="356"/>
      <c r="G316" s="361"/>
      <c r="H316" s="362"/>
      <c r="I316" s="362"/>
      <c r="J316" s="362"/>
      <c r="K316" s="362"/>
      <c r="L316" s="362"/>
      <c r="M316" s="362"/>
      <c r="N316" s="362"/>
      <c r="O316" s="363"/>
    </row>
    <row r="317" spans="2:15" ht="24.95" customHeight="1" x14ac:dyDescent="0.2">
      <c r="C317" s="356"/>
      <c r="D317" s="356"/>
      <c r="E317" s="357"/>
      <c r="F317" s="356"/>
      <c r="G317" s="361"/>
      <c r="H317" s="362"/>
      <c r="I317" s="362"/>
      <c r="J317" s="362"/>
      <c r="K317" s="362"/>
      <c r="L317" s="362"/>
      <c r="M317" s="362"/>
      <c r="N317" s="362"/>
      <c r="O317" s="363"/>
    </row>
    <row r="318" spans="2:15" ht="24.95" customHeight="1" x14ac:dyDescent="0.2">
      <c r="C318" s="356"/>
      <c r="D318" s="356"/>
      <c r="E318" s="357"/>
      <c r="F318" s="356"/>
      <c r="G318" s="361"/>
      <c r="H318" s="362"/>
      <c r="I318" s="362"/>
      <c r="J318" s="362"/>
      <c r="K318" s="362"/>
      <c r="L318" s="362"/>
      <c r="M318" s="362"/>
      <c r="N318" s="362"/>
      <c r="O318" s="363"/>
    </row>
    <row r="319" spans="2:15" ht="24.95" customHeight="1" x14ac:dyDescent="0.2">
      <c r="C319" s="356"/>
      <c r="D319" s="356"/>
      <c r="E319" s="357"/>
      <c r="F319" s="356"/>
      <c r="G319" s="364"/>
      <c r="H319" s="365"/>
      <c r="I319" s="365"/>
      <c r="J319" s="365"/>
      <c r="K319" s="365"/>
      <c r="L319" s="365"/>
      <c r="M319" s="365"/>
      <c r="N319" s="365"/>
      <c r="O319" s="366"/>
    </row>
    <row r="320" spans="2:15" ht="24.95" customHeight="1" x14ac:dyDescent="0.2">
      <c r="B320" s="130">
        <f>B314+1</f>
        <v>51</v>
      </c>
      <c r="C320" s="353" t="str">
        <f>CONCATENATE(INDEX(Коэффициенты!$B$4:$S$158,MATCH(B320,Коэффициенты!$B$4:$B$158,0),2)," ","участковое лесничество")</f>
        <v>Тумбинское участковое лесничество</v>
      </c>
      <c r="D320" s="354"/>
      <c r="E320" s="354"/>
      <c r="F320" s="354"/>
      <c r="G320" s="354"/>
      <c r="H320" s="354"/>
      <c r="I320" s="354"/>
      <c r="J320" s="354"/>
      <c r="K320" s="354"/>
      <c r="L320" s="354"/>
      <c r="M320" s="354"/>
      <c r="N320" s="354"/>
      <c r="O320" s="355"/>
    </row>
    <row r="321" spans="2:15" ht="24.95" customHeight="1" x14ac:dyDescent="0.2">
      <c r="C321" s="356">
        <f>INDEX(Коэффициенты!$B$4:$S$59,MATCH(B320,Коэффициенты!$B$4:$B$59,0),3)</f>
        <v>114</v>
      </c>
      <c r="D321" s="356">
        <f>INDEX(Коэффициенты!$B$4:$S$59,MATCH(B320,Коэффициенты!$B$4:$B$59,0),4)</f>
        <v>10</v>
      </c>
      <c r="E321" s="357" t="s">
        <v>434</v>
      </c>
      <c r="F321" s="356">
        <f>INDEX(Коэффициенты!$B$4:$S$59,MATCH(B320,Коэффициенты!$B$4:$B$59,0),6)</f>
        <v>4.4000000000000004</v>
      </c>
      <c r="G321" s="358" t="str">
        <f>CONCATENATE("Участок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 ",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",INDEX(Коэффициенты!$B$4:$S$158,MATCH(B320,Коэффициенты!$B$4:$B$158,0),17)," ", "км.
По мере роста культур необходимо своевременное проведение проведения рубок ухода в молодняках - Осветление и Прочистка.")</f>
        <v>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1,26 км.
По мере роста культур необходимо своевременное проведение проведения рубок ухода в молодняках - Осветление и Прочистка.</v>
      </c>
      <c r="H321" s="359"/>
      <c r="I321" s="359"/>
      <c r="J321" s="359"/>
      <c r="K321" s="359"/>
      <c r="L321" s="359"/>
      <c r="M321" s="359"/>
      <c r="N321" s="359"/>
      <c r="O321" s="360"/>
    </row>
    <row r="322" spans="2:15" ht="24.95" customHeight="1" x14ac:dyDescent="0.2">
      <c r="C322" s="356"/>
      <c r="D322" s="356"/>
      <c r="E322" s="357"/>
      <c r="F322" s="356"/>
      <c r="G322" s="361"/>
      <c r="H322" s="362"/>
      <c r="I322" s="362"/>
      <c r="J322" s="362"/>
      <c r="K322" s="362"/>
      <c r="L322" s="362"/>
      <c r="M322" s="362"/>
      <c r="N322" s="362"/>
      <c r="O322" s="363"/>
    </row>
    <row r="323" spans="2:15" ht="24.95" customHeight="1" x14ac:dyDescent="0.2">
      <c r="C323" s="356"/>
      <c r="D323" s="356"/>
      <c r="E323" s="357"/>
      <c r="F323" s="356"/>
      <c r="G323" s="361"/>
      <c r="H323" s="362"/>
      <c r="I323" s="362"/>
      <c r="J323" s="362"/>
      <c r="K323" s="362"/>
      <c r="L323" s="362"/>
      <c r="M323" s="362"/>
      <c r="N323" s="362"/>
      <c r="O323" s="363"/>
    </row>
    <row r="324" spans="2:15" ht="24.95" customHeight="1" x14ac:dyDescent="0.2">
      <c r="C324" s="356"/>
      <c r="D324" s="356"/>
      <c r="E324" s="357"/>
      <c r="F324" s="356"/>
      <c r="G324" s="361"/>
      <c r="H324" s="362"/>
      <c r="I324" s="362"/>
      <c r="J324" s="362"/>
      <c r="K324" s="362"/>
      <c r="L324" s="362"/>
      <c r="M324" s="362"/>
      <c r="N324" s="362"/>
      <c r="O324" s="363"/>
    </row>
    <row r="325" spans="2:15" ht="24.95" customHeight="1" x14ac:dyDescent="0.2">
      <c r="C325" s="356"/>
      <c r="D325" s="356"/>
      <c r="E325" s="357"/>
      <c r="F325" s="356"/>
      <c r="G325" s="364"/>
      <c r="H325" s="365"/>
      <c r="I325" s="365"/>
      <c r="J325" s="365"/>
      <c r="K325" s="365"/>
      <c r="L325" s="365"/>
      <c r="M325" s="365"/>
      <c r="N325" s="365"/>
      <c r="O325" s="366"/>
    </row>
    <row r="326" spans="2:15" ht="24.95" customHeight="1" x14ac:dyDescent="0.2">
      <c r="B326" s="130">
        <f>B320+1</f>
        <v>52</v>
      </c>
      <c r="C326" s="353" t="str">
        <f>CONCATENATE(INDEX(Коэффициенты!$B$4:$S$158,MATCH(B326,Коэффициенты!$B$4:$B$158,0),2)," ","участковое лесничество")</f>
        <v>Тумбинское участковое лесничество</v>
      </c>
      <c r="D326" s="354"/>
      <c r="E326" s="354"/>
      <c r="F326" s="354"/>
      <c r="G326" s="354"/>
      <c r="H326" s="354"/>
      <c r="I326" s="354"/>
      <c r="J326" s="354"/>
      <c r="K326" s="354"/>
      <c r="L326" s="354"/>
      <c r="M326" s="354"/>
      <c r="N326" s="354"/>
      <c r="O326" s="355"/>
    </row>
    <row r="327" spans="2:15" ht="24.95" customHeight="1" x14ac:dyDescent="0.2">
      <c r="C327" s="356">
        <f>INDEX(Коэффициенты!$B$4:$S$59,MATCH(B326,Коэффициенты!$B$4:$B$59,0),3)</f>
        <v>136</v>
      </c>
      <c r="D327" s="356">
        <f>INDEX(Коэффициенты!$B$4:$S$59,MATCH(B326,Коэффициенты!$B$4:$B$59,0),4)</f>
        <v>11</v>
      </c>
      <c r="E327" s="357" t="s">
        <v>434</v>
      </c>
      <c r="F327" s="356">
        <f>INDEX(Коэффициенты!$B$4:$S$59,MATCH(B326,Коэффициенты!$B$4:$B$59,0),6)</f>
        <v>9.5</v>
      </c>
      <c r="G327" s="358" t="str">
        <f>CONCATENATE("Участок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 ",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",INDEX(Коэффициенты!$B$4:$S$158,MATCH(B326,Коэффициенты!$B$4:$B$158,0),17)," ", "км.
По мере роста культур необходимо своевременное проведение проведения рубок ухода в молодняках - Осветление и Прочистка.")</f>
        <v>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1,52 км.
По мере роста культур необходимо своевременное проведение проведения рубок ухода в молодняках - Осветление и Прочистка.</v>
      </c>
      <c r="H327" s="359"/>
      <c r="I327" s="359"/>
      <c r="J327" s="359"/>
      <c r="K327" s="359"/>
      <c r="L327" s="359"/>
      <c r="M327" s="359"/>
      <c r="N327" s="359"/>
      <c r="O327" s="360"/>
    </row>
    <row r="328" spans="2:15" ht="24.95" customHeight="1" x14ac:dyDescent="0.2">
      <c r="C328" s="356"/>
      <c r="D328" s="356"/>
      <c r="E328" s="357"/>
      <c r="F328" s="356"/>
      <c r="G328" s="361"/>
      <c r="H328" s="362"/>
      <c r="I328" s="362"/>
      <c r="J328" s="362"/>
      <c r="K328" s="362"/>
      <c r="L328" s="362"/>
      <c r="M328" s="362"/>
      <c r="N328" s="362"/>
      <c r="O328" s="363"/>
    </row>
    <row r="329" spans="2:15" ht="24.95" customHeight="1" x14ac:dyDescent="0.2">
      <c r="C329" s="356"/>
      <c r="D329" s="356"/>
      <c r="E329" s="357"/>
      <c r="F329" s="356"/>
      <c r="G329" s="361"/>
      <c r="H329" s="362"/>
      <c r="I329" s="362"/>
      <c r="J329" s="362"/>
      <c r="K329" s="362"/>
      <c r="L329" s="362"/>
      <c r="M329" s="362"/>
      <c r="N329" s="362"/>
      <c r="O329" s="363"/>
    </row>
    <row r="330" spans="2:15" ht="24.95" customHeight="1" x14ac:dyDescent="0.2">
      <c r="C330" s="356"/>
      <c r="D330" s="356"/>
      <c r="E330" s="357"/>
      <c r="F330" s="356"/>
      <c r="G330" s="361"/>
      <c r="H330" s="362"/>
      <c r="I330" s="362"/>
      <c r="J330" s="362"/>
      <c r="K330" s="362"/>
      <c r="L330" s="362"/>
      <c r="M330" s="362"/>
      <c r="N330" s="362"/>
      <c r="O330" s="363"/>
    </row>
    <row r="331" spans="2:15" ht="24.95" customHeight="1" x14ac:dyDescent="0.2">
      <c r="C331" s="356"/>
      <c r="D331" s="356"/>
      <c r="E331" s="357"/>
      <c r="F331" s="356"/>
      <c r="G331" s="364"/>
      <c r="H331" s="365"/>
      <c r="I331" s="365"/>
      <c r="J331" s="365"/>
      <c r="K331" s="365"/>
      <c r="L331" s="365"/>
      <c r="M331" s="365"/>
      <c r="N331" s="365"/>
      <c r="O331" s="366"/>
    </row>
    <row r="332" spans="2:15" ht="24.95" customHeight="1" x14ac:dyDescent="0.2">
      <c r="B332" s="130">
        <f>B326+1</f>
        <v>53</v>
      </c>
      <c r="C332" s="353" t="str">
        <f>CONCATENATE(INDEX(Коэффициенты!$B$4:$S$158,MATCH(B332,Коэффициенты!$B$4:$B$158,0),2)," ","участковое лесничество")</f>
        <v>Чулпановское участковое лесничество</v>
      </c>
      <c r="D332" s="354"/>
      <c r="E332" s="354"/>
      <c r="F332" s="354"/>
      <c r="G332" s="354"/>
      <c r="H332" s="354"/>
      <c r="I332" s="354"/>
      <c r="J332" s="354"/>
      <c r="K332" s="354"/>
      <c r="L332" s="354"/>
      <c r="M332" s="354"/>
      <c r="N332" s="354"/>
      <c r="O332" s="355"/>
    </row>
    <row r="333" spans="2:15" ht="24.95" customHeight="1" x14ac:dyDescent="0.2">
      <c r="C333" s="356">
        <f>INDEX(Коэффициенты!$B$4:$S$59,MATCH(B332,Коэффициенты!$B$4:$B$59,0),3)</f>
        <v>14</v>
      </c>
      <c r="D333" s="356">
        <f>INDEX(Коэффициенты!$B$4:$S$59,MATCH(B332,Коэффициенты!$B$4:$B$59,0),4)</f>
        <v>10</v>
      </c>
      <c r="E333" s="357" t="s">
        <v>434</v>
      </c>
      <c r="F333" s="356">
        <f>INDEX(Коэффициенты!$B$4:$S$59,MATCH(B332,Коэффициенты!$B$4:$B$59,0),6)</f>
        <v>9.3000000000000007</v>
      </c>
      <c r="G333" s="358" t="str">
        <f>CONCATENATE("Участок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 ",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",INDEX(Коэффициенты!$B$4:$S$158,MATCH(B332,Коэффициенты!$B$4:$B$158,0),17)," ", "км.
По мере роста культур необходимо своевременное проведение проведения рубок ухода в молодняках - Осветление и Прочистка.")</f>
        <v>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1,17 км.
По мере роста культур необходимо своевременное проведение проведения рубок ухода в молодняках - Осветление и Прочистка.</v>
      </c>
      <c r="H333" s="359"/>
      <c r="I333" s="359"/>
      <c r="J333" s="359"/>
      <c r="K333" s="359"/>
      <c r="L333" s="359"/>
      <c r="M333" s="359"/>
      <c r="N333" s="359"/>
      <c r="O333" s="360"/>
    </row>
    <row r="334" spans="2:15" ht="24.95" customHeight="1" x14ac:dyDescent="0.2">
      <c r="C334" s="356"/>
      <c r="D334" s="356"/>
      <c r="E334" s="357"/>
      <c r="F334" s="356"/>
      <c r="G334" s="361"/>
      <c r="H334" s="362"/>
      <c r="I334" s="362"/>
      <c r="J334" s="362"/>
      <c r="K334" s="362"/>
      <c r="L334" s="362"/>
      <c r="M334" s="362"/>
      <c r="N334" s="362"/>
      <c r="O334" s="363"/>
    </row>
    <row r="335" spans="2:15" ht="24.95" customHeight="1" x14ac:dyDescent="0.2">
      <c r="C335" s="356"/>
      <c r="D335" s="356"/>
      <c r="E335" s="357"/>
      <c r="F335" s="356"/>
      <c r="G335" s="361"/>
      <c r="H335" s="362"/>
      <c r="I335" s="362"/>
      <c r="J335" s="362"/>
      <c r="K335" s="362"/>
      <c r="L335" s="362"/>
      <c r="M335" s="362"/>
      <c r="N335" s="362"/>
      <c r="O335" s="363"/>
    </row>
    <row r="336" spans="2:15" ht="24.95" customHeight="1" x14ac:dyDescent="0.2">
      <c r="C336" s="356"/>
      <c r="D336" s="356"/>
      <c r="E336" s="357"/>
      <c r="F336" s="356"/>
      <c r="G336" s="361"/>
      <c r="H336" s="362"/>
      <c r="I336" s="362"/>
      <c r="J336" s="362"/>
      <c r="K336" s="362"/>
      <c r="L336" s="362"/>
      <c r="M336" s="362"/>
      <c r="N336" s="362"/>
      <c r="O336" s="363"/>
    </row>
    <row r="337" spans="2:15" ht="24.95" customHeight="1" x14ac:dyDescent="0.2">
      <c r="C337" s="356"/>
      <c r="D337" s="356"/>
      <c r="E337" s="357"/>
      <c r="F337" s="356"/>
      <c r="G337" s="364"/>
      <c r="H337" s="365"/>
      <c r="I337" s="365"/>
      <c r="J337" s="365"/>
      <c r="K337" s="365"/>
      <c r="L337" s="365"/>
      <c r="M337" s="365"/>
      <c r="N337" s="365"/>
      <c r="O337" s="366"/>
    </row>
    <row r="338" spans="2:15" ht="24.95" customHeight="1" x14ac:dyDescent="0.2">
      <c r="B338" s="130">
        <f>B332+1</f>
        <v>54</v>
      </c>
      <c r="C338" s="353" t="str">
        <f>CONCATENATE(INDEX(Коэффициенты!$B$4:$S$158,MATCH(B338,Коэффициенты!$B$4:$B$158,0),2)," ","участковое лесничество")</f>
        <v>Чулпановское участковое лесничество</v>
      </c>
      <c r="D338" s="354"/>
      <c r="E338" s="354"/>
      <c r="F338" s="354"/>
      <c r="G338" s="354"/>
      <c r="H338" s="354"/>
      <c r="I338" s="354"/>
      <c r="J338" s="354"/>
      <c r="K338" s="354"/>
      <c r="L338" s="354"/>
      <c r="M338" s="354"/>
      <c r="N338" s="354"/>
      <c r="O338" s="355"/>
    </row>
    <row r="339" spans="2:15" ht="24.95" customHeight="1" x14ac:dyDescent="0.2">
      <c r="C339" s="356">
        <f>INDEX(Коэффициенты!$B$4:$S$59,MATCH(B338,Коэффициенты!$B$4:$B$59,0),3)</f>
        <v>18</v>
      </c>
      <c r="D339" s="356">
        <f>INDEX(Коэффициенты!$B$4:$S$59,MATCH(B338,Коэффициенты!$B$4:$B$59,0),4)</f>
        <v>69</v>
      </c>
      <c r="E339" s="357" t="s">
        <v>434</v>
      </c>
      <c r="F339" s="356">
        <f>INDEX(Коэффициенты!$B$4:$S$59,MATCH(B338,Коэффициенты!$B$4:$B$59,0),6)</f>
        <v>3</v>
      </c>
      <c r="G339" s="358" t="str">
        <f>CONCATENATE("Участок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 ",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",INDEX(Коэффициенты!$B$4:$S$158,MATCH(B338,Коэффициенты!$B$4:$B$158,0),17)," ", "км.
По мере роста культур необходимо своевременное проведение проведения рубок ухода в молодняках - Осветление и Прочистка.")</f>
        <v>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0,8 км.
По мере роста культур необходимо своевременное проведение проведения рубок ухода в молодняках - Осветление и Прочистка.</v>
      </c>
      <c r="H339" s="359"/>
      <c r="I339" s="359"/>
      <c r="J339" s="359"/>
      <c r="K339" s="359"/>
      <c r="L339" s="359"/>
      <c r="M339" s="359"/>
      <c r="N339" s="359"/>
      <c r="O339" s="360"/>
    </row>
    <row r="340" spans="2:15" ht="24.95" customHeight="1" x14ac:dyDescent="0.2">
      <c r="C340" s="356"/>
      <c r="D340" s="356"/>
      <c r="E340" s="357"/>
      <c r="F340" s="356"/>
      <c r="G340" s="361"/>
      <c r="H340" s="362"/>
      <c r="I340" s="362"/>
      <c r="J340" s="362"/>
      <c r="K340" s="362"/>
      <c r="L340" s="362"/>
      <c r="M340" s="362"/>
      <c r="N340" s="362"/>
      <c r="O340" s="363"/>
    </row>
    <row r="341" spans="2:15" ht="24.95" customHeight="1" x14ac:dyDescent="0.2">
      <c r="C341" s="356"/>
      <c r="D341" s="356"/>
      <c r="E341" s="357"/>
      <c r="F341" s="356"/>
      <c r="G341" s="361"/>
      <c r="H341" s="362"/>
      <c r="I341" s="362"/>
      <c r="J341" s="362"/>
      <c r="K341" s="362"/>
      <c r="L341" s="362"/>
      <c r="M341" s="362"/>
      <c r="N341" s="362"/>
      <c r="O341" s="363"/>
    </row>
    <row r="342" spans="2:15" ht="24.95" customHeight="1" x14ac:dyDescent="0.2">
      <c r="C342" s="356"/>
      <c r="D342" s="356"/>
      <c r="E342" s="357"/>
      <c r="F342" s="356"/>
      <c r="G342" s="361"/>
      <c r="H342" s="362"/>
      <c r="I342" s="362"/>
      <c r="J342" s="362"/>
      <c r="K342" s="362"/>
      <c r="L342" s="362"/>
      <c r="M342" s="362"/>
      <c r="N342" s="362"/>
      <c r="O342" s="363"/>
    </row>
    <row r="343" spans="2:15" ht="24.95" customHeight="1" x14ac:dyDescent="0.2">
      <c r="C343" s="356"/>
      <c r="D343" s="356"/>
      <c r="E343" s="357"/>
      <c r="F343" s="356"/>
      <c r="G343" s="364"/>
      <c r="H343" s="365"/>
      <c r="I343" s="365"/>
      <c r="J343" s="365"/>
      <c r="K343" s="365"/>
      <c r="L343" s="365"/>
      <c r="M343" s="365"/>
      <c r="N343" s="365"/>
      <c r="O343" s="366"/>
    </row>
    <row r="344" spans="2:15" ht="24.95" customHeight="1" x14ac:dyDescent="0.2">
      <c r="B344" s="130">
        <f>B338+1</f>
        <v>55</v>
      </c>
      <c r="C344" s="353" t="str">
        <f>CONCATENATE(INDEX(Коэффициенты!$B$4:$S$158,MATCH(B344,Коэффициенты!$B$4:$B$158,0),2)," ","участковое лесничество")</f>
        <v>Чулпановское участковое лесничество</v>
      </c>
      <c r="D344" s="354"/>
      <c r="E344" s="354"/>
      <c r="F344" s="354"/>
      <c r="G344" s="354"/>
      <c r="H344" s="354"/>
      <c r="I344" s="354"/>
      <c r="J344" s="354"/>
      <c r="K344" s="354"/>
      <c r="L344" s="354"/>
      <c r="M344" s="354"/>
      <c r="N344" s="354"/>
      <c r="O344" s="355"/>
    </row>
    <row r="345" spans="2:15" ht="24.95" customHeight="1" x14ac:dyDescent="0.2">
      <c r="C345" s="356">
        <f>INDEX(Коэффициенты!$B$4:$S$59,MATCH(B344,Коэффициенты!$B$4:$B$59,0),3)</f>
        <v>59</v>
      </c>
      <c r="D345" s="356">
        <f>INDEX(Коэффициенты!$B$4:$S$59,MATCH(B344,Коэффициенты!$B$4:$B$59,0),4)</f>
        <v>57</v>
      </c>
      <c r="E345" s="357" t="s">
        <v>434</v>
      </c>
      <c r="F345" s="356">
        <f>INDEX(Коэффициенты!$B$4:$S$59,MATCH(B344,Коэффициенты!$B$4:$B$59,0),6)</f>
        <v>0.9</v>
      </c>
      <c r="G345" s="358" t="str">
        <f>CONCATENATE("Участок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 ",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",INDEX(Коэффициенты!$B$4:$S$158,MATCH(B344,Коэффициенты!$B$4:$B$158,0),17)," ", "км.
По мере роста культур необходимо своевременное проведение проведения рубок ухода в молодняках - Осветление и Прочистка.")</f>
        <v>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0,4 км.
По мере роста культур необходимо своевременное проведение проведения рубок ухода в молодняках - Осветление и Прочистка.</v>
      </c>
      <c r="H345" s="359"/>
      <c r="I345" s="359"/>
      <c r="J345" s="359"/>
      <c r="K345" s="359"/>
      <c r="L345" s="359"/>
      <c r="M345" s="359"/>
      <c r="N345" s="359"/>
      <c r="O345" s="360"/>
    </row>
    <row r="346" spans="2:15" ht="24.95" customHeight="1" x14ac:dyDescent="0.2">
      <c r="C346" s="356"/>
      <c r="D346" s="356"/>
      <c r="E346" s="357"/>
      <c r="F346" s="356"/>
      <c r="G346" s="361"/>
      <c r="H346" s="362"/>
      <c r="I346" s="362"/>
      <c r="J346" s="362"/>
      <c r="K346" s="362"/>
      <c r="L346" s="362"/>
      <c r="M346" s="362"/>
      <c r="N346" s="362"/>
      <c r="O346" s="363"/>
    </row>
    <row r="347" spans="2:15" ht="24.95" customHeight="1" x14ac:dyDescent="0.2">
      <c r="C347" s="356"/>
      <c r="D347" s="356"/>
      <c r="E347" s="357"/>
      <c r="F347" s="356"/>
      <c r="G347" s="361"/>
      <c r="H347" s="362"/>
      <c r="I347" s="362"/>
      <c r="J347" s="362"/>
      <c r="K347" s="362"/>
      <c r="L347" s="362"/>
      <c r="M347" s="362"/>
      <c r="N347" s="362"/>
      <c r="O347" s="363"/>
    </row>
    <row r="348" spans="2:15" ht="24.95" customHeight="1" x14ac:dyDescent="0.2">
      <c r="C348" s="356"/>
      <c r="D348" s="356"/>
      <c r="E348" s="357"/>
      <c r="F348" s="356"/>
      <c r="G348" s="361"/>
      <c r="H348" s="362"/>
      <c r="I348" s="362"/>
      <c r="J348" s="362"/>
      <c r="K348" s="362"/>
      <c r="L348" s="362"/>
      <c r="M348" s="362"/>
      <c r="N348" s="362"/>
      <c r="O348" s="363"/>
    </row>
    <row r="349" spans="2:15" ht="24.95" customHeight="1" x14ac:dyDescent="0.2">
      <c r="C349" s="356"/>
      <c r="D349" s="356"/>
      <c r="E349" s="357"/>
      <c r="F349" s="356"/>
      <c r="G349" s="364"/>
      <c r="H349" s="365"/>
      <c r="I349" s="365"/>
      <c r="J349" s="365"/>
      <c r="K349" s="365"/>
      <c r="L349" s="365"/>
      <c r="M349" s="365"/>
      <c r="N349" s="365"/>
      <c r="O349" s="366"/>
    </row>
    <row r="350" spans="2:15" ht="24.95" customHeight="1" x14ac:dyDescent="0.2">
      <c r="B350" s="130">
        <f>B344+1</f>
        <v>56</v>
      </c>
      <c r="C350" s="353" t="str">
        <f>CONCATENATE(INDEX(Коэффициенты!$B$4:$S$158,MATCH(B350,Коэффициенты!$B$4:$B$158,0),2)," ","участковое лесничество")</f>
        <v>Чулпановское участковое лесничество</v>
      </c>
      <c r="D350" s="354"/>
      <c r="E350" s="354"/>
      <c r="F350" s="354"/>
      <c r="G350" s="354"/>
      <c r="H350" s="354"/>
      <c r="I350" s="354"/>
      <c r="J350" s="354"/>
      <c r="K350" s="354"/>
      <c r="L350" s="354"/>
      <c r="M350" s="354"/>
      <c r="N350" s="354"/>
      <c r="O350" s="355"/>
    </row>
    <row r="351" spans="2:15" ht="24.95" customHeight="1" x14ac:dyDescent="0.2">
      <c r="C351" s="356">
        <f>INDEX(Коэффициенты!$B$4:$S$59,MATCH(B350,Коэффициенты!$B$4:$B$59,0),3)</f>
        <v>67</v>
      </c>
      <c r="D351" s="356">
        <f>INDEX(Коэффициенты!$B$4:$S$59,MATCH(B350,Коэффициенты!$B$4:$B$59,0),4)</f>
        <v>34</v>
      </c>
      <c r="E351" s="357" t="s">
        <v>434</v>
      </c>
      <c r="F351" s="356">
        <f>INDEX(Коэффициенты!$B$4:$S$59,MATCH(B350,Коэффициенты!$B$4:$B$59,0),6)</f>
        <v>2.4</v>
      </c>
      <c r="G351" s="358" t="str">
        <f>CONCATENATE("Участок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 ",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",INDEX(Коэффициенты!$B$4:$S$158,MATCH(B350,Коэффициенты!$B$4:$B$158,0),17)," ", "км.
По мере роста культур необходимо своевременное проведение проведения рубок ухода в молодняках - Осветление и Прочистка.")</f>
        <v>Участок остается под естественное заращивание.
В целях создания более благоприятных условий для естественного возобновления планируется проведение мер по содействию лесовозобновлению.  По периметру площади, в целях сохранения подроста от пожара, необходимо проведение устройства и обновления противопожарных минерализованных полос, протяженностью 0,67 км.
По мере роста культур необходимо своевременное проведение проведения рубок ухода в молодняках - Осветление и Прочистка.</v>
      </c>
      <c r="H351" s="359"/>
      <c r="I351" s="359"/>
      <c r="J351" s="359"/>
      <c r="K351" s="359"/>
      <c r="L351" s="359"/>
      <c r="M351" s="359"/>
      <c r="N351" s="359"/>
      <c r="O351" s="360"/>
    </row>
    <row r="352" spans="2:15" ht="24.95" customHeight="1" x14ac:dyDescent="0.2">
      <c r="C352" s="356"/>
      <c r="D352" s="356"/>
      <c r="E352" s="357"/>
      <c r="F352" s="356"/>
      <c r="G352" s="361"/>
      <c r="H352" s="362"/>
      <c r="I352" s="362"/>
      <c r="J352" s="362"/>
      <c r="K352" s="362"/>
      <c r="L352" s="362"/>
      <c r="M352" s="362"/>
      <c r="N352" s="362"/>
      <c r="O352" s="363"/>
    </row>
    <row r="353" spans="3:15" ht="24.95" customHeight="1" x14ac:dyDescent="0.2">
      <c r="C353" s="356"/>
      <c r="D353" s="356"/>
      <c r="E353" s="357"/>
      <c r="F353" s="356"/>
      <c r="G353" s="361"/>
      <c r="H353" s="362"/>
      <c r="I353" s="362"/>
      <c r="J353" s="362"/>
      <c r="K353" s="362"/>
      <c r="L353" s="362"/>
      <c r="M353" s="362"/>
      <c r="N353" s="362"/>
      <c r="O353" s="363"/>
    </row>
    <row r="354" spans="3:15" ht="24.95" customHeight="1" x14ac:dyDescent="0.2">
      <c r="C354" s="356"/>
      <c r="D354" s="356"/>
      <c r="E354" s="357"/>
      <c r="F354" s="356"/>
      <c r="G354" s="361"/>
      <c r="H354" s="362"/>
      <c r="I354" s="362"/>
      <c r="J354" s="362"/>
      <c r="K354" s="362"/>
      <c r="L354" s="362"/>
      <c r="M354" s="362"/>
      <c r="N354" s="362"/>
      <c r="O354" s="363"/>
    </row>
    <row r="355" spans="3:15" ht="24.95" customHeight="1" x14ac:dyDescent="0.2">
      <c r="C355" s="356"/>
      <c r="D355" s="356"/>
      <c r="E355" s="357"/>
      <c r="F355" s="356"/>
      <c r="G355" s="364"/>
      <c r="H355" s="365"/>
      <c r="I355" s="365"/>
      <c r="J355" s="365"/>
      <c r="K355" s="365"/>
      <c r="L355" s="365"/>
      <c r="M355" s="365"/>
      <c r="N355" s="365"/>
      <c r="O355" s="366"/>
    </row>
    <row r="357" spans="3:15" ht="24.95" customHeight="1" x14ac:dyDescent="0.25">
      <c r="D357" s="195">
        <v>1</v>
      </c>
      <c r="E357" s="190" t="s">
        <v>2099</v>
      </c>
    </row>
    <row r="358" spans="3:15" ht="24.95" customHeight="1" x14ac:dyDescent="0.25">
      <c r="D358" s="195">
        <v>2</v>
      </c>
      <c r="E358" s="190" t="s">
        <v>2100</v>
      </c>
    </row>
    <row r="359" spans="3:15" ht="24.95" customHeight="1" x14ac:dyDescent="0.25">
      <c r="D359" s="195">
        <v>3</v>
      </c>
      <c r="E359" s="190" t="s">
        <v>2101</v>
      </c>
    </row>
    <row r="360" spans="3:15" ht="24.95" customHeight="1" x14ac:dyDescent="0.25">
      <c r="D360" s="195">
        <v>4</v>
      </c>
      <c r="E360" s="190" t="s">
        <v>2102</v>
      </c>
    </row>
    <row r="361" spans="3:15" ht="24.95" customHeight="1" x14ac:dyDescent="0.25">
      <c r="D361" s="195">
        <v>5</v>
      </c>
      <c r="E361" s="190" t="s">
        <v>2103</v>
      </c>
    </row>
    <row r="362" spans="3:15" ht="24.95" customHeight="1" x14ac:dyDescent="0.25">
      <c r="D362" s="195">
        <v>6</v>
      </c>
      <c r="E362" s="190" t="s">
        <v>2104</v>
      </c>
    </row>
    <row r="363" spans="3:15" ht="24.95" customHeight="1" x14ac:dyDescent="0.25">
      <c r="D363" s="195">
        <v>7</v>
      </c>
      <c r="E363" s="190" t="s">
        <v>2105</v>
      </c>
    </row>
  </sheetData>
  <mergeCells count="343">
    <mergeCell ref="C2:O2"/>
    <mergeCell ref="C3:O3"/>
    <mergeCell ref="C4:O4"/>
    <mergeCell ref="C5:O5"/>
    <mergeCell ref="C9:O15"/>
    <mergeCell ref="C16:O17"/>
    <mergeCell ref="C26:O26"/>
    <mergeCell ref="C27:C31"/>
    <mergeCell ref="D27:D31"/>
    <mergeCell ref="E27:E31"/>
    <mergeCell ref="F27:F31"/>
    <mergeCell ref="G27:O31"/>
    <mergeCell ref="G19:O19"/>
    <mergeCell ref="C20:O20"/>
    <mergeCell ref="C21:C25"/>
    <mergeCell ref="D21:D25"/>
    <mergeCell ref="E21:E25"/>
    <mergeCell ref="F21:F25"/>
    <mergeCell ref="G21:O25"/>
    <mergeCell ref="C38:O38"/>
    <mergeCell ref="C39:C43"/>
    <mergeCell ref="D39:D43"/>
    <mergeCell ref="E39:E43"/>
    <mergeCell ref="F39:F43"/>
    <mergeCell ref="G39:O43"/>
    <mergeCell ref="C32:O32"/>
    <mergeCell ref="C33:C37"/>
    <mergeCell ref="D33:D37"/>
    <mergeCell ref="E33:E37"/>
    <mergeCell ref="F33:F37"/>
    <mergeCell ref="G33:O37"/>
    <mergeCell ref="C50:O50"/>
    <mergeCell ref="C51:C55"/>
    <mergeCell ref="D51:D55"/>
    <mergeCell ref="E51:E55"/>
    <mergeCell ref="F51:F55"/>
    <mergeCell ref="G51:O55"/>
    <mergeCell ref="C44:O44"/>
    <mergeCell ref="C45:C49"/>
    <mergeCell ref="D45:D49"/>
    <mergeCell ref="E45:E49"/>
    <mergeCell ref="F45:F49"/>
    <mergeCell ref="G45:O49"/>
    <mergeCell ref="C62:O62"/>
    <mergeCell ref="C63:C67"/>
    <mergeCell ref="D63:D67"/>
    <mergeCell ref="E63:E67"/>
    <mergeCell ref="F63:F67"/>
    <mergeCell ref="G63:O67"/>
    <mergeCell ref="C56:O56"/>
    <mergeCell ref="C57:C61"/>
    <mergeCell ref="D57:D61"/>
    <mergeCell ref="E57:E61"/>
    <mergeCell ref="F57:F61"/>
    <mergeCell ref="G57:O61"/>
    <mergeCell ref="C74:O74"/>
    <mergeCell ref="C75:C79"/>
    <mergeCell ref="D75:D79"/>
    <mergeCell ref="E75:E79"/>
    <mergeCell ref="F75:F79"/>
    <mergeCell ref="G75:O79"/>
    <mergeCell ref="C68:O68"/>
    <mergeCell ref="C69:C73"/>
    <mergeCell ref="D69:D73"/>
    <mergeCell ref="E69:E73"/>
    <mergeCell ref="F69:F73"/>
    <mergeCell ref="G69:O73"/>
    <mergeCell ref="C86:O86"/>
    <mergeCell ref="C87:C91"/>
    <mergeCell ref="D87:D91"/>
    <mergeCell ref="E87:E91"/>
    <mergeCell ref="F87:F91"/>
    <mergeCell ref="G87:O91"/>
    <mergeCell ref="C80:O80"/>
    <mergeCell ref="C81:C85"/>
    <mergeCell ref="D81:D85"/>
    <mergeCell ref="E81:E85"/>
    <mergeCell ref="F81:F85"/>
    <mergeCell ref="G81:O85"/>
    <mergeCell ref="C98:O98"/>
    <mergeCell ref="C99:C103"/>
    <mergeCell ref="D99:D103"/>
    <mergeCell ref="E99:E103"/>
    <mergeCell ref="F99:F103"/>
    <mergeCell ref="G99:O103"/>
    <mergeCell ref="C92:O92"/>
    <mergeCell ref="C93:C97"/>
    <mergeCell ref="D93:D97"/>
    <mergeCell ref="E93:E97"/>
    <mergeCell ref="F93:F97"/>
    <mergeCell ref="G93:O97"/>
    <mergeCell ref="C110:O110"/>
    <mergeCell ref="C111:C115"/>
    <mergeCell ref="D111:D115"/>
    <mergeCell ref="E111:E115"/>
    <mergeCell ref="F111:F115"/>
    <mergeCell ref="G111:O115"/>
    <mergeCell ref="C104:O104"/>
    <mergeCell ref="C105:C109"/>
    <mergeCell ref="D105:D109"/>
    <mergeCell ref="E105:E109"/>
    <mergeCell ref="F105:F109"/>
    <mergeCell ref="G105:O109"/>
    <mergeCell ref="C122:O122"/>
    <mergeCell ref="C123:C127"/>
    <mergeCell ref="D123:D127"/>
    <mergeCell ref="E123:E127"/>
    <mergeCell ref="F123:F127"/>
    <mergeCell ref="G123:O127"/>
    <mergeCell ref="C116:O116"/>
    <mergeCell ref="C117:C121"/>
    <mergeCell ref="D117:D121"/>
    <mergeCell ref="E117:E121"/>
    <mergeCell ref="F117:F121"/>
    <mergeCell ref="G117:O121"/>
    <mergeCell ref="C134:O134"/>
    <mergeCell ref="C135:C139"/>
    <mergeCell ref="D135:D139"/>
    <mergeCell ref="E135:E139"/>
    <mergeCell ref="F135:F139"/>
    <mergeCell ref="G135:O139"/>
    <mergeCell ref="C128:O128"/>
    <mergeCell ref="C129:C133"/>
    <mergeCell ref="D129:D133"/>
    <mergeCell ref="E129:E133"/>
    <mergeCell ref="F129:F133"/>
    <mergeCell ref="G129:O133"/>
    <mergeCell ref="C146:O146"/>
    <mergeCell ref="C147:C151"/>
    <mergeCell ref="D147:D151"/>
    <mergeCell ref="E147:E151"/>
    <mergeCell ref="F147:F151"/>
    <mergeCell ref="G147:O151"/>
    <mergeCell ref="C140:O140"/>
    <mergeCell ref="C141:C145"/>
    <mergeCell ref="D141:D145"/>
    <mergeCell ref="E141:E145"/>
    <mergeCell ref="F141:F145"/>
    <mergeCell ref="G141:O145"/>
    <mergeCell ref="C158:O158"/>
    <mergeCell ref="C159:C163"/>
    <mergeCell ref="D159:D163"/>
    <mergeCell ref="E159:E163"/>
    <mergeCell ref="F159:F163"/>
    <mergeCell ref="G159:O163"/>
    <mergeCell ref="C152:O152"/>
    <mergeCell ref="C153:C157"/>
    <mergeCell ref="D153:D157"/>
    <mergeCell ref="E153:E157"/>
    <mergeCell ref="F153:F157"/>
    <mergeCell ref="G153:O157"/>
    <mergeCell ref="C170:O170"/>
    <mergeCell ref="C171:C175"/>
    <mergeCell ref="D171:D175"/>
    <mergeCell ref="E171:E175"/>
    <mergeCell ref="F171:F175"/>
    <mergeCell ref="G171:O175"/>
    <mergeCell ref="C164:O164"/>
    <mergeCell ref="C165:C169"/>
    <mergeCell ref="D165:D169"/>
    <mergeCell ref="E165:E169"/>
    <mergeCell ref="F165:F169"/>
    <mergeCell ref="G165:O169"/>
    <mergeCell ref="C182:O182"/>
    <mergeCell ref="C183:C187"/>
    <mergeCell ref="D183:D187"/>
    <mergeCell ref="E183:E187"/>
    <mergeCell ref="F183:F187"/>
    <mergeCell ref="G183:O187"/>
    <mergeCell ref="C176:O176"/>
    <mergeCell ref="C177:C181"/>
    <mergeCell ref="D177:D181"/>
    <mergeCell ref="E177:E181"/>
    <mergeCell ref="F177:F181"/>
    <mergeCell ref="G177:O181"/>
    <mergeCell ref="C194:O194"/>
    <mergeCell ref="C195:C199"/>
    <mergeCell ref="D195:D199"/>
    <mergeCell ref="E195:E199"/>
    <mergeCell ref="F195:F199"/>
    <mergeCell ref="G195:O199"/>
    <mergeCell ref="C188:O188"/>
    <mergeCell ref="C189:C193"/>
    <mergeCell ref="D189:D193"/>
    <mergeCell ref="E189:E193"/>
    <mergeCell ref="F189:F193"/>
    <mergeCell ref="G189:O193"/>
    <mergeCell ref="C206:O206"/>
    <mergeCell ref="C207:C211"/>
    <mergeCell ref="D207:D211"/>
    <mergeCell ref="E207:E211"/>
    <mergeCell ref="F207:F211"/>
    <mergeCell ref="G207:O211"/>
    <mergeCell ref="C200:O200"/>
    <mergeCell ref="C201:C205"/>
    <mergeCell ref="D201:D205"/>
    <mergeCell ref="E201:E205"/>
    <mergeCell ref="F201:F205"/>
    <mergeCell ref="G201:O205"/>
    <mergeCell ref="C218:O218"/>
    <mergeCell ref="C219:C223"/>
    <mergeCell ref="D219:D223"/>
    <mergeCell ref="E219:E223"/>
    <mergeCell ref="F219:F223"/>
    <mergeCell ref="G219:O223"/>
    <mergeCell ref="C212:O212"/>
    <mergeCell ref="C213:C217"/>
    <mergeCell ref="D213:D217"/>
    <mergeCell ref="E213:E217"/>
    <mergeCell ref="F213:F217"/>
    <mergeCell ref="G213:O217"/>
    <mergeCell ref="C230:O230"/>
    <mergeCell ref="C231:C235"/>
    <mergeCell ref="D231:D235"/>
    <mergeCell ref="E231:E235"/>
    <mergeCell ref="F231:F235"/>
    <mergeCell ref="G231:O235"/>
    <mergeCell ref="C224:O224"/>
    <mergeCell ref="C225:C229"/>
    <mergeCell ref="D225:D229"/>
    <mergeCell ref="E225:E229"/>
    <mergeCell ref="F225:F229"/>
    <mergeCell ref="G225:O229"/>
    <mergeCell ref="C242:O242"/>
    <mergeCell ref="C243:C247"/>
    <mergeCell ref="D243:D247"/>
    <mergeCell ref="E243:E247"/>
    <mergeCell ref="F243:F247"/>
    <mergeCell ref="G243:O247"/>
    <mergeCell ref="C236:O236"/>
    <mergeCell ref="C237:C241"/>
    <mergeCell ref="D237:D241"/>
    <mergeCell ref="E237:E241"/>
    <mergeCell ref="F237:F241"/>
    <mergeCell ref="G237:O241"/>
    <mergeCell ref="C254:O254"/>
    <mergeCell ref="C255:C259"/>
    <mergeCell ref="D255:D259"/>
    <mergeCell ref="E255:E259"/>
    <mergeCell ref="F255:F259"/>
    <mergeCell ref="G255:O259"/>
    <mergeCell ref="C248:O248"/>
    <mergeCell ref="C249:C253"/>
    <mergeCell ref="D249:D253"/>
    <mergeCell ref="E249:E253"/>
    <mergeCell ref="F249:F253"/>
    <mergeCell ref="G249:O253"/>
    <mergeCell ref="C266:O266"/>
    <mergeCell ref="C267:C271"/>
    <mergeCell ref="D267:D271"/>
    <mergeCell ref="E267:E271"/>
    <mergeCell ref="F267:F271"/>
    <mergeCell ref="G267:O271"/>
    <mergeCell ref="C260:O260"/>
    <mergeCell ref="C261:C265"/>
    <mergeCell ref="D261:D265"/>
    <mergeCell ref="E261:E265"/>
    <mergeCell ref="F261:F265"/>
    <mergeCell ref="G261:O265"/>
    <mergeCell ref="C278:O278"/>
    <mergeCell ref="C279:C283"/>
    <mergeCell ref="D279:D283"/>
    <mergeCell ref="E279:E283"/>
    <mergeCell ref="F279:F283"/>
    <mergeCell ref="G279:O283"/>
    <mergeCell ref="C272:O272"/>
    <mergeCell ref="C273:C277"/>
    <mergeCell ref="D273:D277"/>
    <mergeCell ref="E273:E277"/>
    <mergeCell ref="F273:F277"/>
    <mergeCell ref="G273:O277"/>
    <mergeCell ref="C290:O290"/>
    <mergeCell ref="C291:C295"/>
    <mergeCell ref="D291:D295"/>
    <mergeCell ref="E291:E295"/>
    <mergeCell ref="F291:F295"/>
    <mergeCell ref="G291:O295"/>
    <mergeCell ref="C284:O284"/>
    <mergeCell ref="C285:C289"/>
    <mergeCell ref="D285:D289"/>
    <mergeCell ref="E285:E289"/>
    <mergeCell ref="F285:F289"/>
    <mergeCell ref="G285:O289"/>
    <mergeCell ref="C302:O302"/>
    <mergeCell ref="C303:C307"/>
    <mergeCell ref="D303:D307"/>
    <mergeCell ref="E303:E307"/>
    <mergeCell ref="F303:F307"/>
    <mergeCell ref="G303:O307"/>
    <mergeCell ref="C296:O296"/>
    <mergeCell ref="C297:C301"/>
    <mergeCell ref="D297:D301"/>
    <mergeCell ref="E297:E301"/>
    <mergeCell ref="F297:F301"/>
    <mergeCell ref="G297:O301"/>
    <mergeCell ref="C314:O314"/>
    <mergeCell ref="C315:C319"/>
    <mergeCell ref="D315:D319"/>
    <mergeCell ref="E315:E319"/>
    <mergeCell ref="F315:F319"/>
    <mergeCell ref="G315:O319"/>
    <mergeCell ref="C308:O308"/>
    <mergeCell ref="C309:C313"/>
    <mergeCell ref="D309:D313"/>
    <mergeCell ref="E309:E313"/>
    <mergeCell ref="F309:F313"/>
    <mergeCell ref="G309:O313"/>
    <mergeCell ref="C326:O326"/>
    <mergeCell ref="C327:C331"/>
    <mergeCell ref="D327:D331"/>
    <mergeCell ref="E327:E331"/>
    <mergeCell ref="F327:F331"/>
    <mergeCell ref="G327:O331"/>
    <mergeCell ref="C320:O320"/>
    <mergeCell ref="C321:C325"/>
    <mergeCell ref="D321:D325"/>
    <mergeCell ref="E321:E325"/>
    <mergeCell ref="F321:F325"/>
    <mergeCell ref="G321:O325"/>
    <mergeCell ref="C338:O338"/>
    <mergeCell ref="C339:C343"/>
    <mergeCell ref="D339:D343"/>
    <mergeCell ref="E339:E343"/>
    <mergeCell ref="F339:F343"/>
    <mergeCell ref="G339:O343"/>
    <mergeCell ref="C332:O332"/>
    <mergeCell ref="C333:C337"/>
    <mergeCell ref="D333:D337"/>
    <mergeCell ref="E333:E337"/>
    <mergeCell ref="F333:F337"/>
    <mergeCell ref="G333:O337"/>
    <mergeCell ref="C350:O350"/>
    <mergeCell ref="C351:C355"/>
    <mergeCell ref="D351:D355"/>
    <mergeCell ref="E351:E355"/>
    <mergeCell ref="F351:F355"/>
    <mergeCell ref="G351:O355"/>
    <mergeCell ref="C344:O344"/>
    <mergeCell ref="C345:C349"/>
    <mergeCell ref="D345:D349"/>
    <mergeCell ref="E345:E349"/>
    <mergeCell ref="F345:F349"/>
    <mergeCell ref="G345:O349"/>
  </mergeCells>
  <pageMargins left="0.7" right="0.7" top="0.75" bottom="0.75" header="0.3" footer="0.3"/>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4</vt:i4>
      </vt:variant>
    </vt:vector>
  </HeadingPairs>
  <TitlesOfParts>
    <vt:vector size="14" baseType="lpstr">
      <vt:lpstr>РАСЧЕТ</vt:lpstr>
      <vt:lpstr>ЛОТЫ</vt:lpstr>
      <vt:lpstr>Ведомость расчета мин. платы</vt:lpstr>
      <vt:lpstr>Коэффициенты</vt:lpstr>
      <vt:lpstr>Такс. опис.</vt:lpstr>
      <vt:lpstr>свод 2016-2017 для архива</vt:lpstr>
      <vt:lpstr>СВОД (добавлять суда участкм)</vt:lpstr>
      <vt:lpstr>Пер. черновик</vt:lpstr>
      <vt:lpstr>Периметр</vt:lpstr>
      <vt:lpstr>Акт</vt:lpstr>
      <vt:lpstr>Акт!Область_печати</vt:lpstr>
      <vt:lpstr>Коэффициенты!Область_печати</vt:lpstr>
      <vt:lpstr>ЛОТЫ!Область_печати</vt:lpstr>
      <vt:lpstr>РАСЧЕТ!Область_печати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Алексей М. Мосунов</cp:lastModifiedBy>
  <cp:lastPrinted>2016-12-21T06:14:59Z</cp:lastPrinted>
  <dcterms:created xsi:type="dcterms:W3CDTF">1996-10-08T23:32:33Z</dcterms:created>
  <dcterms:modified xsi:type="dcterms:W3CDTF">2017-04-26T09:26:08Z</dcterms:modified>
</cp:coreProperties>
</file>